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E14B422-BFCB-4E5A-9ABE-A4E22C406517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283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<sst xmlns="http://schemas.openxmlformats.org/spreadsheetml/2006/main" count="19291" uniqueCount="9813">
  <si>
    <t>交易所</t>
  </si>
  <si>
    <t>代码</t>
  </si>
  <si>
    <t>公司</t>
  </si>
  <si>
    <t>行业</t>
  </si>
  <si>
    <t>自由现金流量 累积 2022-09-30 (元)</t>
  </si>
  <si>
    <t>自由现金流量 累积 2021-09-30 (元)</t>
  </si>
  <si>
    <t>自由现金流量 累积 2020-09-30 (元)</t>
  </si>
  <si>
    <t>自由现金流量 累积 2019-09-30 (元)</t>
  </si>
  <si>
    <t>自由现金流量 累积 2018-09-30 (元)</t>
  </si>
  <si>
    <t>自由现金流量 累积 2017-09-30 (元)</t>
  </si>
  <si>
    <t>自由现金流量 累积 2016-09-30 (元)</t>
  </si>
  <si>
    <t>自由现金流量 累积 2015-09-30 (元)</t>
  </si>
  <si>
    <t>自由现金流量 累积 2014-09-30 (元)</t>
  </si>
  <si>
    <t>自由现金流量 累积 2013-09-30 (元)</t>
  </si>
  <si>
    <t>自由现金流量 累积 2012-09-30 (元)</t>
  </si>
  <si>
    <t>关注度</t>
  </si>
  <si>
    <t>理杏仁Url</t>
  </si>
  <si>
    <t>sh</t>
  </si>
  <si>
    <t>浦发银行</t>
  </si>
  <si>
    <t>银行</t>
  </si>
  <si>
    <t>www.lixinger.com/analytics/company/sh/600000/600000/detail</t>
  </si>
  <si>
    <t>白云机场</t>
  </si>
  <si>
    <t>交通运输</t>
  </si>
  <si>
    <t>www.lixinger.com/analytics/company/sh/600004/600004/detail</t>
  </si>
  <si>
    <t>武钢股份</t>
  </si>
  <si>
    <t>www.lixinger.com/analytics/company/sh/600005/600005/detail</t>
  </si>
  <si>
    <t>东风汽车</t>
  </si>
  <si>
    <t>汽车</t>
  </si>
  <si>
    <t>www.lixinger.com/analytics/company/sh/600006/600006/detail</t>
  </si>
  <si>
    <t>中国国贸</t>
  </si>
  <si>
    <t>房地产</t>
  </si>
  <si>
    <t>www.lixinger.com/analytics/company/sh/600007/600007/detail</t>
  </si>
  <si>
    <t>首创环保</t>
  </si>
  <si>
    <t>环保</t>
  </si>
  <si>
    <t>www.lixinger.com/analytics/company/sh/600008/600008/detail</t>
  </si>
  <si>
    <t>上海机场</t>
  </si>
  <si>
    <t>www.lixinger.com/analytics/company/sh/600009/600009/detail</t>
  </si>
  <si>
    <t>包钢股份</t>
  </si>
  <si>
    <t>钢铁</t>
  </si>
  <si>
    <t>www.lixinger.com/analytics/company/sh/600010/600010/detail</t>
  </si>
  <si>
    <t>华能国际</t>
  </si>
  <si>
    <t>公用事业</t>
  </si>
  <si>
    <t>www.lixinger.com/analytics/company/sh/600011/600011/detail</t>
  </si>
  <si>
    <t>皖通高速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</si>
  <si>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</si>
  <si>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</si>
  <si>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</si>
  <si>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</si>
  <si>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</si>
  <si>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</si>
  <si>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</si>
  <si>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</si>
  <si>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</si>
  <si>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</si>
  <si>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</si>
  <si>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</si>
  <si>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</si>
  <si>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</si>
  <si>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</si>
  <si>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</si>
  <si>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</si>
  <si>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</si>
  <si>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</si>
  <si>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</si>
  <si>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www.lixinger.com/analytics/company/sh/600025/600025/detail</t>
  </si>
  <si>
    <t>中远海能</t>
  </si>
  <si>
    <t>www.lixinger.com/analytics/company/sh/600026/600026/detail</t>
  </si>
  <si>
    <t>华电国际</t>
  </si>
  <si>
    <t>www.lixinger.com/analytics/company/sh/600027/600027/detail</t>
  </si>
  <si>
    <t>中国石化</t>
  </si>
  <si>
    <t>石油石化</t>
  </si>
  <si>
    <t>www.lixinger.com/analytics/company/sh/600028/600028/detail</t>
  </si>
  <si>
    <t>南方航空</t>
  </si>
  <si>
    <t>www.lixinger.com/analytics/company/sh/600029/600029/detail</t>
  </si>
  <si>
    <t>中信证券</t>
  </si>
  <si>
    <t>非银金融</t>
  </si>
  <si>
    <t>www.lixinger.com/analytics/company/sh/600030/600030/detail</t>
  </si>
  <si>
    <t>三一重工</t>
  </si>
  <si>
    <t>机械设备</t>
  </si>
  <si>
    <t>www.lixinger.com/analytics/company/sh/600031/600031/detail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</si>
  <si>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</si>
  <si>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</si>
  <si>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</si>
  <si>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</si>
  <si>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</si>
  <si>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</si>
  <si>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</si>
  <si>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</si>
  <si>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</si>
  <si>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传媒</t>
  </si>
  <si>
    <t>www.lixinger.com/analytics/company/sh/600037/600037/detail</t>
  </si>
  <si>
    <t>中直股份</t>
  </si>
  <si>
    <t>国防军工</t>
  </si>
  <si>
    <t>www.lixinger.com/analytics/company/sh/600038/600038/detail</t>
  </si>
  <si>
    <t>四川路桥</t>
  </si>
  <si>
    <t>建筑装饰</t>
  </si>
  <si>
    <t>www.lixinger.com/analytics/company/sh/600039/600039/detail</t>
  </si>
  <si>
    <t>保利发展</t>
  </si>
  <si>
    <t>www.lixinger.com/analytics/company/sh/600048/600048/detail</t>
  </si>
  <si>
    <t>中国联通</t>
  </si>
  <si>
    <t>通信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</si>
  <si>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</si>
  <si>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</si>
  <si>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</si>
  <si>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</si>
  <si>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</si>
  <si>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www.lixinger.com/analytics/company/sh/600052/600052/detail</t>
  </si>
  <si>
    <t>九鼎投资</t>
  </si>
  <si>
    <t>www.lixinger.com/analytics/company/sh/600053/600053/detail</t>
  </si>
  <si>
    <t>黄山旅游</t>
  </si>
  <si>
    <t>社会服务</t>
  </si>
  <si>
    <t>www.lixinger.com/analytics/company/sh/600054/600054/detail</t>
  </si>
  <si>
    <t>万东医疗</t>
  </si>
  <si>
    <t>医药生物</t>
  </si>
  <si>
    <t>www.lixinger.com/analytics/company/sh/600055/600055/detail</t>
  </si>
  <si>
    <t>中国医药</t>
  </si>
  <si>
    <t>www.lixinger.com/analytics/company/sh/600056/600056/detail</t>
  </si>
  <si>
    <t>厦门象屿</t>
  </si>
  <si>
    <t>www.lixinger.com/analytics/company/sh/600057/600057/detail</t>
  </si>
  <si>
    <t>五矿发展</t>
  </si>
  <si>
    <t>商贸零售</t>
  </si>
  <si>
    <t>www.lixinger.com/analytics/company/sh/600058/600058/detail</t>
  </si>
  <si>
    <t>古越龙山</t>
  </si>
  <si>
    <t>食品饮料</t>
  </si>
  <si>
    <t>www.lixinger.com/analytics/company/sh/600059/600059/detail</t>
  </si>
  <si>
    <t>海信视像</t>
  </si>
  <si>
    <t>家用电器</t>
  </si>
  <si>
    <t>www.lixinger.com/analytics/company/sh/600060/600060/detail</t>
  </si>
  <si>
    <t>国投资本</t>
  </si>
  <si>
    <t>www.lixinger.com/analytics/company/sh/600061/600061/detail</t>
  </si>
  <si>
    <t>华润双鹤</t>
  </si>
  <si>
    <t>www.lixinger.com/analytics/company/sh/600062/600062/detail</t>
  </si>
  <si>
    <t>皖维高新</t>
  </si>
  <si>
    <t>基础化工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</si>
  <si>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</si>
  <si>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</si>
  <si>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</si>
  <si>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</si>
  <si>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</si>
  <si>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</si>
  <si>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</si>
  <si>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</si>
  <si>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</si>
  <si>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</si>
  <si>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</si>
  <si>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</si>
  <si>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</si>
  <si>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</si>
  <si>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</si>
  <si>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</si>
  <si>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电子</t>
  </si>
  <si>
    <t>www.lixinger.com/analytics/company/sh/600071/600071/detail</t>
  </si>
  <si>
    <t>中船科技</t>
  </si>
  <si>
    <t>www.lixinger.com/analytics/company/sh/600072/600072/detail</t>
  </si>
  <si>
    <t>上海梅林</t>
  </si>
  <si>
    <t>www.lixinger.com/analytics/company/sh/600073/600073/detail</t>
  </si>
  <si>
    <t>退市保千</t>
  </si>
  <si>
    <t>www.lixinger.com/analytics/company/sh/600074/600074/detail</t>
  </si>
  <si>
    <t>新疆天业</t>
  </si>
  <si>
    <t>www.lixinger.com/analytics/company/sh/600075/600075/detail</t>
  </si>
  <si>
    <t>康欣新材</t>
  </si>
  <si>
    <t>轻工制造</t>
  </si>
  <si>
    <t>www.lixinger.com/analytics/company/sh/600076/600076/detail</t>
  </si>
  <si>
    <t>宋都股份</t>
  </si>
  <si>
    <t>www.lixinger.com/analytics/company/sh/600077/600077/detail</t>
  </si>
  <si>
    <t>*ST澄星</t>
  </si>
  <si>
    <t>www.lixinger.com/analytics/company/sh/600078/600078/detail</t>
  </si>
  <si>
    <t>人福医药</t>
  </si>
  <si>
    <t>www.lixinger.com/analytics/company/sh/600079/600079/detail</t>
  </si>
  <si>
    <t>金花股份</t>
  </si>
  <si>
    <t>www.lixinger.com/analytics/company/sh/600080/600080/detail</t>
  </si>
  <si>
    <t>东风科技</t>
  </si>
  <si>
    <t>www.lixinger.com/analytics/company/sh/600081/600081/detail</t>
  </si>
  <si>
    <t>海泰发展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</si>
  <si>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</si>
  <si>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</si>
  <si>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</si>
  <si>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</si>
  <si>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</si>
  <si>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</si>
  <si>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</si>
  <si>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</si>
  <si>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</si>
  <si>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</si>
  <si>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</si>
  <si>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</si>
  <si>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www.lixinger.com/analytics/company/sh/600088/600088/detail</t>
  </si>
  <si>
    <t>特变电工</t>
  </si>
  <si>
    <t>电力设备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</si>
  <si>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</si>
  <si>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</si>
  <si>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</si>
  <si>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</si>
  <si>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</si>
  <si>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</si>
  <si>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</si>
  <si>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</si>
  <si>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</si>
  <si>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</si>
  <si>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</si>
  <si>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</si>
  <si>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</si>
  <si>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</si>
  <si>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</si>
  <si>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</si>
  <si>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农林牧渔</t>
  </si>
  <si>
    <t>www.lixinger.com/analytics/company/sh/600097/600097/detail</t>
  </si>
  <si>
    <t>广州发展</t>
  </si>
  <si>
    <t>www.lixinger.com/analytics/company/sh/600098/600098/detail</t>
  </si>
  <si>
    <t>林海股份</t>
  </si>
  <si>
    <t>www.lixinger.com/analytics/company/sh/600099/600099/detail</t>
  </si>
  <si>
    <t>同方股份</t>
  </si>
  <si>
    <t>计算机</t>
  </si>
  <si>
    <t>www.lixinger.com/analytics/company/sh/600100/600100/detail</t>
  </si>
  <si>
    <t>明星电力</t>
  </si>
  <si>
    <t>www.lixinger.com/analytics/company/sh/600101/600101/detail</t>
  </si>
  <si>
    <t>莱钢股份</t>
  </si>
  <si>
    <t>www.lixinger.com/analytics/company/sh/600102/600102/detail</t>
  </si>
  <si>
    <t>青山纸业</t>
  </si>
  <si>
    <t>www.lixinger.com/analytics/company/sh/600103/600103/detail</t>
  </si>
  <si>
    <t>上汽集团</t>
  </si>
  <si>
    <t>www.lixinger.com/analytics/company/sh/600104/600104/detail</t>
  </si>
  <si>
    <t>永鼎股份</t>
  </si>
  <si>
    <t>www.lixinger.com/analytics/company/sh/600105/600105/detail</t>
  </si>
  <si>
    <t>重庆路桥</t>
  </si>
  <si>
    <t>www.lixinger.com/analytics/company/sh/600106/600106/detail</t>
  </si>
  <si>
    <t>美尔雅</t>
  </si>
  <si>
    <t>纺织服饰</t>
  </si>
  <si>
    <t>www.lixinger.com/analytics/company/sh/600107/600107/detail</t>
  </si>
  <si>
    <t>亚盛集团</t>
  </si>
  <si>
    <t>www.lixinger.com/analytics/company/sh/600108/600108/detail</t>
  </si>
  <si>
    <t>国金证券</t>
  </si>
  <si>
    <t>www.lixinger.com/analytics/company/sh/600109/600109/detail</t>
  </si>
  <si>
    <t>诺德股份</t>
  </si>
  <si>
    <t>有色金属</t>
  </si>
  <si>
    <t>www.lixinger.com/analytics/company/sh/600110/600110/detail</t>
  </si>
  <si>
    <t>北方稀土</t>
  </si>
  <si>
    <t>www.lixinger.com/analytics/company/sh/600111/600111/detail</t>
  </si>
  <si>
    <t>*ST天成</t>
  </si>
  <si>
    <t>www.lixinger.com/analytics/company/sh/600112/600112/detail</t>
  </si>
  <si>
    <t>浙江东日</t>
  </si>
  <si>
    <t>www.lixinger.com/analytics/company/sh/600113/600113/detail</t>
  </si>
  <si>
    <t>东睦股份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</si>
  <si>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</si>
  <si>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</si>
  <si>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</si>
  <si>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</si>
  <si>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</si>
  <si>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</si>
  <si>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www.lixinger.com/analytics/company/sh/600117/600117/detail</t>
  </si>
  <si>
    <t>中国卫星</t>
  </si>
  <si>
    <t>www.lixinger.com/analytics/company/sh/600118/600118/detail</t>
  </si>
  <si>
    <t>长江投资</t>
  </si>
  <si>
    <t>www.lixinger.com/analytics/company/sh/600119/600119/detail</t>
  </si>
  <si>
    <t>浙江东方</t>
  </si>
  <si>
    <t>www.lixinger.com/analytics/company/sh/600120/600120/detail</t>
  </si>
  <si>
    <t>郑州煤电</t>
  </si>
  <si>
    <t>煤炭</t>
  </si>
  <si>
    <t>www.lixinger.com/analytics/company/sh/600121/600121/detail</t>
  </si>
  <si>
    <t>ST宏图</t>
  </si>
  <si>
    <t>www.lixinger.com/analytics/company/sh/600122/600122/detail</t>
  </si>
  <si>
    <t>兰花科创</t>
  </si>
  <si>
    <t>www.lixinger.com/analytics/company/sh/600123/600123/detail</t>
  </si>
  <si>
    <t>铁龙物流</t>
  </si>
  <si>
    <t>www.lixinger.com/analytics/company/sh/600125/600125/detail</t>
  </si>
  <si>
    <t>杭钢股份</t>
  </si>
  <si>
    <t>www.lixinger.com/analytics/company/sh/600126/600126/detail</t>
  </si>
  <si>
    <t>金健米业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</si>
  <si>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</si>
  <si>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</si>
  <si>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</si>
  <si>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</si>
  <si>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</si>
  <si>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</si>
  <si>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www.lixinger.com/analytics/company/sh/600130/600130/detail</t>
  </si>
  <si>
    <t>国网信通</t>
  </si>
  <si>
    <t>www.lixinger.com/analytics/company/sh/600131/600131/detail</t>
  </si>
  <si>
    <t>重庆啤酒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</si>
  <si>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</si>
  <si>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</si>
  <si>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</si>
  <si>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</si>
  <si>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www.lixinger.com/analytics/company/sh/600135/600135/detail</t>
  </si>
  <si>
    <t>当代文体</t>
  </si>
  <si>
    <t>www.lixinger.com/analytics/company/sh/600136/600136/detail</t>
  </si>
  <si>
    <t>浪莎股份</t>
  </si>
  <si>
    <t>www.lixinger.com/analytics/company/sh/600137/600137/detail</t>
  </si>
  <si>
    <t>中青旅</t>
  </si>
  <si>
    <t>www.lixinger.com/analytics/company/sh/600138/600138/detail</t>
  </si>
  <si>
    <t>ST西源</t>
  </si>
  <si>
    <t>www.lixinger.com/analytics/company/sh/600139/600139/detail</t>
  </si>
  <si>
    <t>兴发集团</t>
  </si>
  <si>
    <t>www.lixinger.com/analytics/company/sh/600141/600141/detail</t>
  </si>
  <si>
    <t>金发科技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</si>
  <si>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</si>
  <si>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</si>
  <si>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</si>
  <si>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</si>
  <si>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</si>
  <si>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</si>
  <si>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www.lixinger.com/analytics/company/sh/600148/600148/detail</t>
  </si>
  <si>
    <t>廊坊发展</t>
  </si>
  <si>
    <t>www.lixinger.com/analytics/company/sh/600149/600149/detail</t>
  </si>
  <si>
    <t>中国船舶</t>
  </si>
  <si>
    <t>www.lixinger.com/analytics/company/sh/600150/600150/detail</t>
  </si>
  <si>
    <t>航天机电</t>
  </si>
  <si>
    <t>www.lixinger.com/analytics/company/sh/600151/600151/detail</t>
  </si>
  <si>
    <t>维科技术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</si>
  <si>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</si>
  <si>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</si>
  <si>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</si>
  <si>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</si>
  <si>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</si>
  <si>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</si>
  <si>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</si>
  <si>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</si>
  <si>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</si>
  <si>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</si>
  <si>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</si>
  <si>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</si>
  <si>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</si>
  <si>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</si>
  <si>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www.lixinger.com/analytics/company/sh/600160/600160/detail</t>
  </si>
  <si>
    <t>天坛生物</t>
  </si>
  <si>
    <t>www.lixinger.com/analytics/company/sh/600161/600161/detail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</si>
  <si>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</si>
  <si>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</si>
  <si>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</si>
  <si>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</si>
  <si>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新日恒力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</si>
  <si>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</si>
  <si>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</si>
  <si>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</si>
  <si>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</si>
  <si>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</si>
  <si>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</si>
  <si>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</si>
  <si>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</si>
  <si>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www.lixinger.com/analytics/company/sh/600169/600169/detail</t>
  </si>
  <si>
    <t>上海建工</t>
  </si>
  <si>
    <t>www.lixinger.com/analytics/company/sh/600170/600170/detail</t>
  </si>
  <si>
    <t>上海贝岭</t>
  </si>
  <si>
    <t>www.lixinger.com/analytics/company/sh/600171/600171/detail</t>
  </si>
  <si>
    <t>黄河旋风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</si>
  <si>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</si>
  <si>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</si>
  <si>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</si>
  <si>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</si>
  <si>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</si>
  <si>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</si>
  <si>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建筑材料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</si>
  <si>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</si>
  <si>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</si>
  <si>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</si>
  <si>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</si>
  <si>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</si>
  <si>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</si>
  <si>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</si>
  <si>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</si>
  <si>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</si>
  <si>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</si>
  <si>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www.lixinger.com/analytics/company/sh/600182/600182/detail</t>
  </si>
  <si>
    <t>生益科技</t>
  </si>
  <si>
    <t>www.lixinger.com/analytics/company/sh/600183/600183/detail</t>
  </si>
  <si>
    <t>光电股份</t>
  </si>
  <si>
    <t>www.lixinger.com/analytics/company/sh/600184/600184/detail</t>
  </si>
  <si>
    <t>格力地产</t>
  </si>
  <si>
    <t>www.lixinger.com/analytics/company/sh/600185/600185/detail</t>
  </si>
  <si>
    <t>莲花健康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</si>
  <si>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</si>
  <si>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</si>
  <si>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</si>
  <si>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</si>
  <si>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</si>
  <si>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</si>
  <si>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www.lixinger.com/analytics/company/sh/600189/600189/detail</t>
  </si>
  <si>
    <t>锦州港</t>
  </si>
  <si>
    <t>www.lixinger.com/analytics/company/sh/600190/600190/detail</t>
  </si>
  <si>
    <t>*ST华资</t>
  </si>
  <si>
    <t>www.lixinger.com/analytics/company/sh/600191/600191/detail</t>
  </si>
  <si>
    <t>长城电工</t>
  </si>
  <si>
    <t>www.lixinger.com/analytics/company/sh/600192/600192/detail</t>
  </si>
  <si>
    <t>创兴资源</t>
  </si>
  <si>
    <t>www.lixinger.com/analytics/company/sh/600193/600193/detail</t>
  </si>
  <si>
    <t>中牧股份</t>
  </si>
  <si>
    <t>www.lixinger.com/analytics/company/sh/600195/600195/detail</t>
  </si>
  <si>
    <t>复星医药</t>
  </si>
  <si>
    <t>www.lixinger.com/analytics/company/sh/600196/600196/detail</t>
  </si>
  <si>
    <t>伊力特</t>
  </si>
  <si>
    <t>www.lixinger.com/analytics/company/sh/600197/600197/detail</t>
  </si>
  <si>
    <t>大唐电信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</si>
  <si>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</si>
  <si>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</si>
  <si>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</si>
  <si>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</si>
  <si>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</si>
  <si>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</si>
  <si>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</si>
  <si>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</si>
  <si>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www.lixinger.com/analytics/company/sh/600202/600202/detail</t>
  </si>
  <si>
    <t>福日电子</t>
  </si>
  <si>
    <t>www.lixinger.com/analytics/company/sh/600203/600203/detail</t>
  </si>
  <si>
    <t>有研新材</t>
  </si>
  <si>
    <t>www.lixinger.com/analytics/company/sh/600206/600206/detail</t>
  </si>
  <si>
    <t>安彩高科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</si>
  <si>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</si>
  <si>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</si>
  <si>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</si>
  <si>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</si>
  <si>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</si>
  <si>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</si>
  <si>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</si>
  <si>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</si>
  <si>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</si>
  <si>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</si>
  <si>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</si>
  <si>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</si>
  <si>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</si>
  <si>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</si>
  <si>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</si>
  <si>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</si>
  <si>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www.lixinger.com/analytics/company/sh/600216/600216/detail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</si>
  <si>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</si>
  <si>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</si>
  <si>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</si>
  <si>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</si>
  <si>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南山铝业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</si>
  <si>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</si>
  <si>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</si>
  <si>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</si>
  <si>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</si>
  <si>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</si>
  <si>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</si>
  <si>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</si>
  <si>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</si>
  <si>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</si>
  <si>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</si>
  <si>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</si>
  <si>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</si>
  <si>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www.lixinger.com/analytics/company/sh/600226/600226/detail</t>
  </si>
  <si>
    <t>圣济堂</t>
  </si>
  <si>
    <t>www.lixinger.com/analytics/company/sh/600227/600227/detail</t>
  </si>
  <si>
    <t>返利科技</t>
  </si>
  <si>
    <t>www.lixinger.com/analytics/company/sh/600228/600228/detail</t>
  </si>
  <si>
    <t>城市传媒</t>
  </si>
  <si>
    <t>www.lixinger.com/analytics/company/sh/600229/600229/detail</t>
  </si>
  <si>
    <t>沧州大化</t>
  </si>
  <si>
    <t>www.lixinger.com/analytics/company/sh/600230/600230/detail</t>
  </si>
  <si>
    <t>凌钢股份</t>
  </si>
  <si>
    <t>www.lixinger.com/analytics/company/sh/600231/600231/detail</t>
  </si>
  <si>
    <t>金鹰股份</t>
  </si>
  <si>
    <t>www.lixinger.com/analytics/company/sh/600232/600232/detail</t>
  </si>
  <si>
    <t>圆通速递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</si>
  <si>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</si>
  <si>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</si>
  <si>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</si>
  <si>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</si>
  <si>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</si>
  <si>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</si>
  <si>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</si>
  <si>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</si>
  <si>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</si>
  <si>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</si>
  <si>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</si>
  <si>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</si>
  <si>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</si>
  <si>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</si>
  <si>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</si>
  <si>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</si>
  <si>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www.lixinger.com/analytics/company/sh/600241/600241/detail</t>
  </si>
  <si>
    <t>ST中昌</t>
  </si>
  <si>
    <t>www.lixinger.com/analytics/company/sh/600242/600242/detail</t>
  </si>
  <si>
    <t>青海华鼎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</si>
  <si>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</si>
  <si>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</si>
  <si>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</si>
  <si>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</si>
  <si>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</si>
  <si>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</si>
  <si>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</si>
  <si>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</si>
  <si>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美容护理</t>
  </si>
  <si>
    <t>www.lixinger.com/analytics/company/sh/600249/600249/detail</t>
  </si>
  <si>
    <t>南纺股份</t>
  </si>
  <si>
    <t>www.lixinger.com/analytics/company/sh/600250/600250/detail</t>
  </si>
  <si>
    <t>冠农股份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</si>
  <si>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</si>
  <si>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</si>
  <si>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</si>
  <si>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</si>
  <si>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</si>
  <si>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</si>
  <si>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www.lixinger.com/analytics/company/sh/600255/600255/detail</t>
  </si>
  <si>
    <t>广汇能源</t>
  </si>
  <si>
    <t>www.lixinger.com/analytics/company/sh/600256/600256/detail</t>
  </si>
  <si>
    <t>大湖股份</t>
  </si>
  <si>
    <t>www.lixinger.com/analytics/company/sh/600257/600257/detail</t>
  </si>
  <si>
    <t>首旅酒店</t>
  </si>
  <si>
    <t>www.lixinger.com/analytics/company/sh/600258/600258/detail</t>
  </si>
  <si>
    <t>广晟有色</t>
  </si>
  <si>
    <t>www.lixinger.com/analytics/company/sh/600259/600259/detail</t>
  </si>
  <si>
    <t>ST凯乐</t>
  </si>
  <si>
    <t>www.lixinger.com/analytics/company/sh/600260/600260/detail</t>
  </si>
  <si>
    <t>阳光照明</t>
  </si>
  <si>
    <t>www.lixinger.com/analytics/company/sh/600261/600261/detail</t>
  </si>
  <si>
    <t>北方股份</t>
  </si>
  <si>
    <t>www.lixinger.com/analytics/company/sh/600262/600262/detail</t>
  </si>
  <si>
    <t>*ST景谷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</si>
  <si>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</si>
  <si>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</si>
  <si>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</si>
  <si>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</si>
  <si>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</si>
  <si>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</si>
  <si>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</si>
  <si>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</si>
  <si>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</si>
  <si>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</si>
  <si>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</si>
  <si>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</si>
  <si>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</si>
  <si>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</si>
  <si>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</si>
  <si>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</si>
  <si>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</si>
  <si>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</si>
  <si>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</si>
  <si>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</si>
  <si>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</si>
  <si>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</si>
  <si>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</si>
  <si>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</si>
  <si>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</si>
  <si>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</si>
  <si>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</si>
  <si>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</si>
  <si>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</si>
  <si>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</si>
  <si>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</si>
  <si>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</si>
  <si>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</si>
  <si>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</si>
  <si>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</si>
  <si>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</si>
  <si>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</si>
  <si>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</si>
  <si>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</si>
  <si>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</si>
  <si>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</si>
  <si>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</si>
  <si>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</si>
  <si>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</si>
  <si>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www.lixinger.com/analytics/company/sh/600288/600288/detail</t>
  </si>
  <si>
    <t>ST信通</t>
  </si>
  <si>
    <t>www.lixinger.com/analytics/company/sh/600289/600289/detail</t>
  </si>
  <si>
    <t>ST华仪</t>
  </si>
  <si>
    <t>www.lixinger.com/analytics/company/sh/600290/600290/detail</t>
  </si>
  <si>
    <t>*ST西水</t>
  </si>
  <si>
    <t>www.lixinger.com/analytics/company/sh/600291/600291/detail</t>
  </si>
  <si>
    <t>远达环保</t>
  </si>
  <si>
    <t>www.lixinger.com/analytics/company/sh/600292/600292/detail</t>
  </si>
  <si>
    <t>三峡新材</t>
  </si>
  <si>
    <t>www.lixinger.com/analytics/company/sh/600293/600293/detail</t>
  </si>
  <si>
    <t>鄂尔多斯</t>
  </si>
  <si>
    <t>www.lixinger.com/analytics/company/sh/600295/600295/detail</t>
  </si>
  <si>
    <t>广汇汽车</t>
  </si>
  <si>
    <t>www.lixinger.com/analytics/company/sh/600297/600297/detail</t>
  </si>
  <si>
    <t>安琪酵母</t>
  </si>
  <si>
    <t>www.lixinger.com/analytics/company/sh/600298/600298/detail</t>
  </si>
  <si>
    <t>安迪苏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</si>
  <si>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</si>
  <si>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</si>
  <si>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</si>
  <si>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</si>
  <si>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</si>
  <si>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</si>
  <si>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</si>
  <si>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</si>
  <si>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</si>
  <si>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</si>
  <si>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</si>
  <si>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</si>
  <si>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</si>
  <si>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</si>
  <si>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</si>
  <si>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</si>
  <si>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</si>
  <si>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</si>
  <si>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</si>
  <si>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</si>
  <si>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</si>
  <si>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</si>
  <si>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www.lixinger.com/analytics/company/sh/600311/600311/detail</t>
  </si>
  <si>
    <t>平高电气</t>
  </si>
  <si>
    <t>www.lixinger.com/analytics/company/sh/600312/600312/detail</t>
  </si>
  <si>
    <t>农发种业</t>
  </si>
  <si>
    <t>www.lixinger.com/analytics/company/sh/600313/600313/detail</t>
  </si>
  <si>
    <t>上海家化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</si>
  <si>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</si>
  <si>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</si>
  <si>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</si>
  <si>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</si>
  <si>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</si>
  <si>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</si>
  <si>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</si>
  <si>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</si>
  <si>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</si>
  <si>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</si>
  <si>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</si>
  <si>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</si>
  <si>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</si>
  <si>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</si>
  <si>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</si>
  <si>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</si>
  <si>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</si>
  <si>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</si>
  <si>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</si>
  <si>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</si>
  <si>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www.lixinger.com/analytics/company/sh/600326/600326/detail</t>
  </si>
  <si>
    <t>大东方</t>
  </si>
  <si>
    <t>www.lixinger.com/analytics/company/sh/600327/600327/detail</t>
  </si>
  <si>
    <t>中盐化工</t>
  </si>
  <si>
    <t>www.lixinger.com/analytics/company/sh/600328/600328/detail</t>
  </si>
  <si>
    <t>中新药业</t>
  </si>
  <si>
    <t>www.lixinger.com/analytics/company/sh/600329/600329/detail</t>
  </si>
  <si>
    <t>天通股份</t>
  </si>
  <si>
    <t>www.lixinger.com/analytics/company/sh/600330/600330/detail</t>
  </si>
  <si>
    <t>宏达股份</t>
  </si>
  <si>
    <t>www.lixinger.com/analytics/company/sh/600331/600331/detail</t>
  </si>
  <si>
    <t>白云山</t>
  </si>
  <si>
    <t>www.lixinger.com/analytics/company/sh/600332/600332/detail</t>
  </si>
  <si>
    <t>长春燃气</t>
  </si>
  <si>
    <t>www.lixinger.com/analytics/company/sh/600333/600333/detail</t>
  </si>
  <si>
    <t>国机汽车</t>
  </si>
  <si>
    <t>www.lixinger.com/analytics/company/sh/600335/600335/detail</t>
  </si>
  <si>
    <t>澳柯玛</t>
  </si>
  <si>
    <t>www.lixinger.com/analytics/company/sh/600336/600336/detail</t>
  </si>
  <si>
    <t>美克家居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</si>
  <si>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</si>
  <si>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</si>
  <si>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</si>
  <si>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</si>
  <si>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</si>
  <si>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</si>
  <si>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</si>
  <si>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</si>
  <si>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</si>
  <si>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</si>
  <si>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</si>
  <si>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</si>
  <si>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</si>
  <si>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</si>
  <si>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</si>
  <si>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</si>
  <si>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</si>
  <si>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</si>
  <si>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</si>
  <si>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</si>
  <si>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</si>
  <si>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</si>
  <si>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</si>
  <si>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</si>
  <si>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</si>
  <si>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</si>
  <si>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</si>
  <si>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</si>
  <si>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</si>
  <si>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</si>
  <si>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</si>
  <si>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</si>
  <si>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</si>
  <si>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</si>
  <si>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</si>
  <si>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华联综超</t>
  </si>
  <si>
    <t>www.lixinger.com/analytics/company/sh/600361/600361/detail</t>
  </si>
  <si>
    <t>江西铜业</t>
  </si>
  <si>
    <t>www.lixinger.com/analytics/company/sh/600362/600362/detail</t>
  </si>
  <si>
    <t>联创光电</t>
  </si>
  <si>
    <t>www.lixinger.com/analytics/company/sh/600363/600363/detail</t>
  </si>
  <si>
    <t>ST通葡</t>
  </si>
  <si>
    <t>www.lixinger.com/analytics/company/sh/600365/600365/detail</t>
  </si>
  <si>
    <t>宁波韵升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</si>
  <si>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</si>
  <si>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</si>
  <si>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</si>
  <si>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</si>
  <si>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</si>
  <si>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</si>
  <si>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</si>
  <si>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</si>
  <si>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</si>
  <si>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</si>
  <si>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</si>
  <si>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</si>
  <si>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</si>
  <si>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</si>
  <si>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</si>
  <si>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</si>
  <si>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</si>
  <si>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</si>
  <si>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</si>
  <si>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</si>
  <si>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</si>
  <si>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</si>
  <si>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</si>
  <si>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</si>
  <si>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</si>
  <si>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</si>
  <si>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</si>
  <si>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</si>
  <si>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</si>
  <si>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</si>
  <si>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</si>
  <si>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</si>
  <si>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</si>
  <si>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</si>
  <si>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</si>
  <si>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</si>
  <si>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</si>
  <si>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</si>
  <si>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</si>
  <si>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</si>
  <si>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</si>
  <si>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</si>
  <si>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</si>
  <si>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</si>
  <si>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</si>
  <si>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</si>
  <si>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</si>
  <si>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</si>
  <si>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</si>
  <si>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</si>
  <si>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</si>
  <si>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</si>
  <si>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</si>
  <si>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</si>
  <si>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</si>
  <si>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</si>
  <si>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</si>
  <si>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</si>
  <si>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</si>
  <si>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</si>
  <si>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</si>
  <si>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</si>
  <si>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</si>
  <si>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</si>
  <si>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</si>
  <si>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</si>
  <si>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</si>
  <si>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</si>
  <si>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www.lixinger.com/analytics/company/sh/600405/600405/detail</t>
  </si>
  <si>
    <t>国电南瑞</t>
  </si>
  <si>
    <t>www.lixinger.com/analytics/company/sh/600406/600406/detail</t>
  </si>
  <si>
    <t>ST安泰</t>
  </si>
  <si>
    <t>www.lixinger.com/analytics/company/sh/600408/600408/detail</t>
  </si>
  <si>
    <t>三友化工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</si>
  <si>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</si>
  <si>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</si>
  <si>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</si>
  <si>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</si>
  <si>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</si>
  <si>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</si>
  <si>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www.lixinger.com/analytics/company/sh/600416/600416/detail</t>
  </si>
  <si>
    <t>江淮汽车</t>
  </si>
  <si>
    <t>www.lixinger.com/analytics/company/sh/600418/600418/detail</t>
  </si>
  <si>
    <t>天润乳业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</si>
  <si>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</si>
  <si>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</si>
  <si>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</si>
  <si>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</si>
  <si>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</si>
  <si>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</si>
  <si>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</si>
  <si>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</si>
  <si>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</si>
  <si>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</si>
  <si>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</si>
  <si>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华鲁恒升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</si>
  <si>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</si>
  <si>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</si>
  <si>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</si>
  <si>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</si>
  <si>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</si>
  <si>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</si>
  <si>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</si>
  <si>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</si>
  <si>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</si>
  <si>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</si>
  <si>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</si>
  <si>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</si>
  <si>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</si>
  <si>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</si>
  <si>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www.lixinger.com/analytics/company/sh/600438/600438/detail</t>
  </si>
  <si>
    <t>瑞贝卡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</si>
  <si>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</si>
  <si>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</si>
  <si>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</si>
  <si>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</si>
  <si>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</si>
  <si>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</si>
  <si>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</si>
  <si>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</si>
  <si>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</si>
  <si>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</si>
  <si>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</si>
  <si>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</si>
  <si>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</si>
  <si>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宝钛股份</t>
  </si>
  <si>
    <t>www.lixinger.com/analytics/company/sh/600456/600456/detail</t>
  </si>
  <si>
    <t>时代新材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</si>
  <si>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</si>
  <si>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</si>
  <si>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</si>
  <si>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</si>
  <si>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</si>
  <si>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</si>
  <si>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</si>
  <si>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</si>
  <si>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</si>
  <si>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</si>
  <si>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</si>
  <si>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</si>
  <si>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</si>
  <si>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</si>
  <si>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</si>
  <si>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</si>
  <si>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</si>
  <si>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</si>
  <si>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</si>
  <si>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</si>
  <si>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</si>
  <si>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</si>
  <si>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www.lixinger.com/analytics/company/sh/600475/600475/detail</t>
  </si>
  <si>
    <t>湘邮科技</t>
  </si>
  <si>
    <t>www.lixinger.com/analytics/company/sh/600476/600476/detail</t>
  </si>
  <si>
    <t>杭萧钢构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</si>
  <si>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</si>
  <si>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</si>
  <si>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</si>
  <si>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</si>
  <si>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</si>
  <si>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</si>
  <si>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www.lixinger.com/analytics/company/sh/600480/600480/detail</t>
  </si>
  <si>
    <t>双良节能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</si>
  <si>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</si>
  <si>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</si>
  <si>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</si>
  <si>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</si>
  <si>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</si>
  <si>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</si>
  <si>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</si>
  <si>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</si>
  <si>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</si>
  <si>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</si>
  <si>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</si>
  <si>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</si>
  <si>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</si>
  <si>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</si>
  <si>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</si>
  <si>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</si>
  <si>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</si>
  <si>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</si>
  <si>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</si>
  <si>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</si>
  <si>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www.lixinger.com/analytics/company/sh/600493/600493/detail</t>
  </si>
  <si>
    <t>晋西车轴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</si>
  <si>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</si>
  <si>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</si>
  <si>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</si>
  <si>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</si>
  <si>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</si>
  <si>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</si>
  <si>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</si>
  <si>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</si>
  <si>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</si>
  <si>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</si>
  <si>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</si>
  <si>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</si>
  <si>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</si>
  <si>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</si>
  <si>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</si>
  <si>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</si>
  <si>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</si>
  <si>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</si>
  <si>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</si>
  <si>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</si>
  <si>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</si>
  <si>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</si>
  <si>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</si>
  <si>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</si>
  <si>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</si>
  <si>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</si>
  <si>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</si>
  <si>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</si>
  <si>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</si>
  <si>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</si>
  <si>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</si>
  <si>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</si>
  <si>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</si>
  <si>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</si>
  <si>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</si>
  <si>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</si>
  <si>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</si>
  <si>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</si>
  <si>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</si>
  <si>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</si>
  <si>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</si>
  <si>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</si>
  <si>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</si>
  <si>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</si>
  <si>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</si>
  <si>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</si>
  <si>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</si>
  <si>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</si>
  <si>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</si>
  <si>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</si>
  <si>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</si>
  <si>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</si>
  <si>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</si>
  <si>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</si>
  <si>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</si>
  <si>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</si>
  <si>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</si>
  <si>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</si>
  <si>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</si>
  <si>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</si>
  <si>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</si>
  <si>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</si>
  <si>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</si>
  <si>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</si>
  <si>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</si>
  <si>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</si>
  <si>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</si>
  <si>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</si>
  <si>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</si>
  <si>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</si>
  <si>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</si>
  <si>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</si>
  <si>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</si>
  <si>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</si>
  <si>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</si>
  <si>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</si>
  <si>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</si>
  <si>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</si>
  <si>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</si>
  <si>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</si>
  <si>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</si>
  <si>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</si>
  <si>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</si>
  <si>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</si>
  <si>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</si>
  <si>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</si>
  <si>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</si>
  <si>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</si>
  <si>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</si>
  <si>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</si>
  <si>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</si>
  <si>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</si>
  <si>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</si>
  <si>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</si>
  <si>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</si>
  <si>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</si>
  <si>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</si>
  <si>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</si>
  <si>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</si>
  <si>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</si>
  <si>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www.lixinger.com/analytics/company/sh/600552/600552/detail</t>
  </si>
  <si>
    <t>*ST海创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</si>
  <si>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</si>
  <si>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</si>
  <si>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</si>
  <si>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</si>
  <si>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</si>
  <si>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</si>
  <si>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</si>
  <si>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</si>
  <si>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</si>
  <si>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</si>
  <si>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</si>
  <si>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</si>
  <si>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www.lixinger.com/analytics/company/sh/600561/600561/detail</t>
  </si>
  <si>
    <t>国睿科技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</si>
  <si>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</si>
  <si>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</si>
  <si>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</si>
  <si>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</si>
  <si>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</si>
  <si>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</si>
  <si>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</si>
  <si>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</si>
  <si>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</si>
  <si>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</si>
  <si>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</si>
  <si>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</si>
  <si>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</si>
  <si>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</si>
  <si>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</si>
  <si>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</si>
  <si>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</si>
  <si>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</si>
  <si>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</si>
  <si>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</si>
  <si>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</si>
  <si>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</si>
  <si>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</si>
  <si>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</si>
  <si>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</si>
  <si>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</si>
  <si>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</si>
  <si>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</si>
  <si>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</si>
  <si>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</si>
  <si>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</si>
  <si>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</si>
  <si>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</si>
  <si>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</si>
  <si>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</si>
  <si>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</si>
  <si>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</si>
  <si>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</si>
  <si>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</si>
  <si>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</si>
  <si>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</si>
  <si>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</si>
  <si>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</si>
  <si>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</si>
  <si>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</si>
  <si>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</si>
  <si>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</si>
  <si>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</si>
  <si>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www.lixinger.com/analytics/company/sh/600588/600588/detail</t>
  </si>
  <si>
    <t>ST榕泰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</si>
  <si>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</si>
  <si>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</si>
  <si>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</si>
  <si>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</si>
  <si>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</si>
  <si>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</si>
  <si>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</si>
  <si>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</si>
  <si>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</si>
  <si>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</si>
  <si>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</si>
  <si>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</si>
  <si>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www.lixinger.com/analytics/company/sh/600596/600596/detail</t>
  </si>
  <si>
    <t>光明乳业</t>
  </si>
  <si>
    <t>www.lixinger.com/analytics/company/sh/600597/600597/detail</t>
  </si>
  <si>
    <t>北大荒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</si>
  <si>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</si>
  <si>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</si>
  <si>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</si>
  <si>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</si>
  <si>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</si>
  <si>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</si>
  <si>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</si>
  <si>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</si>
  <si>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</si>
  <si>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</si>
  <si>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</si>
  <si>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</si>
  <si>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</si>
  <si>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</si>
  <si>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</si>
  <si>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</si>
  <si>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</si>
  <si>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</si>
  <si>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</si>
  <si>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</si>
  <si>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</si>
  <si>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</si>
  <si>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www.lixinger.com/analytics/company/sh/600610/600610/detail</t>
  </si>
  <si>
    <t>大众交通</t>
  </si>
  <si>
    <t>www.lixinger.com/analytics/company/sh/600611/600611/detail</t>
  </si>
  <si>
    <t>老凤祥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</si>
  <si>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</si>
  <si>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</si>
  <si>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</si>
  <si>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</si>
  <si>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</si>
  <si>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</si>
  <si>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</si>
  <si>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</si>
  <si>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</si>
  <si>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</si>
  <si>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</si>
  <si>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</si>
  <si>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</si>
  <si>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</si>
  <si>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</si>
  <si>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</si>
  <si>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</si>
  <si>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</si>
  <si>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</si>
  <si>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</si>
  <si>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</si>
  <si>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</si>
  <si>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</si>
  <si>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</si>
  <si>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</si>
  <si>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</si>
  <si>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</si>
  <si>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</si>
  <si>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</si>
  <si>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</si>
  <si>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</si>
  <si>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</si>
  <si>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</si>
  <si>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</si>
  <si>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</si>
  <si>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</si>
  <si>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</si>
  <si>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</si>
  <si>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</si>
  <si>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</si>
  <si>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</si>
  <si>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</si>
  <si>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</si>
  <si>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</si>
  <si>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</si>
  <si>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</si>
  <si>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</si>
  <si>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</si>
  <si>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</si>
  <si>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</si>
  <si>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</si>
  <si>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</si>
  <si>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</si>
  <si>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</si>
  <si>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</si>
  <si>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</si>
  <si>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</si>
  <si>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</si>
  <si>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</si>
  <si>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</si>
  <si>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</si>
  <si>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</si>
  <si>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</si>
  <si>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</si>
  <si>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</si>
  <si>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</si>
  <si>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</si>
  <si>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</si>
  <si>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</si>
  <si>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</si>
  <si>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</si>
  <si>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</si>
  <si>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</si>
  <si>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</si>
  <si>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</si>
  <si>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</si>
  <si>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</si>
  <si>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</si>
  <si>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</si>
  <si>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</si>
  <si>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</si>
  <si>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</si>
  <si>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</si>
  <si>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</si>
  <si>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</si>
  <si>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</si>
  <si>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</si>
  <si>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</si>
  <si>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</si>
  <si>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</si>
  <si>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</si>
  <si>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</si>
  <si>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</si>
  <si>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</si>
  <si>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</si>
  <si>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</si>
  <si>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</si>
  <si>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</si>
  <si>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</si>
  <si>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</si>
  <si>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</si>
  <si>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</si>
  <si>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</si>
  <si>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</si>
  <si>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</si>
  <si>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</si>
  <si>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</si>
  <si>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</si>
  <si>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</si>
  <si>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</si>
  <si>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</si>
  <si>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</si>
  <si>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</si>
  <si>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</si>
  <si>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</si>
  <si>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</si>
  <si>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</si>
  <si>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</si>
  <si>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</si>
  <si>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</si>
  <si>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</si>
  <si>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</si>
  <si>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</si>
  <si>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</si>
  <si>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</si>
  <si>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</si>
  <si>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</si>
  <si>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</si>
  <si>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</si>
  <si>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</si>
  <si>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</si>
  <si>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</si>
  <si>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</si>
  <si>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</si>
  <si>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</si>
  <si>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</si>
  <si>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</si>
  <si>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</si>
  <si>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</si>
  <si>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</si>
  <si>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</si>
  <si>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</si>
  <si>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</si>
  <si>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</si>
  <si>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</si>
  <si>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</si>
  <si>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</si>
  <si>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</si>
  <si>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</si>
  <si>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</si>
  <si>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</si>
  <si>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</si>
  <si>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</si>
  <si>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</si>
  <si>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</si>
  <si>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</si>
  <si>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</si>
  <si>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</si>
  <si>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</si>
  <si>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</si>
  <si>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</si>
  <si>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</si>
  <si>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</si>
  <si>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</si>
  <si>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</si>
  <si>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</si>
  <si>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</si>
  <si>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</si>
  <si>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</si>
  <si>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</si>
  <si>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</si>
  <si>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</si>
  <si>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</si>
  <si>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</si>
  <si>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</si>
  <si>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</si>
  <si>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</si>
  <si>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</si>
  <si>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</si>
  <si>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</si>
  <si>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</si>
  <si>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</si>
  <si>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</si>
  <si>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</si>
  <si>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</si>
  <si>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</si>
  <si>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</si>
  <si>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</si>
  <si>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</si>
  <si>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</si>
  <si>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</si>
  <si>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</si>
  <si>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</si>
  <si>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</si>
  <si>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</si>
  <si>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</si>
  <si>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</si>
  <si>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</si>
  <si>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</si>
  <si>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</si>
  <si>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</si>
  <si>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</si>
  <si>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</si>
  <si>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</si>
  <si>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</si>
  <si>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</si>
  <si>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</si>
  <si>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</si>
  <si>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</si>
  <si>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</si>
  <si>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</si>
  <si>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</si>
  <si>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</si>
  <si>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</si>
  <si>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</si>
  <si>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</si>
  <si>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</si>
  <si>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</si>
  <si>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</si>
  <si>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</si>
  <si>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</si>
  <si>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</si>
  <si>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</si>
  <si>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</si>
  <si>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</si>
  <si>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</si>
  <si>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</si>
  <si>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</si>
  <si>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</si>
  <si>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</si>
  <si>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</si>
  <si>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</si>
  <si>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</si>
  <si>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</si>
  <si>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</si>
  <si>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</si>
  <si>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</si>
  <si>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</si>
  <si>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</si>
  <si>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</si>
  <si>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</si>
  <si>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</si>
  <si>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</si>
  <si>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</si>
  <si>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</si>
  <si>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</si>
  <si>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</si>
  <si>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</si>
  <si>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</si>
  <si>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</si>
  <si>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</si>
  <si>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</si>
  <si>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</si>
  <si>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</si>
  <si>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</si>
  <si>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</si>
  <si>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</si>
  <si>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</si>
  <si>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</si>
  <si>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</si>
  <si>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</si>
  <si>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</si>
  <si>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</si>
  <si>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</si>
  <si>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</si>
  <si>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</si>
  <si>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</si>
  <si>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</si>
  <si>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</si>
  <si>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</si>
  <si>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</si>
  <si>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</si>
  <si>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</si>
  <si>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</si>
  <si>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</si>
  <si>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</si>
  <si>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</si>
  <si>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</si>
  <si>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</si>
  <si>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</si>
  <si>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</si>
  <si>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</si>
  <si>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</si>
  <si>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</si>
  <si>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</si>
  <si>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辽宁能源</t>
  </si>
  <si>
    <t>www.lixinger.com/analytics/company/sh/600758/600758/detail</t>
  </si>
  <si>
    <t>ST洲际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</si>
  <si>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</si>
  <si>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</si>
  <si>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</si>
  <si>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</si>
  <si>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</si>
  <si>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</si>
  <si>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</si>
  <si>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</si>
  <si>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</si>
  <si>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</si>
  <si>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</si>
  <si>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</si>
  <si>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</si>
  <si>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</si>
  <si>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</si>
  <si>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</si>
  <si>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</si>
  <si>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</si>
  <si>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</si>
  <si>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</si>
  <si>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</si>
  <si>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</si>
  <si>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</si>
  <si>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</si>
  <si>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</si>
  <si>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</si>
  <si>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</si>
  <si>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</si>
  <si>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</si>
  <si>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</si>
  <si>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</si>
  <si>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</si>
  <si>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</si>
  <si>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</si>
  <si>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</si>
  <si>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</si>
  <si>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</si>
  <si>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</si>
  <si>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</si>
  <si>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</si>
  <si>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</si>
  <si>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</si>
  <si>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</si>
  <si>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</si>
  <si>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</si>
  <si>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</si>
  <si>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</si>
  <si>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</si>
  <si>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</si>
  <si>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</si>
  <si>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</si>
  <si>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</si>
  <si>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</si>
  <si>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</si>
  <si>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</si>
  <si>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</si>
  <si>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</si>
  <si>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</si>
  <si>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</si>
  <si>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</si>
  <si>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</si>
  <si>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</si>
  <si>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</si>
  <si>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</si>
  <si>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</si>
  <si>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</si>
  <si>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</si>
  <si>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</si>
  <si>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</si>
  <si>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</si>
  <si>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</si>
  <si>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</si>
  <si>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</si>
  <si>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</si>
  <si>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</si>
  <si>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</si>
  <si>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</si>
  <si>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</si>
  <si>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</si>
  <si>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</si>
  <si>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</si>
  <si>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</si>
  <si>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</si>
  <si>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</si>
  <si>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</si>
  <si>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</si>
  <si>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</si>
  <si>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</si>
  <si>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</si>
  <si>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</si>
  <si>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</si>
  <si>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</si>
  <si>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</si>
  <si>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</si>
  <si>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</si>
  <si>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</si>
  <si>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</si>
  <si>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</si>
  <si>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</si>
  <si>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</si>
  <si>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</si>
  <si>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</si>
  <si>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</si>
  <si>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</si>
  <si>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www.lixinger.com/analytics/company/sh/600816/600816/detail</t>
  </si>
  <si>
    <t>宇通重工</t>
  </si>
  <si>
    <t>www.lixinger.com/analytics/company/sh/600817/600817/detail</t>
  </si>
  <si>
    <t>中路股份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</si>
  <si>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</si>
  <si>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</si>
  <si>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</si>
  <si>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</si>
  <si>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</si>
  <si>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</si>
  <si>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</si>
  <si>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</si>
  <si>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</si>
  <si>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</si>
  <si>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</si>
  <si>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</si>
  <si>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</si>
  <si>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</si>
  <si>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</si>
  <si>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</si>
  <si>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</si>
  <si>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</si>
  <si>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</si>
  <si>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</si>
  <si>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</si>
  <si>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</si>
  <si>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</si>
  <si>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</si>
  <si>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</si>
  <si>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</si>
  <si>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</si>
  <si>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</si>
  <si>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</si>
  <si>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</si>
  <si>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</si>
  <si>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上海机电</t>
  </si>
  <si>
    <t>www.lixinger.com/analytics/company/sh/600835/600835/detail</t>
  </si>
  <si>
    <t>上海易连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</si>
  <si>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</si>
  <si>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</si>
  <si>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</si>
  <si>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</si>
  <si>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</si>
  <si>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</si>
  <si>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</si>
  <si>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</si>
  <si>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</si>
  <si>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</si>
  <si>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</si>
  <si>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</si>
  <si>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</si>
  <si>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</si>
  <si>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</si>
  <si>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</si>
  <si>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</si>
  <si>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</si>
  <si>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</si>
  <si>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</si>
  <si>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</si>
  <si>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</si>
  <si>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</si>
  <si>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</si>
  <si>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</si>
  <si>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</si>
  <si>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</si>
  <si>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</si>
  <si>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</si>
  <si>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</si>
  <si>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</si>
  <si>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</si>
  <si>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</si>
  <si>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</si>
  <si>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</si>
  <si>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</si>
  <si>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</si>
  <si>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</si>
  <si>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</si>
  <si>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</si>
  <si>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</si>
  <si>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</si>
  <si>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</si>
  <si>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</si>
  <si>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</si>
  <si>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</si>
  <si>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</si>
  <si>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</si>
  <si>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</si>
  <si>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</si>
  <si>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</si>
  <si>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</si>
  <si>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</si>
  <si>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</si>
  <si>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</si>
  <si>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</si>
  <si>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</si>
  <si>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</si>
  <si>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</si>
  <si>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</si>
  <si>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</si>
  <si>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</si>
  <si>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</si>
  <si>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</si>
  <si>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</si>
  <si>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</si>
  <si>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</si>
  <si>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</si>
  <si>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</si>
  <si>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</si>
  <si>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</si>
  <si>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</si>
  <si>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</si>
  <si>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</si>
  <si>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</si>
  <si>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</si>
  <si>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</si>
  <si>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</si>
  <si>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</si>
  <si>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</si>
  <si>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</si>
  <si>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</si>
  <si>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</si>
  <si>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</si>
  <si>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</si>
  <si>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</si>
  <si>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</si>
  <si>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</si>
  <si>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</si>
  <si>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</si>
  <si>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</si>
  <si>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</si>
  <si>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</si>
  <si>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</si>
  <si>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</si>
  <si>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</si>
  <si>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</si>
  <si>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</si>
  <si>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</si>
  <si>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</si>
  <si>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</si>
  <si>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</si>
  <si>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</si>
  <si>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</si>
  <si>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</si>
  <si>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</si>
  <si>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</si>
  <si>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</si>
  <si>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</si>
  <si>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</si>
  <si>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</si>
  <si>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</si>
  <si>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</si>
  <si>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</si>
  <si>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</si>
  <si>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</si>
  <si>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</si>
  <si>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</si>
  <si>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</si>
  <si>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</si>
  <si>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</si>
  <si>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</si>
  <si>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</si>
  <si>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</si>
  <si>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</si>
  <si>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</si>
  <si>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</si>
  <si>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</si>
  <si>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</si>
  <si>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</si>
  <si>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</si>
  <si>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</si>
  <si>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</si>
  <si>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</si>
  <si>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</si>
  <si>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</si>
  <si>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</si>
  <si>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</si>
  <si>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</si>
  <si>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</si>
  <si>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</si>
  <si>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</si>
  <si>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</si>
  <si>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永安期货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</si>
  <si>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</si>
  <si>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</si>
  <si>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</si>
  <si>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</si>
  <si>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</si>
  <si>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</si>
  <si>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</si>
  <si>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</si>
  <si>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</si>
  <si>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</si>
  <si>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</si>
  <si>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</si>
  <si>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</si>
  <si>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</si>
  <si>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</si>
  <si>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</si>
  <si>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</si>
  <si>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</si>
  <si>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</si>
  <si>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</si>
  <si>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</si>
  <si>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</si>
  <si>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</si>
  <si>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</si>
  <si>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</si>
  <si>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</si>
  <si>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</si>
  <si>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</si>
  <si>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</si>
  <si>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</si>
  <si>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</si>
  <si>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</si>
  <si>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</si>
  <si>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</si>
  <si>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</si>
  <si>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</si>
  <si>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</si>
  <si>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</si>
  <si>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</si>
  <si>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</si>
  <si>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</si>
  <si>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</si>
  <si>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</si>
  <si>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</si>
  <si>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</si>
  <si>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</si>
  <si>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</si>
  <si>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</si>
  <si>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</si>
  <si>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</si>
  <si>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</si>
  <si>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</si>
  <si>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</si>
  <si>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</si>
  <si>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</si>
  <si>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</si>
  <si>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</si>
  <si>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</si>
  <si>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</si>
  <si>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</si>
  <si>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</si>
  <si>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</si>
  <si>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</si>
  <si>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</si>
  <si>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</si>
  <si>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</si>
  <si>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</si>
  <si>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</si>
  <si>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</si>
  <si>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</si>
  <si>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</si>
  <si>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</si>
  <si>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</si>
  <si>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</si>
  <si>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</si>
  <si>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</si>
  <si>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</si>
  <si>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</si>
  <si>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</si>
  <si>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</si>
  <si>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</si>
  <si>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</si>
  <si>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</si>
  <si>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</si>
  <si>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</si>
  <si>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</si>
  <si>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</si>
  <si>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</si>
  <si>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</si>
  <si>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</si>
  <si>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</si>
  <si>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</si>
  <si>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</si>
  <si>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</si>
  <si>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</si>
  <si>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</si>
  <si>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</si>
  <si>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</si>
  <si>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</si>
  <si>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</si>
  <si>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</si>
  <si>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</si>
  <si>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</si>
  <si>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</si>
  <si>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</si>
  <si>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</si>
  <si>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</si>
  <si>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</si>
  <si>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</si>
  <si>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</si>
  <si>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</si>
  <si>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</si>
  <si>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</si>
  <si>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</si>
  <si>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</si>
  <si>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</si>
  <si>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</si>
  <si>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</si>
  <si>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</si>
  <si>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</si>
  <si>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</si>
  <si>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</si>
  <si>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</si>
  <si>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</si>
  <si>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</si>
  <si>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</si>
  <si>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</si>
  <si>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</si>
  <si>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</si>
  <si>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</si>
  <si>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</si>
  <si>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</si>
  <si>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</si>
  <si>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</si>
  <si>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</si>
  <si>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</si>
  <si>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</si>
  <si>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</si>
  <si>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</si>
  <si>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</si>
  <si>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</si>
  <si>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</si>
  <si>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</si>
  <si>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</si>
  <si>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</si>
  <si>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</si>
  <si>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</si>
  <si>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</si>
  <si>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</si>
  <si>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</si>
  <si>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</si>
  <si>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</si>
  <si>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</si>
  <si>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</si>
  <si>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</si>
  <si>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</si>
  <si>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</si>
  <si>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</si>
  <si>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</si>
  <si>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</si>
  <si>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</si>
  <si>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</si>
  <si>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</si>
  <si>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</si>
  <si>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www.lixinger.com/analytics/company/sh/601113/601113/detail</t>
  </si>
  <si>
    <t>三江购物</t>
  </si>
  <si>
    <t>www.lixinger.com/analytics/company/sh/601116/601116/detail</t>
  </si>
  <si>
    <t>中国化学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</si>
  <si>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</si>
  <si>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</si>
  <si>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</si>
  <si>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</si>
  <si>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</si>
  <si>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</si>
  <si>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</si>
  <si>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</si>
  <si>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</si>
  <si>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</si>
  <si>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</si>
  <si>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</si>
  <si>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</si>
  <si>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</si>
  <si>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</si>
  <si>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</si>
  <si>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</si>
  <si>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</si>
  <si>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</si>
  <si>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</si>
  <si>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</si>
  <si>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</si>
  <si>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</si>
  <si>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</si>
  <si>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</si>
  <si>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</si>
  <si>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</si>
  <si>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</si>
  <si>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</si>
  <si>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</si>
  <si>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</si>
  <si>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</si>
  <si>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</si>
  <si>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</si>
  <si>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</si>
  <si>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</si>
  <si>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</si>
  <si>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</si>
  <si>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</si>
  <si>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</si>
  <si>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</si>
  <si>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</si>
  <si>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</si>
  <si>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</si>
  <si>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</si>
  <si>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</si>
  <si>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</si>
  <si>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</si>
  <si>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</si>
  <si>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</si>
  <si>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</si>
  <si>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</si>
  <si>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</si>
  <si>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</si>
  <si>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</si>
  <si>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</si>
  <si>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</si>
  <si>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</si>
  <si>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</si>
  <si>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</si>
  <si>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</si>
  <si>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</si>
  <si>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</si>
  <si>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</si>
  <si>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</si>
  <si>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</si>
  <si>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</si>
  <si>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</si>
  <si>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</si>
  <si>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</si>
  <si>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</si>
  <si>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</si>
  <si>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</si>
  <si>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</si>
  <si>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</si>
  <si>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</si>
  <si>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</si>
  <si>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</si>
  <si>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</si>
  <si>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</si>
  <si>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</si>
  <si>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</si>
  <si>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</si>
  <si>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</si>
  <si>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</si>
  <si>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</si>
  <si>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</si>
  <si>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</si>
  <si>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</si>
  <si>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</si>
  <si>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</si>
  <si>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</si>
  <si>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</si>
  <si>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</si>
  <si>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</si>
  <si>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</si>
  <si>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</si>
  <si>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</si>
  <si>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</si>
  <si>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</si>
  <si>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</si>
  <si>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</si>
  <si>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</si>
  <si>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</si>
  <si>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</si>
  <si>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</si>
  <si>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</si>
  <si>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</si>
  <si>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</si>
  <si>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</si>
  <si>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</si>
  <si>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</si>
  <si>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</si>
  <si>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</si>
  <si>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</si>
  <si>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</si>
  <si>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</si>
  <si>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</si>
  <si>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</si>
  <si>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</si>
  <si>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</si>
  <si>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</si>
  <si>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</si>
  <si>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</si>
  <si>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</si>
  <si>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</si>
  <si>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</si>
  <si>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</si>
  <si>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</si>
  <si>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</si>
  <si>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</si>
  <si>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</si>
  <si>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</si>
  <si>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</si>
  <si>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</si>
  <si>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</si>
  <si>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</si>
  <si>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</si>
  <si>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</si>
  <si>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</si>
  <si>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</si>
  <si>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</si>
  <si>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</si>
  <si>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</si>
  <si>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</si>
  <si>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</si>
  <si>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</si>
  <si>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</si>
  <si>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</si>
  <si>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</si>
  <si>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</si>
  <si>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</si>
  <si>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</si>
  <si>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</si>
  <si>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</si>
  <si>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</si>
  <si>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</si>
  <si>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</si>
  <si>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</si>
  <si>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</si>
  <si>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</si>
  <si>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</si>
  <si>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</si>
  <si>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</si>
  <si>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</si>
  <si>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</si>
  <si>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</si>
  <si>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</si>
  <si>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</si>
  <si>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</si>
  <si>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</si>
  <si>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</si>
  <si>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</si>
  <si>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</si>
  <si>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</si>
  <si>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</si>
  <si>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</si>
  <si>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</si>
  <si>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</si>
  <si>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</si>
  <si>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</si>
  <si>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</si>
  <si>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</si>
  <si>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</si>
  <si>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</si>
  <si>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</si>
  <si>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</si>
  <si>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</si>
  <si>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</si>
  <si>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</si>
  <si>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</si>
  <si>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</si>
  <si>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</si>
  <si>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</si>
  <si>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</si>
  <si>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</si>
  <si>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</si>
  <si>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</si>
  <si>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</si>
  <si>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</si>
  <si>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</si>
  <si>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</si>
  <si>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</si>
  <si>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</si>
  <si>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</si>
  <si>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</si>
  <si>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</si>
  <si>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</si>
  <si>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</si>
  <si>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</si>
  <si>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</si>
  <si>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</si>
  <si>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</si>
  <si>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</si>
  <si>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</si>
  <si>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</si>
  <si>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</si>
  <si>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</si>
  <si>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</si>
  <si>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</si>
  <si>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</si>
  <si>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</si>
  <si>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</si>
  <si>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</si>
  <si>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</si>
  <si>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</si>
  <si>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</si>
  <si>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</si>
  <si>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</si>
  <si>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</si>
  <si>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</si>
  <si>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</si>
  <si>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</si>
  <si>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</si>
  <si>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</si>
  <si>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</si>
  <si>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</si>
  <si>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</si>
  <si>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</si>
  <si>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</si>
  <si>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</si>
  <si>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</si>
  <si>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</si>
  <si>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</si>
  <si>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</si>
  <si>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</si>
  <si>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</si>
  <si>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</si>
  <si>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</si>
  <si>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</si>
  <si>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</si>
  <si>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</si>
  <si>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</si>
  <si>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</si>
  <si>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</si>
  <si>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</si>
  <si>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</si>
  <si>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</si>
  <si>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</si>
  <si>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</si>
  <si>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</si>
  <si>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</si>
  <si>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</si>
  <si>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</si>
  <si>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</si>
  <si>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</si>
  <si>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</si>
  <si>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</si>
  <si>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</si>
  <si>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</si>
  <si>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</si>
  <si>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</si>
  <si>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</si>
  <si>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</si>
  <si>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</si>
  <si>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</si>
  <si>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</si>
  <si>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</si>
  <si>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</si>
  <si>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</si>
  <si>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</si>
  <si>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</si>
  <si>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</si>
  <si>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</si>
  <si>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</si>
  <si>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</si>
  <si>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</si>
  <si>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www.lixinger.com/analytics/company/sh/601882/601882/detail</t>
  </si>
  <si>
    <t>江河集团</t>
  </si>
  <si>
    <t>www.lixinger.com/analytics/company/sh/601886/601886/detail</t>
  </si>
  <si>
    <t>中国中免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</si>
  <si>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</si>
  <si>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</si>
  <si>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</si>
  <si>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</si>
  <si>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</si>
  <si>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</si>
  <si>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</si>
  <si>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</si>
  <si>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</si>
  <si>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</si>
  <si>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</si>
  <si>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</si>
  <si>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</si>
  <si>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</si>
  <si>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</si>
  <si>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</si>
  <si>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</si>
  <si>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</si>
  <si>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</si>
  <si>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</si>
  <si>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</si>
  <si>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</si>
  <si>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</si>
  <si>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</si>
  <si>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</si>
  <si>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</si>
  <si>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</si>
  <si>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</si>
  <si>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</si>
  <si>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</si>
  <si>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</si>
  <si>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</si>
  <si>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</si>
  <si>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</si>
  <si>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</si>
  <si>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</si>
  <si>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www.lixinger.com/analytics/company/sh/601958/601958/detail</t>
  </si>
  <si>
    <t>重庆银行</t>
  </si>
  <si>
    <t>www.lixinger.com/analytics/company/sh/601963/601963/detail</t>
  </si>
  <si>
    <t>中国汽研</t>
  </si>
  <si>
    <t>www.lixinger.com/analytics/company/sh/601965/601965/detail</t>
  </si>
  <si>
    <t>玲珑轮胎</t>
  </si>
  <si>
    <t>www.lixinger.com/analytics/company/sh/601966/601966/detail</t>
  </si>
  <si>
    <t>宝钢包装</t>
  </si>
  <si>
    <t>www.lixinger.com/analytics/company/sh/601968/601968/detail</t>
  </si>
  <si>
    <t>海南矿业</t>
  </si>
  <si>
    <t>www.lixinger.com/analytics/company/sh/601969/601969/detail</t>
  </si>
  <si>
    <t>招商南油</t>
  </si>
  <si>
    <t>www.lixinger.com/analytics/company/sh/601975/601975/detail</t>
  </si>
  <si>
    <t>中国核电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</si>
  <si>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</si>
  <si>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</si>
  <si>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</si>
  <si>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</si>
  <si>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</si>
  <si>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</si>
  <si>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</si>
  <si>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</si>
  <si>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</si>
  <si>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</si>
  <si>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</si>
  <si>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</si>
  <si>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</si>
  <si>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</si>
  <si>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</si>
  <si>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</si>
  <si>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</si>
  <si>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</si>
  <si>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</si>
  <si>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</si>
  <si>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</si>
  <si>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</si>
  <si>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</si>
  <si>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</si>
  <si>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</si>
  <si>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</si>
  <si>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</si>
  <si>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</si>
  <si>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</si>
  <si>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</si>
  <si>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</si>
  <si>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</si>
  <si>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</si>
  <si>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</si>
  <si>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</si>
  <si>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</si>
  <si>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</si>
  <si>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</si>
  <si>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</si>
  <si>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</si>
  <si>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</si>
  <si>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</si>
  <si>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</si>
  <si>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</si>
  <si>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</si>
  <si>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</si>
  <si>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</si>
  <si>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</si>
  <si>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</si>
  <si>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</si>
  <si>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</si>
  <si>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</si>
  <si>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</si>
  <si>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</si>
  <si>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</si>
  <si>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</si>
  <si>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</si>
  <si>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</si>
  <si>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</si>
  <si>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</si>
  <si>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www.lixinger.com/analytics/company/sh/603021/603021/detail</t>
  </si>
  <si>
    <t>新通联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</si>
  <si>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</si>
  <si>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</si>
  <si>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</si>
  <si>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</si>
  <si>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</si>
  <si>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</si>
  <si>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</si>
  <si>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</si>
  <si>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</si>
  <si>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</si>
  <si>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</si>
  <si>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</si>
  <si>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</si>
  <si>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</si>
  <si>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</si>
  <si>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</si>
  <si>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</si>
  <si>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</si>
  <si>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</si>
  <si>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</si>
  <si>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</si>
  <si>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</si>
  <si>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</si>
  <si>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</si>
  <si>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</si>
  <si>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</si>
  <si>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</si>
  <si>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</si>
  <si>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</si>
  <si>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</si>
  <si>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</si>
  <si>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</si>
  <si>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</si>
  <si>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</si>
  <si>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</si>
  <si>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</si>
  <si>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</si>
  <si>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</si>
  <si>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</si>
  <si>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</si>
  <si>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</si>
  <si>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</si>
  <si>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</si>
  <si>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</si>
  <si>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</si>
  <si>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</si>
  <si>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</si>
  <si>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</si>
  <si>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</si>
  <si>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</si>
  <si>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</si>
  <si>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</si>
  <si>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</si>
  <si>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</si>
  <si>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</si>
  <si>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</si>
  <si>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</si>
  <si>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</si>
  <si>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</si>
  <si>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</si>
  <si>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</si>
  <si>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</si>
  <si>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</si>
  <si>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</si>
  <si>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</si>
  <si>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</si>
  <si>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</si>
  <si>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</si>
  <si>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</si>
  <si>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</si>
  <si>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</si>
  <si>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</si>
  <si>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</si>
  <si>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</si>
  <si>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</si>
  <si>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</si>
  <si>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</si>
  <si>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</si>
  <si>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</si>
  <si>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</si>
  <si>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</si>
  <si>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</si>
  <si>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</si>
  <si>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</si>
  <si>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</si>
  <si>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</si>
  <si>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</si>
  <si>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</si>
  <si>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</si>
  <si>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</si>
  <si>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</si>
  <si>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</si>
  <si>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</si>
  <si>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</si>
  <si>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</si>
  <si>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</si>
  <si>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</si>
  <si>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</si>
  <si>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</si>
  <si>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</si>
  <si>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</si>
  <si>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</si>
  <si>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</si>
  <si>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</si>
  <si>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</si>
  <si>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</si>
  <si>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</si>
  <si>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</si>
  <si>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</si>
  <si>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</si>
  <si>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</si>
  <si>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</si>
  <si>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</si>
  <si>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</si>
  <si>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</si>
  <si>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</si>
  <si>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</si>
  <si>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</si>
  <si>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www.lixinger.com/analytics/company/sh/603108/603108/detail</t>
  </si>
  <si>
    <t>神驰机电</t>
  </si>
  <si>
    <t>www.lixinger.com/analytics/company/sh/603109/603109/detail</t>
  </si>
  <si>
    <t>东方材料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</si>
  <si>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</si>
  <si>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</si>
  <si>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</si>
  <si>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</si>
  <si>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</si>
  <si>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</si>
  <si>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</si>
  <si>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</si>
  <si>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</si>
  <si>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</si>
  <si>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</si>
  <si>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</si>
  <si>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</si>
  <si>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</si>
  <si>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</si>
  <si>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</si>
  <si>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</si>
  <si>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</si>
  <si>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</si>
  <si>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</si>
  <si>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</si>
  <si>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</si>
  <si>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</si>
  <si>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</si>
  <si>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</si>
  <si>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</si>
  <si>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</si>
  <si>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</si>
  <si>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</si>
  <si>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</si>
  <si>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</si>
  <si>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</si>
  <si>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</si>
  <si>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</si>
  <si>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</si>
  <si>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</si>
  <si>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</si>
  <si>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</si>
  <si>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</si>
  <si>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</si>
  <si>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</si>
  <si>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</si>
  <si>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</si>
  <si>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</si>
  <si>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</si>
  <si>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</si>
  <si>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</si>
  <si>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</si>
  <si>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</si>
  <si>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</si>
  <si>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</si>
  <si>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</si>
  <si>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</si>
  <si>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</si>
  <si>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</si>
  <si>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</si>
  <si>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</si>
  <si>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</si>
  <si>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</si>
  <si>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</si>
  <si>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</si>
  <si>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</si>
  <si>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</si>
  <si>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</si>
  <si>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</si>
  <si>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</si>
  <si>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</si>
  <si>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</si>
  <si>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</si>
  <si>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</si>
  <si>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</si>
  <si>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</si>
  <si>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</si>
  <si>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</si>
  <si>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</si>
  <si>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</si>
  <si>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</si>
  <si>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</si>
  <si>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</si>
  <si>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</si>
  <si>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</si>
  <si>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</si>
  <si>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</si>
  <si>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</si>
  <si>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</si>
  <si>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</si>
  <si>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</si>
  <si>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</si>
  <si>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</si>
  <si>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</si>
  <si>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</si>
  <si>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</si>
  <si>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</si>
  <si>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</si>
  <si>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</si>
  <si>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</si>
  <si>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</si>
  <si>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</si>
  <si>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</si>
  <si>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</si>
  <si>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</si>
  <si>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</si>
  <si>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</si>
  <si>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</si>
  <si>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</si>
  <si>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</si>
  <si>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</si>
  <si>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</si>
  <si>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</si>
  <si>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</si>
  <si>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</si>
  <si>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</si>
  <si>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</si>
  <si>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</si>
  <si>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</si>
  <si>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</si>
  <si>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</si>
  <si>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</si>
  <si>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</si>
  <si>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</si>
  <si>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</si>
  <si>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</si>
  <si>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</si>
  <si>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</si>
  <si>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</si>
  <si>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</si>
  <si>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</si>
  <si>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</si>
  <si>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</si>
  <si>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</si>
  <si>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</si>
  <si>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</si>
  <si>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</si>
  <si>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</si>
  <si>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www.lixinger.com/analytics/company/sh/603225/603225/detail</t>
  </si>
  <si>
    <t>菲林格尔</t>
  </si>
  <si>
    <t>www.lixinger.com/analytics/company/sh/603226/603226/detail</t>
  </si>
  <si>
    <t>雪峰科技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</si>
  <si>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</si>
  <si>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</si>
  <si>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</si>
  <si>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</si>
  <si>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</si>
  <si>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</si>
  <si>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</si>
  <si>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</si>
  <si>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</si>
  <si>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</si>
  <si>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</si>
  <si>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</si>
  <si>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</si>
  <si>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</si>
  <si>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</si>
  <si>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</si>
  <si>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</si>
  <si>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</si>
  <si>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</si>
  <si>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</si>
  <si>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</si>
  <si>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</si>
  <si>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</si>
  <si>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</si>
  <si>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</si>
  <si>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</si>
  <si>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</si>
  <si>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</si>
  <si>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</si>
  <si>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</si>
  <si>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</si>
  <si>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</si>
  <si>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</si>
  <si>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</si>
  <si>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</si>
  <si>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</si>
  <si>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</si>
  <si>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</si>
  <si>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</si>
  <si>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</si>
  <si>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</si>
  <si>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</si>
  <si>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</si>
  <si>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</si>
  <si>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</si>
  <si>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</si>
  <si>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</si>
  <si>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</si>
  <si>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</si>
  <si>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</si>
  <si>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</si>
  <si>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</si>
  <si>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</si>
  <si>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</si>
  <si>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</si>
  <si>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</si>
  <si>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</si>
  <si>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</si>
  <si>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</si>
  <si>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</si>
  <si>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</si>
  <si>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</si>
  <si>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</si>
  <si>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</si>
  <si>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</si>
  <si>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</si>
  <si>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</si>
  <si>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</si>
  <si>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</si>
  <si>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</si>
  <si>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</si>
  <si>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</si>
  <si>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</si>
  <si>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</si>
  <si>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</si>
  <si>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</si>
  <si>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</si>
  <si>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</si>
  <si>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</si>
  <si>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</si>
  <si>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</si>
  <si>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</si>
  <si>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</si>
  <si>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</si>
  <si>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</si>
  <si>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</si>
  <si>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</si>
  <si>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</si>
  <si>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</si>
  <si>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</si>
  <si>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</si>
  <si>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</si>
  <si>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</si>
  <si>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</si>
  <si>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</si>
  <si>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</si>
  <si>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</si>
  <si>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</si>
  <si>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</si>
  <si>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</si>
  <si>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</si>
  <si>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</si>
  <si>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</si>
  <si>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</si>
  <si>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</si>
  <si>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</si>
  <si>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</si>
  <si>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</si>
  <si>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</si>
  <si>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</si>
  <si>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</si>
  <si>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</si>
  <si>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</si>
  <si>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</si>
  <si>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</si>
  <si>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</si>
  <si>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</si>
  <si>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</si>
  <si>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</si>
  <si>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</si>
  <si>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</si>
  <si>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</si>
  <si>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</si>
  <si>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</si>
  <si>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</si>
  <si>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</si>
  <si>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</si>
  <si>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</si>
  <si>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</si>
  <si>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</si>
  <si>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</si>
  <si>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</si>
  <si>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</si>
  <si>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</si>
  <si>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</si>
  <si>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</si>
  <si>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</si>
  <si>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</si>
  <si>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</si>
  <si>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</si>
  <si>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</si>
  <si>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</si>
  <si>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www.lixinger.com/analytics/company/sh/603363/603363/detail</t>
  </si>
  <si>
    <t>水星家纺</t>
  </si>
  <si>
    <t>www.lixinger.com/analytics/company/sh/603365/603365/detail</t>
  </si>
  <si>
    <t>日出东方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</si>
  <si>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</si>
  <si>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</si>
  <si>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</si>
  <si>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</si>
  <si>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</si>
  <si>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</si>
  <si>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</si>
  <si>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</si>
  <si>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</si>
  <si>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</si>
  <si>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</si>
  <si>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</si>
  <si>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</si>
  <si>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</si>
  <si>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</si>
  <si>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</si>
  <si>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</si>
  <si>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</si>
  <si>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</si>
  <si>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</si>
  <si>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</si>
  <si>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</si>
  <si>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</si>
  <si>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</si>
  <si>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</si>
  <si>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</si>
  <si>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</si>
  <si>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</si>
  <si>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</si>
  <si>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</si>
  <si>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</si>
  <si>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</si>
  <si>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</si>
  <si>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</si>
  <si>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</si>
  <si>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</si>
  <si>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</si>
  <si>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</si>
  <si>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</si>
  <si>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</si>
  <si>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</si>
  <si>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</si>
  <si>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</si>
  <si>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</si>
  <si>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</si>
  <si>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</si>
  <si>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</si>
  <si>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</si>
  <si>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</si>
  <si>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</si>
  <si>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</si>
  <si>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</si>
  <si>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</si>
  <si>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</si>
  <si>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</si>
  <si>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</si>
  <si>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www.lixinger.com/analytics/company/sh/603466/603466/detail</t>
  </si>
  <si>
    <t>巨星农牧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</si>
  <si>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</si>
  <si>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</si>
  <si>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</si>
  <si>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</si>
  <si>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</si>
  <si>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</si>
  <si>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</si>
  <si>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</si>
  <si>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</si>
  <si>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</si>
  <si>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</si>
  <si>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</si>
  <si>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</si>
  <si>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</si>
  <si>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</si>
  <si>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</si>
  <si>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</si>
  <si>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</si>
  <si>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www.lixinger.com/analytics/company/sh/603506/603506/detail</t>
  </si>
  <si>
    <t>振江股份</t>
  </si>
  <si>
    <t>www.lixinger.com/analytics/company/sh/603507/603507/detail</t>
  </si>
  <si>
    <t>思维列控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</si>
  <si>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</si>
  <si>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</si>
  <si>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</si>
  <si>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</si>
  <si>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</si>
  <si>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</si>
  <si>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</si>
  <si>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</si>
  <si>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</si>
  <si>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</si>
  <si>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</si>
  <si>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</si>
  <si>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</si>
  <si>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</si>
  <si>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</si>
  <si>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</si>
  <si>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</si>
  <si>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</si>
  <si>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</si>
  <si>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</si>
  <si>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</si>
  <si>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</si>
  <si>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</si>
  <si>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</si>
  <si>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</si>
  <si>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</si>
  <si>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</si>
  <si>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</si>
  <si>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</si>
  <si>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</si>
  <si>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</si>
  <si>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</si>
  <si>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</si>
  <si>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</si>
  <si>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</si>
  <si>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</si>
  <si>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</si>
  <si>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</si>
  <si>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</si>
  <si>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</si>
  <si>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</si>
  <si>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</si>
  <si>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</si>
  <si>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</si>
  <si>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</si>
  <si>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</si>
  <si>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</si>
  <si>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</si>
  <si>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</si>
  <si>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</si>
  <si>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</si>
  <si>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</si>
  <si>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</si>
  <si>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</si>
  <si>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</si>
  <si>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</si>
  <si>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</si>
  <si>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</si>
  <si>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</si>
  <si>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</si>
  <si>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</si>
  <si>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</si>
  <si>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</si>
  <si>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</si>
  <si>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</si>
  <si>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</si>
  <si>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</si>
  <si>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</si>
  <si>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</si>
  <si>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</si>
  <si>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</si>
  <si>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</si>
  <si>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</si>
  <si>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</si>
  <si>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</si>
  <si>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</si>
  <si>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</si>
  <si>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</si>
  <si>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</si>
  <si>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</si>
  <si>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</si>
  <si>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</si>
  <si>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</si>
  <si>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</si>
  <si>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</si>
  <si>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</si>
  <si>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</si>
  <si>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</si>
  <si>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</si>
  <si>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</si>
  <si>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</si>
  <si>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</si>
  <si>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</si>
  <si>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</si>
  <si>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</si>
  <si>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</si>
  <si>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</si>
  <si>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</si>
  <si>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</si>
  <si>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</si>
  <si>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</si>
  <si>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</si>
  <si>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</si>
  <si>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</si>
  <si>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</si>
  <si>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</si>
  <si>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</si>
  <si>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</si>
  <si>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www.lixinger.com/analytics/company/sh/603613/603613/detail</t>
  </si>
  <si>
    <t>茶花股份</t>
  </si>
  <si>
    <t>www.lixinger.com/analytics/company/sh/603615/603615/detail</t>
  </si>
  <si>
    <t>韩建河山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</si>
  <si>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</si>
  <si>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</si>
  <si>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</si>
  <si>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</si>
  <si>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</si>
  <si>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</si>
  <si>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</si>
  <si>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</si>
  <si>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</si>
  <si>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</si>
  <si>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</si>
  <si>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</si>
  <si>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</si>
  <si>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</si>
  <si>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</si>
  <si>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</si>
  <si>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</si>
  <si>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</si>
  <si>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</si>
  <si>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</si>
  <si>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</si>
  <si>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</si>
  <si>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</si>
  <si>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</si>
  <si>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</si>
  <si>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</si>
  <si>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www.lixinger.com/analytics/company/sh/603648/603648/detail</t>
  </si>
  <si>
    <t>彤程新材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</si>
  <si>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</si>
  <si>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</si>
  <si>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</si>
  <si>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</si>
  <si>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</si>
  <si>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</si>
  <si>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</si>
  <si>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</si>
  <si>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</si>
  <si>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</si>
  <si>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</si>
  <si>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</si>
  <si>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</si>
  <si>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</si>
  <si>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</si>
  <si>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</si>
  <si>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</si>
  <si>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</si>
  <si>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</si>
  <si>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</si>
  <si>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</si>
  <si>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</si>
  <si>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</si>
  <si>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</si>
  <si>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</si>
  <si>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</si>
  <si>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</si>
  <si>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</si>
  <si>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</si>
  <si>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</si>
  <si>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</si>
  <si>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</si>
  <si>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</si>
  <si>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</si>
  <si>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</si>
  <si>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</si>
  <si>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</si>
  <si>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</si>
  <si>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</si>
  <si>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</si>
  <si>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</si>
  <si>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</si>
  <si>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</si>
  <si>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</si>
  <si>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</si>
  <si>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</si>
  <si>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</si>
  <si>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</si>
  <si>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</si>
  <si>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</si>
  <si>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</si>
  <si>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</si>
  <si>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</si>
  <si>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</si>
  <si>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</si>
  <si>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</si>
  <si>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</si>
  <si>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</si>
  <si>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</si>
  <si>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</si>
  <si>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</si>
  <si>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</si>
  <si>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</si>
  <si>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</si>
  <si>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</si>
  <si>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</si>
  <si>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</si>
  <si>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</si>
  <si>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</si>
  <si>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</si>
  <si>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</si>
  <si>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</si>
  <si>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</si>
  <si>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</si>
  <si>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</si>
  <si>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</si>
  <si>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</si>
  <si>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</si>
  <si>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</si>
  <si>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</si>
  <si>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</si>
  <si>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</si>
  <si>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</si>
  <si>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</si>
  <si>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</si>
  <si>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</si>
  <si>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</si>
  <si>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</si>
  <si>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</si>
  <si>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</si>
  <si>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</si>
  <si>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</si>
  <si>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</si>
  <si>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</si>
  <si>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</si>
  <si>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</si>
  <si>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</si>
  <si>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</si>
  <si>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</si>
  <si>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</si>
  <si>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</si>
  <si>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</si>
  <si>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</si>
  <si>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</si>
  <si>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</si>
  <si>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</si>
  <si>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</si>
  <si>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</si>
  <si>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</si>
  <si>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</si>
  <si>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</si>
  <si>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</si>
  <si>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</si>
  <si>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</si>
  <si>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</si>
  <si>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</si>
  <si>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</si>
  <si>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</si>
  <si>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</si>
  <si>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</si>
  <si>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</si>
  <si>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</si>
  <si>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</si>
  <si>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</si>
  <si>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</si>
  <si>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</si>
  <si>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</si>
  <si>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</si>
  <si>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</si>
  <si>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</si>
  <si>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</si>
  <si>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</si>
  <si>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</si>
  <si>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</si>
  <si>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</si>
  <si>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</si>
  <si>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</si>
  <si>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</si>
  <si>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</si>
  <si>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</si>
  <si>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</si>
  <si>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</si>
  <si>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</si>
  <si>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</si>
  <si>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</si>
  <si>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</si>
  <si>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</si>
  <si>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</si>
  <si>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</si>
  <si>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</si>
  <si>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</si>
  <si>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</si>
  <si>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</si>
  <si>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</si>
  <si>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</si>
  <si>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</si>
  <si>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</si>
  <si>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</si>
  <si>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</si>
  <si>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</si>
  <si>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</si>
  <si>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</si>
  <si>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</si>
  <si>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</si>
  <si>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</si>
  <si>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</si>
  <si>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</si>
  <si>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</si>
  <si>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</si>
  <si>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</si>
  <si>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</si>
  <si>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</si>
  <si>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</si>
  <si>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</si>
  <si>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</si>
  <si>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</si>
  <si>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</si>
  <si>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</si>
  <si>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</si>
  <si>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</si>
  <si>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</si>
  <si>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</si>
  <si>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</si>
  <si>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</si>
  <si>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</si>
  <si>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</si>
  <si>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</si>
  <si>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</si>
  <si>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</si>
  <si>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</si>
  <si>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</si>
  <si>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</si>
  <si>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</si>
  <si>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</si>
  <si>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</si>
  <si>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</si>
  <si>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</si>
  <si>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</si>
  <si>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</si>
  <si>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</si>
  <si>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</si>
  <si>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</si>
  <si>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</si>
  <si>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</si>
  <si>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</si>
  <si>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</si>
  <si>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</si>
  <si>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</si>
  <si>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</si>
  <si>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</si>
  <si>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</si>
  <si>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</si>
  <si>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</si>
  <si>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</si>
  <si>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</si>
  <si>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</si>
  <si>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</si>
  <si>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</si>
  <si>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</si>
  <si>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</si>
  <si>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</si>
  <si>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</si>
  <si>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</si>
  <si>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</si>
  <si>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</si>
  <si>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</si>
  <si>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</si>
  <si>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</si>
  <si>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</si>
  <si>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</si>
  <si>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</si>
  <si>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</si>
  <si>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</si>
  <si>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</si>
  <si>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</si>
  <si>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</si>
  <si>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</si>
  <si>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</si>
  <si>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</si>
  <si>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</si>
  <si>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</si>
  <si>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</si>
  <si>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</si>
  <si>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</si>
  <si>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</si>
  <si>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</si>
  <si>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</si>
  <si>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</si>
  <si>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</si>
  <si>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</si>
  <si>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</si>
  <si>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</si>
  <si>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</si>
  <si>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</si>
  <si>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</si>
  <si>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</si>
  <si>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</si>
  <si>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</si>
  <si>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</si>
  <si>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</si>
  <si>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</si>
  <si>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</si>
  <si>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</si>
  <si>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</si>
  <si>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</si>
  <si>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</si>
  <si>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</si>
  <si>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</si>
  <si>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</si>
  <si>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</si>
  <si>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</si>
  <si>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</si>
  <si>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</si>
  <si>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</si>
  <si>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www.lixinger.com/analytics/company/sh/603899/603899/detail</t>
  </si>
  <si>
    <t>莱绅通灵</t>
  </si>
  <si>
    <t>www.lixinger.com/analytics/company/sh/603900/603900/detail</t>
  </si>
  <si>
    <t>永创智能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</si>
  <si>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</si>
  <si>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</si>
  <si>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</si>
  <si>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</si>
  <si>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</si>
  <si>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</si>
  <si>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</si>
  <si>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</si>
  <si>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</si>
  <si>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</si>
  <si>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</si>
  <si>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</si>
  <si>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</si>
  <si>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</si>
  <si>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</si>
  <si>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</si>
  <si>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</si>
  <si>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</si>
  <si>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</si>
  <si>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</si>
  <si>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</si>
  <si>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</si>
  <si>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</si>
  <si>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</si>
  <si>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</si>
  <si>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</si>
  <si>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</si>
  <si>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</si>
  <si>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</si>
  <si>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</si>
  <si>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</si>
  <si>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</si>
  <si>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</si>
  <si>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</si>
  <si>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</si>
  <si>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</si>
  <si>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</si>
  <si>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</si>
  <si>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</si>
  <si>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</si>
  <si>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</si>
  <si>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</si>
  <si>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</si>
  <si>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</si>
  <si>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</si>
  <si>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</si>
  <si>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</si>
  <si>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</si>
  <si>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</si>
  <si>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</si>
  <si>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</si>
  <si>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</si>
  <si>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</si>
  <si>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</si>
  <si>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</si>
  <si>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</si>
  <si>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</si>
  <si>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</si>
  <si>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</si>
  <si>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</si>
  <si>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</si>
  <si>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</si>
  <si>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</si>
  <si>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</si>
  <si>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</si>
  <si>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</si>
  <si>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</si>
  <si>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</si>
  <si>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</si>
  <si>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</si>
  <si>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</si>
  <si>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</si>
  <si>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</si>
  <si>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</si>
  <si>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</si>
  <si>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</si>
  <si>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</si>
  <si>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</si>
  <si>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</si>
  <si>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</si>
  <si>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</si>
  <si>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</si>
  <si>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</si>
  <si>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</si>
  <si>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</si>
  <si>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</si>
  <si>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</si>
  <si>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</si>
  <si>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</si>
  <si>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</si>
  <si>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</si>
  <si>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</si>
  <si>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</si>
  <si>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</si>
  <si>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</si>
  <si>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</si>
  <si>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</si>
  <si>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</si>
  <si>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</si>
  <si>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</si>
  <si>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</si>
  <si>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</si>
  <si>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</si>
  <si>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</si>
  <si>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</si>
  <si>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</si>
  <si>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</si>
  <si>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</si>
  <si>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</si>
  <si>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</si>
  <si>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</si>
  <si>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</si>
  <si>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</si>
  <si>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</si>
  <si>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</si>
  <si>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</si>
  <si>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</si>
  <si>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</si>
  <si>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</si>
  <si>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</si>
  <si>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</si>
  <si>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</si>
  <si>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</si>
  <si>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</si>
  <si>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</si>
  <si>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</si>
  <si>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</si>
  <si>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</si>
  <si>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</si>
  <si>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</si>
  <si>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</si>
  <si>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</si>
  <si>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</si>
  <si>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</si>
  <si>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</si>
  <si>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</si>
  <si>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</si>
  <si>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</si>
  <si>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</si>
  <si>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</si>
  <si>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</si>
  <si>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</si>
  <si>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</si>
  <si>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</si>
  <si>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</si>
  <si>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</si>
  <si>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</si>
  <si>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</si>
  <si>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</si>
  <si>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</si>
  <si>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</si>
  <si>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</si>
  <si>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</si>
  <si>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</si>
  <si>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</si>
  <si>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</si>
  <si>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</si>
  <si>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</si>
  <si>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</si>
  <si>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</si>
  <si>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</si>
  <si>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</si>
  <si>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</si>
  <si>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</si>
  <si>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</si>
  <si>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</si>
  <si>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</si>
  <si>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</si>
  <si>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</si>
  <si>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</si>
  <si>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</si>
  <si>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</si>
  <si>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</si>
  <si>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</si>
  <si>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</si>
  <si>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</si>
  <si>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</si>
  <si>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</si>
  <si>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</si>
  <si>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</si>
  <si>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</si>
  <si>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</si>
  <si>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</si>
  <si>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</si>
  <si>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</si>
  <si>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</si>
  <si>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</si>
  <si>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</si>
  <si>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</si>
  <si>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</si>
  <si>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</si>
  <si>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</si>
  <si>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</si>
  <si>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</si>
  <si>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</si>
  <si>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</si>
  <si>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</si>
  <si>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</si>
  <si>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</si>
  <si>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</si>
  <si>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</si>
  <si>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</si>
  <si>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</si>
  <si>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</si>
  <si>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</si>
  <si>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</si>
  <si>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</si>
  <si>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</si>
  <si>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</si>
  <si>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</si>
  <si>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</si>
  <si>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</si>
  <si>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</si>
  <si>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</si>
  <si>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</si>
  <si>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</si>
  <si>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</si>
  <si>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</si>
  <si>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</si>
  <si>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</si>
  <si>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</si>
  <si>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</si>
  <si>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</si>
  <si>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</si>
  <si>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</si>
  <si>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</si>
  <si>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</si>
  <si>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</si>
  <si>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</si>
  <si>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</si>
  <si>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</si>
  <si>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</si>
  <si>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</si>
  <si>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</si>
  <si>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</si>
  <si>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</si>
  <si>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</si>
  <si>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</si>
  <si>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</si>
  <si>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</si>
  <si>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</si>
  <si>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</si>
  <si>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</si>
  <si>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</si>
  <si>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</si>
  <si>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</si>
  <si>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</si>
  <si>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</si>
  <si>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</si>
  <si>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</si>
  <si>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</si>
  <si>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</si>
  <si>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</si>
  <si>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</si>
  <si>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</si>
  <si>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</si>
  <si>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</si>
  <si>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</si>
  <si>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</si>
  <si>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</si>
  <si>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</si>
  <si>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</si>
  <si>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</si>
  <si>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</si>
  <si>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</si>
  <si>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</si>
  <si>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</si>
  <si>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</si>
  <si>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</si>
  <si>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</si>
  <si>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</si>
  <si>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</si>
  <si>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</si>
  <si>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</si>
  <si>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</si>
  <si>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</si>
  <si>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</si>
  <si>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</si>
  <si>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</si>
  <si>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</si>
  <si>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</si>
  <si>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</si>
  <si>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</si>
  <si>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</si>
  <si>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</si>
  <si>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</si>
  <si>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</si>
  <si>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</si>
  <si>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</si>
  <si>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</si>
  <si>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</si>
  <si>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</si>
  <si>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</si>
  <si>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</si>
  <si>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</si>
  <si>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</si>
  <si>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</si>
  <si>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</si>
  <si>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</si>
  <si>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</si>
  <si>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</si>
  <si>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</si>
  <si>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</si>
  <si>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</si>
  <si>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</si>
  <si>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</si>
  <si>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</si>
  <si>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</si>
  <si>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</si>
  <si>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</si>
  <si>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</si>
  <si>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</si>
  <si>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</si>
  <si>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</si>
  <si>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</si>
  <si>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</si>
  <si>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</si>
  <si>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</si>
  <si>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</si>
  <si>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</si>
  <si>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</si>
  <si>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</si>
  <si>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</si>
  <si>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</si>
  <si>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</si>
  <si>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</si>
  <si>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</si>
  <si>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</si>
  <si>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</si>
  <si>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</si>
  <si>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</si>
  <si>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</si>
  <si>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</si>
  <si>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</si>
  <si>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</si>
  <si>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</si>
  <si>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</si>
  <si>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</si>
  <si>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</si>
  <si>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</si>
  <si>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</si>
  <si>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</si>
  <si>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</si>
  <si>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</si>
  <si>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</si>
  <si>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</si>
  <si>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</si>
  <si>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</si>
  <si>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</si>
  <si>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</si>
  <si>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</si>
  <si>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</si>
  <si>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</si>
  <si>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</si>
  <si>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</si>
  <si>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</si>
  <si>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</si>
  <si>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</si>
  <si>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</si>
  <si>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</si>
  <si>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</si>
  <si>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</si>
  <si>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</si>
  <si>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</si>
  <si>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</si>
  <si>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</si>
  <si>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</si>
  <si>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</si>
  <si>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</si>
  <si>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</si>
  <si>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</si>
  <si>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</si>
  <si>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</si>
  <si>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</si>
  <si>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</si>
  <si>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</si>
  <si>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</si>
  <si>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</si>
  <si>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</si>
  <si>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</si>
  <si>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</si>
  <si>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</si>
  <si>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</si>
  <si>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</si>
  <si>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</si>
  <si>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</si>
  <si>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</si>
  <si>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</si>
  <si>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</si>
  <si>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</si>
  <si>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</si>
  <si>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</si>
  <si>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</si>
  <si>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</si>
  <si>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</si>
  <si>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</si>
  <si>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</si>
  <si>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</si>
  <si>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</si>
  <si>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</si>
  <si>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</si>
  <si>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</si>
  <si>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</si>
  <si>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</si>
  <si>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</si>
  <si>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</si>
  <si>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</si>
  <si>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</si>
  <si>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</si>
  <si>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</si>
  <si>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</si>
  <si>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</si>
  <si>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</si>
  <si>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</si>
  <si>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</si>
  <si>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</si>
  <si>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</si>
  <si>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</si>
  <si>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</si>
  <si>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</si>
  <si>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</si>
  <si>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</si>
  <si>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</si>
  <si>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</si>
  <si>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</si>
  <si>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</si>
  <si>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</si>
  <si>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</si>
  <si>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</si>
  <si>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</si>
  <si>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</si>
  <si>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</si>
  <si>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</si>
  <si>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</si>
  <si>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</si>
  <si>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</si>
  <si>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</si>
  <si>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</si>
  <si>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</si>
  <si>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</si>
  <si>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</si>
  <si>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</si>
  <si>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</si>
  <si>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</si>
  <si>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</si>
  <si>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</si>
  <si>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</si>
  <si>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</si>
  <si>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</si>
  <si>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</si>
  <si>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</si>
  <si>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</si>
  <si>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</si>
  <si>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</si>
  <si>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</si>
  <si>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</si>
  <si>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</si>
  <si>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</si>
  <si>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</si>
  <si>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</si>
  <si>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</si>
  <si>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</si>
  <si>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</si>
  <si>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</si>
  <si>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</si>
  <si>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</si>
  <si>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</si>
  <si>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</si>
  <si>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</si>
  <si>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</si>
  <si>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</si>
  <si>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</si>
  <si>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</si>
  <si>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</si>
  <si>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</si>
  <si>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</si>
  <si>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</si>
  <si>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</si>
  <si>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</si>
  <si>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</si>
  <si>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</si>
  <si>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</si>
  <si>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</si>
  <si>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</si>
  <si>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</si>
  <si>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</si>
  <si>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</si>
  <si>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</si>
  <si>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</si>
  <si>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</si>
  <si>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</si>
  <si>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</si>
  <si>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</si>
  <si>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</si>
  <si>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</si>
  <si>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</si>
  <si>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</si>
  <si>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</si>
  <si>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</si>
  <si>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</si>
  <si>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</si>
  <si>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</si>
  <si>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</si>
  <si>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</si>
  <si>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</si>
  <si>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</si>
  <si>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</si>
  <si>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</si>
  <si>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</si>
  <si>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</si>
  <si>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</si>
  <si>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</si>
  <si>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</si>
  <si>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</si>
  <si>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</si>
  <si>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</si>
  <si>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</si>
  <si>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</si>
  <si>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</si>
  <si>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</si>
  <si>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</si>
  <si>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</si>
  <si>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</si>
  <si>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</si>
  <si>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</si>
  <si>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</si>
  <si>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</si>
  <si>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</si>
  <si>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</si>
  <si>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</si>
  <si>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</si>
  <si>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</si>
  <si>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</si>
  <si>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</si>
  <si>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</si>
  <si>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</si>
  <si>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</si>
  <si>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</si>
  <si>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</si>
  <si>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</si>
  <si>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</si>
  <si>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</si>
  <si>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</si>
  <si>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</si>
  <si>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</si>
  <si>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</si>
  <si>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</si>
  <si>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</si>
  <si>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</si>
  <si>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</si>
  <si>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</si>
  <si>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</si>
  <si>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</si>
  <si>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</si>
  <si>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</si>
  <si>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</si>
  <si>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</si>
  <si>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</si>
  <si>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</si>
  <si>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</si>
  <si>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</si>
  <si>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</si>
  <si>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</si>
  <si>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</si>
  <si>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</si>
  <si>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</si>
  <si>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</si>
  <si>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</si>
  <si>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</si>
  <si>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</si>
  <si>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</si>
  <si>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</si>
  <si>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</si>
  <si>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</si>
  <si>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</si>
  <si>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</si>
  <si>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</si>
  <si>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</si>
  <si>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</si>
  <si>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</si>
  <si>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</si>
  <si>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</si>
  <si>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</si>
  <si>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</si>
  <si>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</si>
  <si>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</si>
  <si>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</si>
  <si>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</si>
  <si>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</si>
  <si>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</si>
  <si>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</si>
  <si>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</si>
  <si>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</si>
  <si>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</si>
  <si>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</si>
  <si>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</si>
  <si>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</si>
  <si>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</si>
  <si>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</si>
  <si>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</si>
  <si>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</si>
  <si>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</si>
  <si>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</si>
  <si>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</si>
  <si>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</si>
  <si>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</si>
  <si>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</si>
  <si>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</si>
  <si>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</si>
  <si>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</si>
  <si>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</si>
  <si>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</si>
  <si>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</si>
  <si>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</si>
  <si>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</si>
  <si>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</si>
  <si>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</si>
  <si>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</si>
  <si>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</si>
  <si>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</si>
  <si>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</si>
  <si>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</si>
  <si>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</si>
  <si>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</si>
  <si>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</si>
  <si>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</si>
  <si>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</si>
  <si>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</si>
  <si>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</si>
  <si>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</si>
  <si>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</si>
  <si>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</si>
  <si>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</si>
  <si>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</si>
  <si>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</si>
  <si>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</si>
  <si>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</si>
  <si>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</si>
  <si>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</si>
  <si>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</si>
  <si>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</si>
  <si>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</si>
  <si>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</si>
  <si>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</si>
  <si>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</si>
  <si>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</si>
  <si>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</si>
  <si>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</si>
  <si>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</si>
  <si>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</si>
  <si>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</si>
  <si>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</si>
  <si>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</si>
  <si>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</si>
  <si>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</si>
  <si>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</si>
  <si>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</si>
  <si>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</si>
  <si>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</si>
  <si>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</si>
  <si>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</si>
  <si>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</si>
  <si>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</si>
  <si>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</si>
  <si>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</si>
  <si>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</si>
  <si>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</si>
  <si>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</si>
  <si>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</si>
  <si>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</si>
  <si>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</si>
  <si>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</si>
  <si>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</si>
  <si>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</si>
  <si>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</si>
  <si>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</si>
  <si>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</si>
  <si>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</si>
  <si>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</si>
  <si>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</si>
  <si>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</si>
  <si>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</si>
  <si>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</si>
  <si>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</si>
  <si>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</si>
  <si>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</si>
  <si>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</si>
  <si>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</si>
  <si>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</si>
  <si>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</si>
  <si>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</si>
  <si>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</si>
  <si>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</si>
  <si>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</si>
  <si>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</si>
  <si>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</si>
  <si>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</si>
  <si>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</si>
  <si>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</si>
  <si>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</si>
  <si>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</si>
  <si>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</si>
  <si>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</si>
  <si>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</si>
  <si>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</si>
  <si>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</si>
  <si>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</si>
  <si>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</si>
  <si>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</si>
  <si>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</si>
  <si>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</si>
  <si>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</si>
  <si>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</si>
  <si>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</si>
  <si>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</si>
  <si>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</si>
  <si>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</si>
  <si>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</si>
  <si>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</si>
  <si>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</si>
  <si>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</si>
  <si>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</si>
  <si>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</si>
  <si>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</si>
  <si>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</si>
  <si>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</si>
  <si>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</si>
  <si>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</si>
  <si>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</si>
  <si>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</si>
  <si>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</si>
  <si>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</si>
  <si>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</si>
  <si>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</si>
  <si>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</si>
  <si>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</si>
  <si>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</si>
  <si>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</si>
  <si>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</si>
  <si>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</si>
  <si>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</si>
  <si>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</si>
  <si>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</si>
  <si>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</si>
  <si>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</si>
  <si>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</si>
  <si>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</si>
  <si>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</si>
  <si>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</si>
  <si>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</si>
  <si>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</si>
  <si>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</si>
  <si>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</si>
  <si>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</si>
  <si>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</si>
  <si>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</si>
  <si>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</si>
  <si>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</si>
  <si>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</si>
  <si>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</si>
  <si>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</si>
  <si>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</si>
  <si>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</si>
  <si>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</si>
  <si>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</si>
  <si>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</si>
  <si>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</si>
  <si>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</si>
  <si>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</si>
  <si>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</si>
  <si>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</si>
  <si>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</si>
  <si>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</si>
  <si>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</si>
  <si>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</si>
  <si>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</si>
  <si>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</si>
  <si>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</si>
  <si>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</si>
  <si>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</si>
  <si>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</si>
  <si>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</si>
  <si>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</si>
  <si>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</si>
  <si>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</si>
  <si>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</si>
  <si>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</si>
  <si>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</si>
  <si>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</si>
  <si>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</si>
  <si>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</si>
  <si>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</si>
  <si>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</si>
  <si>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</si>
  <si>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</si>
  <si>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</si>
  <si>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</si>
  <si>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</si>
  <si>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</si>
  <si>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</si>
  <si>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</si>
  <si>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</si>
  <si>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</si>
  <si>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</si>
  <si>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</si>
  <si>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</si>
  <si>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</si>
  <si>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</si>
  <si>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</si>
  <si>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</si>
  <si>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</si>
  <si>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</si>
  <si>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</si>
  <si>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</si>
  <si>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</si>
  <si>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</si>
  <si>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</si>
  <si>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</si>
  <si>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</si>
  <si>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</si>
  <si>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</si>
  <si>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</si>
  <si>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</si>
  <si>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</si>
  <si>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</si>
  <si>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</si>
  <si>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</si>
  <si>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</si>
  <si>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</si>
  <si>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</si>
  <si>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</si>
  <si>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</si>
  <si>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</si>
  <si>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</si>
  <si>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</si>
  <si>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</si>
  <si>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</si>
  <si>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</si>
  <si>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</si>
  <si>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</si>
  <si>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</si>
  <si>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</si>
  <si>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</si>
  <si>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</si>
  <si>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</si>
  <si>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</si>
  <si>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</si>
  <si>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</si>
  <si>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</si>
  <si>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</si>
  <si>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</si>
  <si>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</si>
  <si>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</si>
  <si>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</si>
  <si>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</si>
  <si>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</si>
  <si>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</si>
  <si>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</si>
  <si>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</si>
  <si>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</si>
  <si>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</si>
  <si>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</si>
  <si>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</si>
  <si>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</si>
  <si>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</si>
  <si>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</si>
  <si>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</si>
  <si>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</si>
  <si>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</si>
  <si>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</si>
  <si>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</si>
  <si>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</si>
  <si>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</si>
  <si>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</si>
  <si>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</si>
  <si>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</si>
  <si>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</si>
  <si>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</si>
  <si>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</si>
  <si>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</si>
  <si>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</si>
  <si>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</si>
  <si>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</si>
  <si>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</si>
  <si>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</si>
  <si>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</si>
  <si>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</si>
  <si>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</si>
  <si>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</si>
  <si>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</si>
  <si>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</si>
  <si>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</si>
  <si>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</si>
  <si>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</si>
  <si>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</si>
  <si>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</si>
  <si>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</si>
  <si>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</si>
  <si>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</si>
  <si>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</si>
  <si>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</si>
  <si>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</si>
  <si>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</si>
  <si>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</si>
  <si>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</si>
  <si>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</si>
  <si>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</si>
  <si>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</si>
  <si>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</si>
  <si>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</si>
  <si>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</si>
  <si>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</si>
  <si>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</si>
  <si>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</si>
  <si>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</si>
  <si>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</si>
  <si>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</si>
  <si>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</si>
  <si>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</si>
  <si>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</si>
  <si>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</si>
  <si>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</si>
  <si>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</si>
  <si>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</si>
  <si>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</si>
  <si>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</si>
  <si>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</si>
  <si>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</si>
  <si>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</si>
  <si>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</si>
  <si>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</si>
  <si>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</si>
  <si>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</si>
  <si>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</si>
  <si>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</si>
  <si>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</si>
  <si>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</si>
  <si>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</si>
  <si>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</si>
  <si>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</si>
  <si>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</si>
  <si>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</si>
  <si>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</si>
  <si>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</si>
  <si>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</si>
  <si>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</si>
  <si>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</si>
  <si>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</si>
  <si>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</si>
  <si>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</si>
  <si>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</si>
  <si>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</si>
  <si>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</si>
  <si>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</si>
  <si>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</si>
  <si>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</si>
  <si>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</si>
  <si>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</si>
  <si>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</si>
  <si>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</si>
  <si>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</si>
  <si>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</si>
  <si>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</si>
  <si>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</si>
  <si>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</si>
  <si>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</si>
  <si>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</si>
  <si>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</si>
  <si>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</si>
  <si>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</si>
  <si>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</si>
  <si>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</si>
  <si>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</si>
  <si>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</si>
  <si>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</si>
  <si>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</si>
  <si>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</si>
  <si>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</si>
  <si>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</si>
  <si>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</si>
  <si>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</si>
  <si>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</si>
  <si>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</si>
  <si>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</si>
  <si>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</si>
  <si>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</si>
  <si>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</si>
  <si>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</si>
  <si>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</si>
  <si>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</si>
  <si>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</si>
  <si>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</si>
  <si>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</si>
  <si>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</si>
  <si>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</si>
  <si>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</si>
  <si>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</si>
  <si>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</si>
  <si>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</si>
  <si>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</si>
  <si>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</si>
  <si>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</si>
  <si>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</si>
  <si>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</si>
  <si>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</si>
  <si>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</si>
  <si>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</si>
  <si>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</si>
  <si>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</si>
  <si>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</si>
  <si>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</si>
  <si>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</si>
  <si>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</si>
  <si>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</si>
  <si>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</si>
  <si>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</si>
  <si>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</si>
  <si>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</si>
  <si>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</si>
  <si>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</si>
  <si>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</si>
  <si>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</si>
  <si>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</si>
  <si>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</si>
  <si>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</si>
  <si>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</si>
  <si>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</si>
  <si>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</si>
  <si>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</si>
  <si>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</si>
  <si>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</si>
  <si>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</si>
  <si>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</si>
  <si>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</si>
  <si>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</si>
  <si>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</si>
  <si>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</si>
  <si>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</si>
  <si>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</si>
  <si>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</si>
  <si>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</si>
  <si>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</si>
  <si>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</si>
  <si>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</si>
  <si>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</si>
  <si>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</si>
  <si>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</si>
  <si>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</si>
  <si>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</si>
  <si>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</si>
  <si>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</si>
  <si>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</si>
  <si>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</si>
  <si>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</si>
  <si>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</si>
  <si>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</si>
  <si>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</si>
  <si>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</si>
  <si>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</si>
  <si>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</si>
  <si>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</si>
  <si>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</si>
  <si>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</si>
  <si>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</si>
  <si>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</si>
  <si>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</si>
  <si>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</si>
  <si>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</si>
  <si>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</si>
  <si>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</si>
  <si>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</si>
  <si>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</si>
  <si>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</si>
  <si>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</si>
  <si>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</si>
  <si>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</si>
  <si>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</si>
  <si>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</si>
  <si>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</si>
  <si>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</si>
  <si>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</si>
  <si>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</si>
  <si>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</si>
  <si>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</si>
  <si>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</si>
  <si>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</si>
  <si>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</si>
  <si>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</si>
  <si>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</si>
  <si>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</si>
  <si>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</si>
  <si>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</si>
  <si>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</si>
  <si>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</si>
  <si>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</si>
  <si>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</si>
  <si>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</si>
  <si>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</si>
  <si>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</si>
  <si>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</si>
  <si>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</si>
  <si>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</si>
  <si>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</si>
  <si>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</si>
  <si>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</si>
  <si>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</si>
  <si>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</si>
  <si>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</si>
  <si>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</si>
  <si>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</si>
  <si>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</si>
  <si>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</si>
  <si>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</si>
  <si>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</si>
  <si>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</si>
  <si>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</si>
  <si>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</si>
  <si>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</si>
  <si>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</si>
  <si>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</si>
  <si>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</si>
  <si>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</si>
  <si>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</si>
  <si>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</si>
  <si>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</si>
  <si>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</si>
  <si>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</si>
  <si>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</si>
  <si>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</si>
  <si>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</si>
  <si>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</si>
  <si>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</si>
  <si>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</si>
  <si>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</si>
  <si>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</si>
  <si>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</si>
  <si>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</si>
  <si>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</si>
  <si>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</si>
  <si>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</si>
  <si>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</si>
  <si>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</si>
  <si>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</si>
  <si>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</si>
  <si>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</si>
  <si>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</si>
  <si>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</si>
  <si>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</si>
  <si>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</si>
  <si>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</si>
  <si>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</si>
  <si>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</si>
  <si>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</si>
  <si>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</si>
  <si>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</si>
  <si>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</si>
  <si>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</si>
  <si>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</si>
  <si>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</si>
  <si>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</si>
  <si>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</si>
  <si>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</si>
  <si>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</si>
  <si>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</si>
  <si>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</si>
  <si>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</si>
  <si>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</si>
  <si>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</si>
  <si>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</si>
  <si>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</si>
  <si>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</si>
  <si>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</si>
  <si>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</si>
  <si>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</si>
  <si>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</si>
  <si>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</si>
  <si>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</si>
  <si>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</si>
  <si>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</si>
  <si>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</si>
  <si>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</si>
  <si>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</si>
  <si>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</si>
  <si>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</si>
  <si>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</si>
  <si>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</si>
  <si>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</si>
  <si>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</si>
  <si>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</si>
  <si>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</si>
  <si>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</si>
  <si>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</si>
  <si>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</si>
  <si>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</si>
  <si>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</si>
  <si>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</si>
  <si>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</si>
  <si>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</si>
  <si>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</si>
  <si>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</si>
  <si>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</si>
  <si>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</si>
  <si>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</si>
  <si>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</si>
  <si>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</si>
  <si>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</si>
  <si>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</si>
  <si>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</si>
  <si>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</si>
  <si>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</si>
  <si>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</si>
  <si>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</si>
  <si>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</si>
  <si>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</si>
  <si>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</si>
  <si>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</si>
  <si>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</si>
  <si>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</si>
  <si>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</si>
  <si>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</si>
  <si>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</si>
  <si>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</si>
  <si>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</si>
  <si>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</si>
  <si>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</si>
  <si>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</si>
  <si>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</si>
  <si>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</si>
  <si>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</si>
  <si>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</si>
  <si>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</si>
  <si>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</si>
  <si>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</si>
  <si>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</si>
  <si>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</si>
  <si>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</si>
  <si>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</si>
  <si>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</si>
  <si>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</si>
  <si>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</si>
  <si>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</si>
  <si>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</si>
  <si>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</si>
  <si>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</si>
  <si>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</si>
  <si>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</si>
  <si>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</si>
  <si>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</si>
  <si>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</si>
  <si>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</si>
  <si>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</si>
  <si>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</si>
  <si>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</si>
  <si>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</si>
  <si>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</si>
  <si>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</si>
  <si>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</si>
  <si>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</si>
  <si>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</si>
  <si>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</si>
  <si>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</si>
  <si>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</si>
  <si>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</si>
  <si>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</si>
  <si>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</si>
  <si>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</si>
  <si>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</si>
  <si>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</si>
  <si>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</si>
  <si>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</si>
  <si>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</si>
  <si>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</si>
  <si>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</si>
  <si>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</si>
  <si>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</si>
  <si>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</si>
  <si>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</si>
  <si>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</si>
  <si>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</si>
  <si>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</si>
  <si>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</si>
  <si>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</si>
  <si>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</si>
  <si>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</si>
  <si>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</si>
  <si>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</si>
  <si>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</si>
  <si>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</si>
  <si>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</si>
  <si>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</si>
  <si>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</si>
  <si>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</si>
  <si>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</si>
  <si>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</si>
  <si>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</si>
  <si>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</si>
  <si>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</si>
  <si>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</si>
  <si>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</si>
  <si>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</si>
  <si>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</si>
  <si>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</si>
  <si>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</si>
  <si>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</si>
  <si>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</si>
  <si>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</si>
  <si>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</si>
  <si>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</si>
  <si>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</si>
  <si>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</si>
  <si>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</si>
  <si>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</si>
  <si>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</si>
  <si>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</si>
  <si>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</si>
  <si>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</si>
  <si>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</si>
  <si>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</si>
  <si>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</si>
  <si>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</si>
  <si>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</si>
  <si>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</si>
  <si>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</si>
  <si>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</si>
  <si>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</si>
  <si>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</si>
  <si>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</si>
  <si>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</si>
  <si>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</si>
  <si>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</si>
  <si>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</si>
  <si>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</si>
  <si>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</si>
  <si>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</si>
  <si>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</si>
  <si>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</si>
  <si>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</si>
  <si>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</si>
  <si>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</si>
  <si>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</si>
  <si>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</si>
  <si>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</si>
  <si>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</si>
  <si>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</si>
  <si>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</si>
  <si>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</si>
  <si>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</si>
  <si>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</si>
  <si>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</si>
  <si>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</si>
  <si>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</si>
  <si>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</si>
  <si>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</si>
  <si>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</si>
  <si>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</si>
  <si>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</si>
  <si>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</si>
  <si>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</si>
  <si>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</si>
  <si>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</si>
  <si>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</si>
  <si>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</si>
  <si>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</si>
  <si>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</si>
  <si>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</si>
  <si>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</si>
  <si>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</si>
  <si>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</si>
  <si>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</si>
  <si>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</si>
  <si>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</si>
  <si>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</si>
  <si>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</si>
  <si>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</si>
  <si>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</si>
  <si>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</si>
  <si>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</si>
  <si>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</si>
  <si>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</si>
  <si>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</si>
  <si>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</si>
  <si>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</si>
  <si>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</si>
  <si>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</si>
  <si>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</si>
  <si>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</si>
  <si>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</si>
  <si>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</si>
  <si>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</si>
  <si>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</si>
  <si>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</si>
  <si>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</si>
  <si>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</si>
  <si>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</si>
  <si>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</si>
  <si>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</si>
  <si>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</si>
  <si>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</si>
  <si>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</si>
  <si>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</si>
  <si>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</si>
  <si>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</si>
  <si>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</si>
  <si>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</si>
  <si>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</si>
  <si>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</si>
  <si>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</si>
  <si>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</si>
  <si>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</si>
  <si>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</si>
  <si>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</si>
  <si>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</si>
  <si>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</si>
  <si>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</si>
  <si>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</si>
  <si>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</si>
  <si>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</si>
  <si>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</si>
  <si>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</si>
  <si>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</si>
  <si>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</si>
  <si>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</si>
  <si>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</si>
  <si>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</si>
  <si>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</si>
  <si>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</si>
  <si>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</si>
  <si>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</si>
  <si>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</si>
  <si>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</si>
  <si>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</si>
  <si>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</si>
  <si>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</si>
  <si>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</si>
  <si>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</si>
  <si>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</si>
  <si>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</si>
  <si>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</si>
  <si>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</si>
  <si>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</si>
  <si>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</si>
  <si>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</si>
  <si>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</si>
  <si>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</si>
  <si>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</si>
  <si>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</si>
  <si>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</si>
  <si>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</si>
  <si>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</si>
  <si>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</si>
  <si>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</si>
  <si>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</si>
  <si>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</si>
  <si>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</si>
  <si>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</si>
  <si>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</si>
  <si>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</si>
  <si>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</si>
  <si>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</si>
  <si>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</si>
  <si>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</si>
  <si>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</si>
  <si>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</si>
  <si>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</si>
  <si>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</si>
  <si>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</si>
  <si>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</si>
  <si>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</si>
  <si>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</si>
  <si>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</si>
  <si>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</si>
  <si>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</si>
  <si>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</si>
  <si>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</si>
  <si>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</si>
  <si>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</si>
  <si>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</si>
  <si>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</si>
  <si>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</si>
  <si>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</si>
  <si>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</si>
  <si>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</si>
  <si>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</si>
  <si>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</si>
  <si>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</si>
  <si>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</si>
  <si>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</si>
  <si>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</si>
  <si>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</si>
  <si>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</si>
  <si>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</si>
  <si>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</si>
  <si>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</si>
  <si>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</si>
  <si>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</si>
  <si>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</si>
  <si>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</si>
  <si>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</si>
  <si>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</si>
  <si>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</si>
  <si>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</si>
  <si>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</si>
  <si>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</si>
  <si>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</si>
  <si>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</si>
  <si>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</si>
  <si>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</si>
  <si>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</si>
  <si>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</si>
  <si>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</si>
  <si>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</si>
  <si>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</si>
  <si>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</si>
  <si>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</si>
  <si>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</si>
  <si>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</si>
  <si>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</si>
  <si>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</si>
  <si>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</si>
  <si>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</si>
  <si>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</si>
  <si>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</si>
  <si>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</si>
  <si>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</si>
  <si>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</si>
  <si>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</si>
  <si>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</si>
  <si>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</si>
  <si>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</si>
  <si>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</si>
  <si>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</si>
  <si>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</si>
  <si>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</si>
  <si>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</si>
  <si>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</si>
  <si>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</si>
  <si>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</si>
  <si>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</si>
  <si>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</si>
  <si>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</si>
  <si>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</si>
  <si>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</si>
  <si>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</si>
  <si>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</si>
  <si>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</si>
  <si>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</si>
  <si>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</si>
  <si>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</si>
  <si>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</si>
  <si>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</si>
  <si>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</si>
  <si>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</si>
  <si>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</si>
  <si>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</si>
  <si>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</si>
  <si>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</si>
  <si>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</si>
  <si>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</si>
  <si>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</si>
  <si>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</si>
  <si>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</si>
  <si>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</si>
  <si>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</si>
  <si>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</si>
  <si>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</si>
  <si>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</si>
  <si>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</si>
  <si>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</si>
  <si>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</si>
  <si>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</si>
  <si>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</si>
  <si>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</si>
  <si>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</si>
  <si>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</si>
  <si>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</si>
  <si>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</si>
  <si>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</si>
  <si>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</si>
  <si>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</si>
  <si>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</si>
  <si>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</si>
  <si>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</si>
  <si>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</si>
  <si>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</si>
  <si>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</si>
  <si>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</si>
  <si>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</si>
  <si>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</si>
  <si>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</si>
  <si>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</si>
  <si>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</si>
  <si>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</si>
  <si>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</si>
  <si>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</si>
  <si>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</si>
  <si>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</si>
  <si>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</si>
  <si>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</si>
  <si>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</si>
  <si>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</si>
  <si>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</si>
  <si>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</si>
  <si>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</si>
  <si>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</si>
  <si>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</si>
  <si>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</si>
  <si>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</si>
  <si>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</si>
  <si>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</si>
  <si>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</si>
  <si>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</si>
  <si>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</si>
  <si>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</si>
  <si>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</si>
  <si>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</si>
  <si>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</si>
  <si>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</si>
  <si>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</si>
  <si>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</si>
  <si>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</si>
  <si>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</si>
  <si>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</si>
  <si>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</si>
  <si>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</si>
  <si>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</si>
  <si>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</si>
  <si>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</si>
  <si>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</si>
  <si>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</si>
  <si>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</si>
  <si>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</si>
  <si>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</si>
  <si>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</si>
  <si>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</si>
  <si>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</si>
  <si>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</si>
  <si>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</si>
  <si>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</si>
  <si>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</si>
  <si>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</si>
  <si>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</si>
  <si>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</si>
  <si>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</si>
  <si>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</si>
  <si>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</si>
  <si>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</si>
  <si>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</si>
  <si>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</si>
  <si>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</si>
  <si>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</si>
  <si>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</si>
  <si>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</si>
  <si>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</si>
  <si>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</si>
  <si>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</si>
  <si>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</si>
  <si>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</si>
  <si>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</si>
  <si>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</si>
  <si>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</si>
  <si>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</si>
  <si>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</si>
  <si>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</si>
  <si>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</si>
  <si>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</si>
  <si>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</si>
  <si>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</si>
  <si>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</si>
  <si>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</si>
  <si>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</si>
  <si>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</si>
  <si>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</si>
  <si>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</si>
  <si>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</si>
  <si>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</si>
  <si>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</si>
  <si>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</si>
  <si>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</si>
  <si>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</si>
  <si>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</si>
  <si>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</si>
  <si>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</si>
  <si>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</si>
  <si>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</si>
  <si>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</si>
  <si>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</si>
  <si>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</si>
  <si>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</si>
  <si>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</si>
  <si>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</si>
  <si>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</si>
  <si>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</si>
  <si>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</si>
  <si>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</si>
  <si>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</si>
  <si>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</si>
  <si>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</si>
  <si>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</si>
  <si>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</si>
  <si>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</si>
  <si>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</si>
  <si>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</si>
  <si>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</si>
  <si>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</si>
  <si>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</si>
  <si>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</si>
  <si>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</si>
  <si>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</si>
  <si>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</si>
  <si>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</si>
  <si>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</si>
  <si>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</si>
  <si>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</si>
  <si>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</si>
  <si>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</si>
  <si>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</si>
  <si>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</si>
  <si>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</si>
  <si>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</si>
  <si>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</si>
  <si>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</si>
  <si>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</si>
  <si>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</si>
  <si>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</si>
  <si>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</si>
  <si>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</si>
  <si>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</si>
  <si>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</si>
  <si>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</si>
  <si>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</si>
  <si>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</si>
  <si>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</si>
  <si>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</si>
  <si>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</si>
  <si>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</si>
  <si>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</si>
  <si>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</si>
  <si>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</si>
  <si>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</si>
  <si>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</si>
  <si>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</si>
  <si>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</si>
  <si>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</si>
  <si>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</si>
  <si>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</si>
  <si>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</si>
  <si>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</si>
  <si>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</si>
  <si>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</si>
  <si>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</si>
  <si>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</si>
  <si>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</si>
  <si>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</si>
  <si>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</si>
  <si>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</si>
  <si>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</si>
  <si>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</si>
  <si>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</si>
  <si>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</si>
  <si>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</si>
  <si>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</si>
  <si>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</si>
  <si>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</si>
  <si>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</si>
  <si>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</si>
  <si>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</si>
  <si>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</si>
  <si>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</si>
  <si>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</si>
  <si>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</si>
  <si>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</si>
  <si>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</si>
  <si>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</si>
  <si>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</si>
  <si>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</si>
  <si>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</si>
  <si>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</si>
  <si>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</si>
  <si>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</si>
  <si>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</si>
  <si>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</si>
  <si>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</si>
  <si>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</si>
  <si>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</si>
  <si>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</si>
  <si>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</si>
  <si>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</si>
  <si>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</si>
  <si>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</si>
  <si>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</si>
  <si>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</si>
  <si>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</si>
  <si>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</si>
  <si>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</si>
  <si>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</si>
  <si>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</si>
  <si>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</si>
  <si>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</si>
  <si>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</si>
  <si>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</si>
  <si>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</si>
  <si>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</si>
  <si>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</si>
  <si>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</si>
  <si>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</si>
  <si>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</si>
  <si>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</si>
  <si>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</si>
  <si>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</si>
  <si>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</si>
  <si>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</si>
  <si>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</si>
  <si>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</si>
  <si>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</si>
  <si>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</si>
  <si>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</si>
  <si>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</si>
  <si>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</si>
  <si>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</si>
  <si>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</si>
  <si>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</si>
  <si>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</si>
  <si>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</si>
  <si>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</si>
  <si>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</si>
  <si>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</si>
  <si>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</si>
  <si>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</si>
  <si>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</si>
  <si>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</si>
  <si>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</si>
  <si>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</si>
  <si>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</si>
  <si>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</si>
  <si>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</si>
  <si>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</si>
  <si>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</si>
  <si>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</si>
  <si>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</si>
  <si>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</si>
  <si>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</si>
  <si>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</si>
  <si>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</si>
  <si>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</si>
  <si>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</si>
  <si>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</si>
  <si>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</si>
  <si>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</si>
  <si>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</si>
  <si>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</si>
  <si>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</si>
  <si>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</si>
  <si>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</si>
  <si>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</si>
  <si>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</si>
  <si>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</si>
  <si>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</si>
  <si>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</si>
  <si>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</si>
  <si>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</si>
  <si>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</si>
  <si>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</si>
  <si>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</si>
  <si>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</si>
  <si>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</si>
  <si>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</si>
  <si>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</si>
  <si>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</si>
  <si>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</si>
  <si>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</si>
  <si>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</si>
  <si>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</si>
  <si>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</si>
  <si>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</si>
  <si>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</si>
  <si>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</si>
  <si>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</si>
  <si>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</si>
  <si>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</si>
  <si>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</si>
  <si>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</si>
  <si>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</si>
  <si>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</si>
  <si>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</si>
  <si>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</si>
  <si>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</si>
  <si>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</si>
  <si>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</si>
  <si>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</si>
  <si>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</si>
  <si>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</si>
  <si>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</si>
  <si>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</si>
  <si>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</si>
  <si>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</si>
  <si>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</si>
  <si>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</si>
  <si>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</si>
  <si>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</si>
  <si>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</si>
  <si>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</si>
  <si>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</si>
  <si>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</si>
  <si>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</si>
  <si>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</si>
  <si>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</si>
  <si>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</si>
  <si>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</si>
  <si>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</si>
  <si>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</si>
  <si>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</si>
  <si>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</si>
  <si>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</si>
  <si>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</si>
  <si>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</si>
  <si>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</si>
  <si>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</si>
  <si>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</si>
  <si>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</si>
  <si>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</si>
  <si>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</si>
  <si>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</si>
  <si>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</si>
  <si>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</si>
  <si>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</si>
  <si>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</si>
  <si>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</si>
  <si>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</si>
  <si>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</si>
  <si>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</si>
  <si>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</si>
  <si>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</si>
  <si>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</si>
  <si>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</si>
  <si>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</si>
  <si>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</si>
  <si>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</si>
  <si>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</si>
  <si>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</si>
  <si>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</si>
  <si>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</si>
  <si>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</si>
  <si>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</si>
  <si>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</si>
  <si>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</si>
  <si>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</si>
  <si>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</si>
  <si>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</si>
  <si>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</si>
  <si>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</si>
  <si>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</si>
  <si>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</si>
  <si>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</si>
  <si>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</si>
  <si>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</si>
  <si>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</si>
  <si>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</si>
  <si>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</si>
  <si>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</si>
  <si>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</si>
  <si>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</si>
  <si>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</si>
  <si>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</si>
  <si>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</si>
  <si>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</si>
  <si>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</si>
  <si>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</si>
  <si>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</si>
  <si>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</si>
  <si>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</si>
  <si>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</si>
  <si>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</si>
  <si>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</si>
  <si>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</si>
  <si>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</si>
  <si>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</si>
  <si>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</si>
  <si>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</si>
  <si>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</si>
  <si>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</si>
  <si>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</si>
  <si>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</si>
  <si>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</si>
  <si>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</si>
  <si>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</si>
  <si>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</si>
  <si>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</si>
  <si>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</si>
  <si>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</si>
  <si>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</si>
  <si>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</si>
  <si>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</si>
  <si>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</si>
  <si>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</si>
  <si>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</si>
  <si>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</si>
  <si>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</si>
  <si>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</si>
  <si>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</si>
  <si>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</si>
  <si>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</si>
  <si>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</si>
  <si>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</si>
  <si>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</si>
  <si>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</si>
  <si>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</si>
  <si>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</si>
  <si>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</si>
  <si>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</si>
  <si>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</si>
  <si>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</si>
  <si>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</si>
  <si>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</si>
  <si>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</si>
  <si>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</si>
  <si>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</si>
  <si>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</si>
  <si>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</si>
  <si>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</si>
  <si>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</si>
  <si>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</si>
  <si>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</si>
  <si>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</si>
  <si>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</si>
  <si>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</si>
  <si>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</si>
  <si>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</si>
  <si>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</si>
  <si>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</si>
  <si>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</si>
  <si>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</si>
  <si>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</si>
  <si>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</si>
  <si>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</si>
  <si>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</si>
  <si>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</si>
  <si>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</si>
  <si>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</si>
  <si>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</si>
  <si>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</si>
  <si>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</si>
  <si>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</si>
  <si>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</si>
  <si>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</si>
  <si>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</si>
  <si>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</si>
  <si>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</si>
  <si>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</si>
  <si>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</si>
  <si>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</si>
  <si>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</si>
  <si>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</si>
  <si>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</si>
  <si>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</si>
  <si>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</si>
  <si>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</si>
  <si>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</si>
  <si>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</si>
  <si>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</si>
  <si>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</si>
  <si>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</si>
  <si>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</si>
  <si>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</si>
  <si>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</si>
  <si>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</si>
  <si>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</si>
  <si>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</si>
  <si>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</si>
  <si>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</si>
  <si>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</si>
  <si>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</si>
  <si>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</si>
  <si>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</si>
  <si>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</si>
  <si>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</si>
  <si>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</si>
  <si>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</si>
  <si>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</si>
  <si>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</si>
  <si>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</si>
  <si>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</si>
  <si>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</si>
  <si>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</si>
  <si>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</si>
  <si>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</si>
  <si>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</si>
  <si>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</si>
  <si>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</si>
  <si>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</si>
  <si>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</si>
  <si>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</si>
  <si>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</si>
  <si>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</si>
  <si>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</si>
  <si>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</si>
  <si>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</si>
  <si>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</si>
  <si>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</si>
  <si>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</si>
  <si>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</si>
  <si>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</si>
  <si>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</si>
  <si>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</si>
  <si>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</si>
  <si>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</si>
  <si>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</si>
  <si>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</si>
  <si>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</si>
  <si>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</si>
  <si>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</si>
  <si>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</si>
  <si>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</si>
  <si>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</si>
  <si>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</si>
  <si>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</si>
  <si>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</si>
  <si>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</si>
  <si>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</si>
  <si>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</si>
  <si>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</si>
  <si>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</si>
  <si>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</si>
  <si>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</si>
  <si>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</si>
  <si>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</si>
  <si>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</si>
  <si>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</si>
  <si>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</si>
  <si>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</si>
  <si>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</si>
  <si>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</si>
  <si>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</si>
  <si>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</si>
  <si>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</si>
  <si>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</si>
  <si>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</si>
  <si>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</si>
  <si>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</si>
  <si>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</si>
  <si>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</si>
  <si>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</si>
  <si>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</si>
  <si>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</si>
  <si>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</si>
  <si>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</si>
  <si>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</si>
  <si>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</si>
  <si>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</si>
  <si>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</si>
  <si>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</si>
  <si>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</si>
  <si>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</si>
  <si>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</si>
  <si>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</si>
  <si>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</si>
  <si>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</si>
  <si>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</si>
  <si>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</si>
  <si>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</si>
  <si>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</si>
  <si>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</si>
  <si>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</si>
  <si>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</si>
  <si>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</si>
  <si>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</si>
  <si>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</si>
  <si>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</si>
  <si>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</si>
  <si>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</si>
  <si>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</si>
  <si>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</si>
  <si>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</si>
  <si>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</si>
  <si>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</si>
  <si>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</si>
  <si>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</si>
  <si>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</si>
  <si>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</si>
  <si>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</si>
  <si>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</si>
  <si>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</si>
  <si>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</si>
  <si>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</si>
  <si>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</si>
  <si>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</si>
  <si>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</si>
  <si>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</si>
  <si>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</si>
  <si>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</si>
  <si>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</si>
  <si>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</si>
  <si>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</si>
  <si>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</si>
  <si>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</si>
  <si>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</si>
  <si>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</si>
  <si>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</si>
  <si>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</si>
  <si>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</si>
  <si>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</si>
  <si>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</si>
  <si>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</si>
  <si>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</si>
  <si>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</si>
  <si>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</si>
  <si>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</si>
  <si>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</si>
  <si>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</si>
  <si>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</si>
  <si>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</si>
  <si>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</si>
  <si>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</si>
  <si>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</si>
  <si>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</si>
  <si>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</si>
  <si>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</si>
  <si>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</si>
  <si>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</si>
  <si>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</si>
  <si>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</si>
  <si>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</si>
  <si>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</si>
  <si>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</si>
  <si>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</si>
  <si>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</si>
  <si>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</si>
  <si>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</si>
  <si>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</si>
  <si>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</si>
  <si>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</si>
  <si>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</si>
  <si>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</si>
  <si>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</si>
  <si>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</si>
  <si>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</si>
  <si>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</si>
  <si>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</si>
  <si>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</si>
  <si>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</si>
  <si>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</si>
  <si>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</si>
  <si>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</si>
  <si>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</si>
  <si>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</si>
  <si>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</si>
  <si>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</si>
  <si>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</si>
  <si>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</si>
  <si>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</si>
  <si>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</si>
  <si>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</si>
  <si>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</si>
  <si>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</si>
  <si>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</si>
  <si>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</si>
  <si>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</si>
  <si>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</si>
  <si>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</si>
  <si>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</si>
  <si>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</si>
  <si>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</si>
  <si>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</si>
  <si>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</si>
  <si>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</si>
  <si>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</si>
  <si>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</si>
  <si>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</si>
  <si>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</si>
  <si>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</si>
  <si>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</si>
  <si>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</si>
  <si>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</si>
  <si>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</si>
  <si>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</si>
  <si>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</si>
  <si>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</si>
  <si>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</si>
  <si>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</si>
  <si>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</si>
  <si>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</si>
  <si>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</si>
  <si>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</si>
  <si>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</si>
  <si>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</si>
  <si>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</si>
  <si>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</si>
  <si>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</si>
  <si>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</si>
  <si>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</si>
  <si>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</si>
  <si>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</si>
  <si>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</si>
  <si>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</si>
  <si>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</si>
  <si>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</si>
  <si>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</si>
  <si>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</si>
  <si>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</si>
  <si>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</si>
  <si>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</si>
  <si>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</si>
  <si>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</si>
  <si>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</si>
  <si>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</si>
  <si>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</si>
  <si>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</si>
  <si>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</si>
  <si>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</si>
  <si>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</si>
  <si>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</si>
  <si>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</si>
  <si>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</si>
  <si>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</si>
  <si>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</si>
  <si>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</si>
  <si>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</si>
  <si>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</si>
  <si>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</si>
  <si>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</si>
  <si>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</si>
  <si>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</si>
  <si>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</si>
  <si>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</si>
  <si>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</si>
  <si>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</si>
  <si>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</si>
  <si>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</si>
  <si>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</si>
  <si>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</si>
  <si>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</si>
  <si>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</si>
  <si>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</si>
  <si>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</si>
  <si>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</si>
  <si>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</si>
  <si>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</si>
  <si>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</si>
  <si>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</si>
  <si>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</si>
  <si>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</si>
  <si>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</si>
  <si>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</si>
  <si>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</si>
  <si>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</si>
  <si>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</si>
  <si>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</si>
  <si>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</si>
  <si>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</si>
  <si>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</si>
  <si>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</si>
  <si>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</si>
  <si>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</si>
  <si>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</si>
  <si>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</si>
  <si>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</si>
  <si>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</si>
  <si>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</si>
  <si>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</si>
  <si>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</si>
  <si>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</si>
  <si>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</si>
  <si>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</si>
  <si>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</si>
  <si>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</si>
  <si>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</si>
  <si>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</si>
  <si>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</si>
  <si>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</si>
  <si>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</si>
  <si>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</si>
  <si>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</si>
  <si>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</si>
  <si>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</si>
  <si>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</si>
  <si>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</si>
  <si>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</si>
  <si>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</si>
  <si>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</si>
  <si>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</si>
  <si>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</si>
  <si>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</si>
  <si>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</si>
  <si>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</si>
  <si>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</si>
  <si>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</si>
  <si>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</si>
  <si>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</si>
  <si>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</si>
  <si>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</si>
  <si>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</si>
  <si>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</si>
  <si>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</si>
  <si>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</si>
  <si>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</si>
  <si>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</si>
  <si>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</si>
  <si>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</si>
  <si>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</si>
  <si>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</si>
  <si>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</si>
  <si>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</si>
  <si>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</si>
  <si>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</si>
  <si>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</si>
  <si>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</si>
  <si>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</si>
  <si>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</si>
  <si>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</si>
  <si>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</si>
  <si>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</si>
  <si>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</si>
  <si>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</si>
  <si>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</si>
  <si>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</si>
  <si>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</si>
  <si>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</si>
  <si>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</si>
  <si>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</si>
  <si>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</si>
  <si>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</si>
  <si>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</si>
  <si>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</si>
  <si>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</si>
  <si>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</si>
  <si>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</si>
  <si>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</si>
  <si>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</si>
  <si>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</si>
  <si>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</si>
  <si>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</si>
  <si>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</si>
  <si>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</si>
  <si>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</si>
  <si>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</si>
  <si>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</si>
  <si>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</si>
  <si>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</si>
  <si>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</si>
  <si>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</si>
  <si>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</si>
  <si>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</si>
  <si>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</si>
  <si>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</si>
  <si>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</si>
  <si>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</si>
  <si>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</si>
  <si>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</si>
  <si>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</si>
  <si>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</si>
  <si>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</si>
  <si>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</si>
  <si>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</si>
  <si>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</si>
  <si>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</si>
  <si>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</si>
  <si>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</si>
  <si>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</si>
  <si>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</si>
  <si>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</si>
  <si>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</si>
  <si>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</si>
  <si>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</si>
  <si>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</si>
  <si>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</si>
  <si>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</si>
  <si>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</si>
  <si>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</si>
  <si>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</si>
  <si>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</si>
  <si>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</si>
  <si>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</si>
  <si>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</si>
  <si>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</si>
  <si>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</si>
  <si>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</si>
  <si>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</si>
  <si>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</si>
  <si>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</si>
  <si>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</si>
  <si>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</si>
  <si>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</si>
  <si>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</si>
  <si>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</si>
  <si>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</si>
  <si>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</si>
  <si>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</si>
  <si>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</si>
  <si>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</si>
  <si>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</si>
  <si>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</si>
  <si>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</si>
  <si>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</si>
  <si>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</si>
  <si>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</si>
  <si>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</si>
  <si>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</si>
  <si>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</si>
  <si>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</si>
  <si>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</si>
  <si>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</si>
  <si>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</si>
  <si>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</si>
  <si>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</si>
  <si>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</si>
  <si>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</si>
  <si>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</si>
  <si>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</si>
  <si>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</si>
  <si>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</si>
  <si>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</si>
  <si>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</si>
  <si>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</si>
  <si>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</si>
  <si>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</si>
  <si>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</si>
  <si>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</si>
  <si>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</si>
  <si>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</si>
  <si>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</si>
  <si>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</si>
  <si>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</si>
  <si>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</si>
  <si>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</si>
  <si>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</si>
  <si>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</si>
  <si>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</si>
  <si>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</si>
  <si>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</si>
  <si>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</si>
  <si>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</si>
  <si>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</si>
  <si>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</si>
  <si>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</si>
  <si>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</si>
  <si>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</si>
  <si>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</si>
  <si>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</si>
  <si>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</si>
  <si>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</si>
  <si>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</si>
  <si>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</si>
  <si>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</si>
  <si>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</si>
  <si>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</si>
  <si>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</si>
  <si>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</si>
  <si>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</si>
  <si>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</si>
  <si>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</si>
  <si>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</si>
  <si>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</si>
  <si>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</si>
  <si>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</si>
  <si>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</si>
  <si>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</si>
  <si>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</si>
  <si>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</si>
  <si>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</si>
  <si>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</si>
  <si>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</si>
  <si>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</si>
  <si>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</si>
  <si>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</si>
  <si>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</si>
  <si>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</si>
  <si>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</si>
  <si>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</si>
  <si>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</si>
  <si>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</si>
  <si>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</si>
  <si>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</si>
  <si>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</si>
  <si>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</si>
  <si>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</si>
  <si>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</si>
  <si>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</si>
  <si>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</si>
  <si>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</si>
  <si>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</si>
  <si>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</si>
  <si>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</si>
  <si>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</si>
  <si>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</si>
  <si>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</si>
  <si>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</si>
  <si>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</si>
  <si>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</si>
  <si>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</si>
  <si>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</si>
  <si>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</si>
  <si>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</si>
  <si>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</si>
  <si>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</si>
  <si>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</si>
  <si>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</si>
  <si>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</si>
  <si>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</si>
  <si>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</si>
  <si>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</si>
  <si>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</si>
  <si>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</si>
  <si>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</si>
  <si>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</si>
  <si>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</si>
  <si>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</si>
  <si>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</si>
  <si>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</si>
  <si>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</si>
  <si>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</si>
  <si>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</si>
  <si>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</si>
  <si>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</si>
  <si>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</si>
  <si>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</si>
  <si>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</si>
  <si>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</si>
  <si>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</si>
  <si>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</si>
  <si>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</si>
  <si>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</si>
  <si>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</si>
  <si>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</si>
  <si>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</si>
  <si>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</si>
  <si>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</si>
  <si>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</si>
  <si>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</si>
  <si>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</si>
  <si>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</si>
  <si>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</si>
  <si>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</si>
  <si>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</si>
  <si>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</si>
  <si>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</si>
  <si>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</si>
  <si>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</si>
  <si>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</si>
  <si>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</si>
  <si>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</si>
  <si>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</si>
  <si>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</si>
  <si>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</si>
  <si>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</si>
  <si>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</si>
  <si>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</si>
  <si>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</si>
  <si>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</si>
  <si>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</si>
  <si>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</si>
  <si>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</si>
  <si>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</si>
  <si>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</si>
  <si>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</si>
  <si>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</si>
  <si>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</si>
  <si>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</si>
  <si>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</si>
  <si>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</si>
  <si>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</si>
  <si>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</si>
  <si>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</si>
  <si>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</si>
  <si>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</si>
  <si>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</si>
  <si>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</si>
  <si>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</si>
  <si>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</si>
  <si>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</si>
  <si>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</si>
  <si>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</si>
  <si>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</si>
  <si>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</si>
  <si>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</si>
  <si>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</si>
  <si>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</si>
  <si>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</si>
  <si>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</si>
  <si>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</si>
  <si>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</si>
  <si>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</si>
  <si>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</si>
  <si>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</si>
  <si>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</si>
  <si>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</si>
  <si>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</si>
  <si>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</si>
  <si>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</si>
  <si>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</si>
  <si>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</si>
  <si>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</si>
  <si>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</si>
  <si>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</si>
  <si>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</si>
  <si>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</si>
  <si>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</si>
  <si>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</si>
  <si>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</si>
  <si>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</si>
  <si>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</si>
  <si>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</si>
  <si>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</si>
  <si>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</si>
  <si>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</si>
  <si>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</si>
  <si>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</si>
  <si>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</si>
  <si>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</si>
  <si>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</si>
  <si>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</si>
  <si>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</si>
  <si>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</si>
  <si>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</si>
  <si>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</si>
  <si>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</si>
  <si>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</si>
  <si>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</si>
  <si>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</si>
  <si>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</si>
  <si>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</si>
  <si>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</si>
  <si>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</si>
  <si>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</si>
  <si>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</si>
  <si>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</si>
  <si>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</si>
  <si>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</si>
  <si>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</si>
  <si>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</si>
  <si>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</si>
  <si>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</si>
  <si>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</si>
  <si>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</si>
  <si>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</si>
  <si>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</si>
  <si>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</si>
  <si>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</si>
  <si>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</si>
  <si>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</si>
  <si>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</si>
  <si>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</si>
  <si>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</si>
  <si>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</si>
  <si>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</si>
  <si>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</si>
  <si>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</si>
  <si>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</si>
  <si>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</si>
  <si>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</si>
  <si>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</si>
  <si>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</si>
  <si>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</si>
  <si>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</si>
  <si>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</si>
  <si>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</si>
  <si>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</si>
  <si>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</si>
  <si>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</si>
  <si>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</si>
  <si>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</si>
  <si>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</si>
  <si>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</si>
  <si>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</si>
  <si>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</si>
  <si>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</si>
  <si>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</si>
  <si>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</si>
  <si>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</si>
  <si>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</si>
  <si>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</si>
  <si>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</si>
  <si>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</si>
  <si>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</si>
  <si>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</si>
  <si>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</si>
  <si>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</si>
  <si>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</si>
  <si>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</si>
  <si>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</si>
  <si>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</si>
  <si>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</si>
  <si>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</si>
  <si>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</si>
  <si>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</si>
  <si>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</si>
  <si>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</si>
  <si>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</si>
  <si>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</si>
  <si>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</si>
  <si>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</si>
  <si>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</si>
  <si>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</si>
  <si>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</si>
  <si>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</si>
  <si>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</si>
  <si>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</si>
  <si>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</si>
  <si>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</si>
  <si>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</si>
  <si>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</si>
  <si>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</si>
  <si>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</si>
  <si>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</si>
  <si>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</si>
  <si>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</si>
  <si>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</si>
  <si>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</si>
  <si>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</si>
  <si>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</si>
  <si>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</si>
  <si>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</si>
  <si>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</si>
  <si>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</si>
  <si>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</si>
  <si>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</si>
  <si>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</si>
  <si>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</si>
  <si>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</si>
  <si>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</si>
  <si>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</si>
  <si>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</si>
  <si>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</si>
  <si>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</si>
  <si>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</si>
  <si>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</si>
  <si>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</si>
  <si>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</si>
  <si>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</si>
  <si>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</si>
  <si>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</si>
  <si>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</si>
  <si>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</si>
  <si>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</si>
  <si>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</si>
  <si>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</si>
  <si>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</si>
  <si>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</si>
  <si>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</si>
  <si>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</si>
  <si>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</si>
  <si>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</si>
  <si>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</si>
  <si>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</si>
  <si>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</si>
  <si>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</si>
  <si>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</si>
  <si>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</si>
  <si>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</si>
  <si>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</si>
  <si>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</si>
  <si>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</si>
  <si>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</si>
  <si>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</si>
  <si>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</si>
  <si>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</si>
  <si>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</si>
  <si>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</si>
  <si>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</si>
  <si>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</si>
  <si>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</si>
  <si>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</si>
  <si>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</si>
  <si>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</si>
  <si>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</si>
  <si>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</si>
  <si>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</si>
  <si>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</si>
  <si>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</si>
  <si>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</si>
  <si>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</si>
  <si>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</si>
  <si>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</si>
  <si>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</si>
  <si>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</si>
  <si>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</si>
  <si>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</si>
  <si>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</si>
  <si>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</si>
  <si>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</si>
  <si>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</si>
  <si>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</si>
  <si>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</si>
  <si>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</si>
  <si>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</si>
  <si>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</si>
  <si>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</si>
  <si>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</si>
  <si>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</si>
  <si>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</si>
  <si>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</si>
  <si>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</si>
  <si>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</si>
  <si>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</si>
  <si>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</si>
  <si>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</si>
  <si>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</si>
  <si>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</si>
  <si>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</si>
  <si>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</si>
  <si>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</si>
  <si>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</si>
  <si>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</si>
  <si>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</si>
  <si>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</si>
  <si>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</si>
  <si>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</si>
  <si>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</si>
  <si>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</si>
  <si>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</si>
  <si>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</si>
  <si>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</si>
  <si>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</si>
  <si>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</si>
  <si>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</si>
  <si>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</si>
  <si>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</si>
  <si>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</si>
  <si>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</si>
  <si>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</si>
  <si>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</si>
  <si>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</si>
  <si>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</si>
  <si>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</si>
  <si>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</si>
  <si>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</si>
  <si>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</si>
  <si>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</si>
  <si>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</si>
  <si>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</si>
  <si>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</si>
  <si>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</si>
  <si>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</si>
  <si>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</si>
  <si>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</si>
  <si>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</si>
  <si>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</si>
  <si>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</si>
  <si>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</si>
  <si>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</si>
  <si>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</si>
  <si>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</si>
  <si>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</si>
  <si>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</si>
  <si>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</si>
  <si>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</si>
  <si>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</si>
  <si>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</si>
  <si>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</si>
  <si>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</si>
  <si>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</si>
  <si>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</si>
  <si>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</si>
  <si>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</si>
  <si>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</si>
  <si>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</si>
  <si>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</si>
  <si>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</si>
  <si>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</si>
  <si>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</si>
  <si>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</si>
  <si>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</si>
  <si>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</si>
  <si>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</si>
  <si>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</si>
  <si>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</si>
  <si>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</si>
  <si>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</si>
  <si>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</si>
  <si>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</si>
  <si>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</si>
  <si>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</si>
  <si>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</si>
  <si>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</si>
  <si>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</si>
  <si>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</si>
  <si>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</si>
  <si>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</si>
  <si>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</si>
  <si>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</si>
  <si>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</si>
  <si>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</si>
  <si>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</si>
  <si>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</si>
  <si>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</si>
  <si>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</si>
  <si>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</si>
  <si>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</si>
  <si>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</si>
  <si>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</si>
  <si>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</si>
  <si>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</si>
  <si>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</si>
  <si>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</si>
  <si>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</si>
  <si>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</si>
  <si>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</si>
  <si>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</si>
  <si>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</si>
  <si>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</si>
  <si>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</si>
  <si>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</si>
  <si>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</si>
  <si>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</si>
  <si>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</si>
  <si>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</si>
  <si>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</si>
  <si>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</si>
  <si>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</si>
  <si>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</si>
  <si>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</si>
  <si>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</si>
  <si>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</si>
  <si>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</si>
  <si>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</si>
  <si>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</si>
  <si>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</si>
  <si>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</si>
  <si>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</si>
  <si>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</si>
  <si>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</si>
  <si>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</si>
  <si>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</si>
  <si>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</si>
  <si>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</si>
  <si>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</si>
  <si>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</si>
  <si>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</si>
  <si>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</si>
  <si>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</si>
  <si>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</si>
  <si>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</si>
  <si>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</si>
  <si>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</si>
  <si>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</si>
  <si>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</si>
  <si>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</si>
  <si>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</si>
  <si>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</si>
  <si>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</si>
  <si>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</si>
  <si>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</si>
  <si>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</si>
  <si>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</si>
  <si>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</si>
  <si>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</si>
  <si>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</si>
  <si>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</si>
  <si>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</si>
  <si>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</si>
  <si>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</si>
  <si>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</si>
  <si>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</si>
  <si>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</si>
  <si>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</si>
  <si>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</si>
  <si>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</si>
  <si>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</si>
  <si>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</si>
  <si>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</si>
  <si>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</si>
  <si>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</si>
  <si>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</si>
  <si>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</si>
  <si>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</si>
  <si>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</si>
  <si>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</si>
  <si>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</si>
  <si>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</si>
  <si>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</si>
  <si>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</si>
  <si>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</si>
  <si>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</si>
  <si>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</si>
  <si>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</si>
  <si>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</si>
  <si>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</si>
  <si>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</si>
  <si>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</si>
  <si>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</si>
  <si>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</si>
  <si>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</si>
  <si>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</si>
  <si>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</si>
  <si>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</si>
  <si>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</si>
  <si>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</si>
  <si>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</si>
  <si>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</si>
  <si>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</si>
  <si>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</si>
  <si>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</si>
  <si>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</si>
  <si>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</si>
  <si>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</si>
  <si>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</si>
  <si>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</si>
  <si>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</si>
  <si>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</si>
  <si>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</si>
  <si>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</si>
  <si>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</si>
  <si>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</si>
  <si>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</si>
  <si>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</si>
  <si>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</si>
  <si>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</si>
  <si>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</si>
  <si>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</si>
  <si>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</si>
  <si>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</si>
  <si>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</si>
  <si>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</si>
  <si>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</si>
  <si>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</si>
  <si>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</si>
  <si>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</si>
  <si>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</si>
  <si>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</si>
  <si>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</si>
  <si>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</si>
  <si>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</si>
  <si>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</si>
  <si>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</si>
  <si>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</si>
  <si>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</si>
  <si>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</si>
  <si>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</si>
  <si>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</si>
  <si>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</si>
  <si>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</si>
  <si>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</si>
  <si>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</si>
  <si>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</si>
  <si>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</si>
  <si>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</si>
  <si>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</si>
  <si>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</si>
  <si>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</si>
  <si>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</si>
  <si>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</si>
  <si>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</si>
  <si>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</si>
  <si>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</si>
  <si>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</si>
  <si>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</si>
  <si>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</si>
  <si>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</si>
  <si>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</si>
  <si>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</si>
  <si>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</si>
  <si>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</si>
  <si>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</si>
  <si>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</si>
  <si>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</si>
  <si>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</si>
  <si>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</si>
  <si>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</si>
  <si>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</si>
  <si>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</si>
  <si>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</si>
  <si>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</si>
  <si>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</si>
  <si>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</si>
  <si>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</si>
  <si>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</si>
  <si>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</si>
  <si>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</si>
  <si>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</si>
  <si>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</si>
  <si>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</si>
  <si>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</si>
  <si>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</si>
  <si>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</si>
  <si>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</si>
  <si>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</si>
  <si>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</si>
  <si>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</si>
  <si>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</si>
  <si>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</si>
  <si>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</si>
  <si>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</si>
  <si>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</si>
  <si>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</si>
  <si>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</si>
  <si>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</si>
  <si>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</si>
  <si>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</si>
  <si>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</si>
  <si>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</si>
  <si>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</si>
  <si>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</si>
  <si>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</si>
  <si>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</si>
  <si>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</si>
  <si>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</si>
  <si>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</si>
  <si>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</si>
  <si>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</si>
  <si>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</si>
  <si>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</si>
  <si>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</si>
  <si>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</si>
  <si>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</si>
  <si>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</si>
  <si>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</si>
  <si>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</si>
  <si>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</si>
  <si>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</si>
  <si>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</si>
  <si>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</si>
  <si>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</si>
  <si>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</si>
  <si>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</si>
  <si>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</si>
  <si>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</si>
  <si>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</si>
  <si>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</si>
  <si>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</si>
  <si>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</si>
  <si>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</si>
  <si>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</si>
  <si>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</si>
  <si>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</si>
  <si>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</si>
  <si>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</si>
  <si>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</si>
  <si>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</si>
  <si>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</si>
  <si>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</si>
  <si>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</si>
  <si>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</si>
  <si>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</si>
  <si>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</si>
  <si>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</si>
  <si>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</si>
  <si>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</si>
  <si>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</si>
  <si>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</si>
  <si>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</si>
  <si>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</si>
  <si>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</si>
  <si>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</si>
  <si>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</si>
  <si>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</si>
  <si>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</si>
  <si>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</si>
  <si>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</si>
  <si>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</si>
  <si>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</si>
  <si>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</si>
  <si>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</si>
  <si>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</si>
  <si>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</si>
  <si>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</si>
  <si>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</si>
  <si>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</si>
  <si>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</si>
  <si>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</si>
  <si>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</si>
  <si>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</si>
  <si>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</si>
  <si>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</si>
  <si>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</si>
  <si>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</si>
  <si>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</si>
  <si>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</si>
  <si>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</si>
  <si>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</si>
  <si>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</si>
  <si>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</si>
  <si>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</si>
  <si>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</si>
  <si>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</si>
  <si>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</si>
  <si>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</si>
  <si>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</si>
  <si>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</si>
  <si>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</si>
  <si>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</si>
  <si>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</si>
  <si>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</si>
  <si>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</si>
  <si>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</si>
  <si>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</si>
  <si>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</si>
  <si>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</si>
  <si>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</si>
  <si>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</si>
  <si>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</si>
  <si>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</si>
  <si>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</si>
  <si>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</si>
  <si>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</si>
  <si>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</si>
  <si>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</si>
  <si>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</si>
  <si>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</si>
  <si>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</si>
  <si>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</si>
  <si>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</si>
  <si>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</si>
  <si>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</si>
  <si>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</si>
  <si>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</si>
  <si>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</si>
  <si>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</si>
  <si>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</si>
  <si>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</si>
  <si>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</si>
  <si>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</si>
  <si>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</si>
  <si>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</si>
  <si>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</si>
  <si>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</si>
  <si>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</si>
  <si>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</si>
  <si>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</si>
  <si>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</si>
  <si>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</si>
  <si>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</si>
  <si>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</si>
  <si>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</si>
  <si>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</si>
  <si>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</si>
  <si>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</si>
  <si>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</si>
  <si>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</si>
  <si>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</si>
  <si>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</si>
  <si>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</si>
  <si>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</si>
  <si>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</si>
  <si>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</si>
  <si>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</si>
  <si>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</si>
  <si>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</si>
  <si>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</si>
  <si>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</si>
  <si>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</si>
  <si>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</si>
  <si>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</si>
  <si>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</si>
  <si>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</si>
  <si>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</si>
  <si>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</si>
  <si>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</si>
  <si>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</si>
  <si>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</si>
  <si>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</si>
  <si>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</si>
  <si>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</si>
  <si>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</si>
  <si>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</si>
  <si>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</si>
  <si>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</si>
  <si>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</si>
  <si>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</si>
  <si>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</si>
  <si>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</si>
  <si>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</si>
  <si>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</si>
  <si>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</si>
  <si>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</si>
  <si>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</si>
  <si>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</si>
  <si>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</si>
  <si>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</si>
  <si>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</si>
  <si>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</si>
  <si>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</si>
  <si>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</si>
  <si>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</si>
  <si>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</si>
  <si>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</si>
  <si>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</si>
  <si>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</si>
  <si>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</si>
  <si>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</si>
  <si>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</si>
  <si>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</si>
  <si>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</si>
  <si>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</si>
  <si>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</si>
  <si>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</si>
  <si>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</si>
  <si>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</si>
  <si>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</si>
  <si>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</si>
  <si>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</si>
  <si>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</si>
  <si>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</si>
  <si>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</si>
  <si>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</si>
  <si>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</si>
  <si>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</si>
  <si>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</si>
  <si>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</si>
  <si>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</si>
  <si>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</si>
  <si>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</si>
  <si>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</si>
  <si>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</si>
  <si>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</si>
  <si>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</si>
  <si>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</si>
  <si>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</si>
  <si>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</si>
  <si>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</si>
  <si>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</si>
  <si>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</si>
  <si>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</si>
  <si>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</si>
  <si>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</si>
  <si>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</si>
  <si>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</si>
  <si>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</si>
  <si>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</si>
  <si>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</si>
  <si>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</si>
  <si>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</si>
  <si>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</si>
  <si>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</si>
  <si>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</si>
  <si>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</si>
  <si>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</si>
  <si>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</si>
  <si>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</si>
  <si>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</si>
  <si>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</si>
  <si>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</si>
  <si>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</si>
  <si>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</si>
  <si>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</si>
  <si>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</si>
  <si>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</si>
  <si>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</si>
  <si>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</si>
  <si>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</si>
  <si>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</si>
  <si>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</si>
  <si>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</si>
  <si>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</si>
  <si>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</si>
  <si>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</si>
  <si>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</si>
  <si>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</si>
  <si>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</si>
  <si>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</si>
  <si>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</si>
  <si>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</si>
  <si>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</si>
  <si>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</si>
  <si>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</si>
  <si>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</si>
  <si>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</si>
  <si>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</si>
  <si>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</si>
  <si>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</si>
  <si>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</si>
  <si>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</si>
  <si>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</si>
  <si>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</si>
  <si>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</si>
  <si>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</si>
  <si>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</si>
  <si>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</si>
  <si>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</si>
  <si>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</si>
  <si>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</si>
  <si>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</si>
  <si>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</si>
  <si>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</si>
  <si>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</si>
  <si>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</si>
  <si>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</si>
  <si>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</si>
  <si>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</si>
  <si>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</si>
  <si>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</si>
  <si>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</si>
  <si>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</si>
  <si>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</si>
  <si>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</si>
  <si>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</si>
  <si>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</si>
  <si>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</si>
  <si>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</si>
  <si>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</si>
  <si>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</si>
  <si>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</si>
  <si>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</si>
  <si>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</si>
  <si>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</si>
  <si>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</si>
  <si>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</si>
  <si>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</si>
  <si>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</si>
  <si>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</si>
  <si>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</si>
  <si>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</si>
  <si>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</si>
  <si>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</si>
  <si>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</si>
  <si>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</si>
  <si>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</si>
  <si>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</si>
  <si>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</si>
  <si>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</si>
  <si>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</si>
  <si>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</si>
  <si>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</si>
  <si>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</si>
  <si>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</si>
  <si>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</si>
  <si>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</si>
  <si>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</si>
  <si>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</si>
  <si>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</si>
  <si>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</si>
  <si>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</si>
  <si>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</si>
  <si>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</si>
  <si>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</si>
  <si>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</si>
  <si>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</si>
  <si>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</si>
  <si>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</si>
  <si>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</si>
  <si>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</si>
  <si>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</si>
  <si>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</si>
  <si>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</si>
  <si>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</si>
  <si>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</si>
  <si>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</si>
  <si>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</si>
  <si>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</si>
  <si>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</si>
  <si>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</si>
  <si>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</si>
  <si>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</si>
  <si>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</si>
  <si>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</si>
  <si>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</si>
  <si>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</si>
  <si>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</si>
  <si>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</si>
  <si>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</si>
  <si>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</si>
  <si>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</si>
  <si>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</si>
  <si>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</si>
  <si>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</si>
  <si>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</si>
  <si>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</si>
  <si>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</si>
  <si>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</si>
  <si>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</si>
  <si>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</si>
  <si>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</si>
  <si>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</si>
  <si>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</si>
  <si>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</si>
  <si>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</si>
  <si>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</si>
  <si>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</si>
  <si>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</si>
  <si>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</si>
  <si>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</si>
  <si>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</si>
  <si>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</si>
  <si>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</si>
  <si>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</si>
  <si>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</si>
  <si>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</si>
  <si>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</si>
  <si>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</si>
  <si>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</si>
  <si>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</si>
  <si>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</si>
  <si>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</si>
  <si>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</si>
  <si>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</si>
  <si>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</si>
  <si>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</si>
  <si>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</si>
  <si>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</si>
  <si>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</si>
  <si>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</si>
  <si>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</si>
  <si>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</si>
  <si>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</si>
  <si>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</si>
  <si>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</si>
  <si>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</si>
  <si>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</si>
  <si>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</si>
  <si>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</si>
  <si>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</si>
  <si>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</si>
  <si>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</si>
  <si>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</si>
  <si>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</si>
  <si>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</si>
  <si>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</si>
  <si>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</si>
  <si>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</si>
  <si>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</si>
  <si>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</si>
  <si>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</si>
  <si>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</si>
  <si>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</si>
  <si>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</si>
  <si>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</si>
  <si>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</si>
  <si>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</si>
  <si>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</si>
  <si>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</si>
  <si>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</si>
  <si>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</si>
  <si>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</si>
  <si>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</si>
  <si>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</si>
  <si>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</si>
  <si>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</si>
  <si>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</si>
  <si>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</si>
  <si>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</si>
  <si>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</si>
  <si>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</si>
  <si>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</si>
  <si>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</si>
  <si>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</si>
  <si>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</si>
  <si>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</si>
  <si>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</si>
  <si>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</si>
  <si>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</si>
  <si>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</si>
  <si>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</si>
  <si>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</si>
  <si>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</si>
  <si>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</si>
  <si>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</si>
  <si>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</si>
  <si>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</si>
  <si>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</si>
  <si>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</si>
  <si>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</si>
  <si>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</si>
  <si>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</si>
  <si>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</si>
  <si>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</si>
  <si>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</si>
  <si>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</si>
  <si>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</si>
  <si>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</si>
  <si>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</si>
  <si>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</si>
  <si>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</si>
  <si>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</si>
  <si>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</si>
  <si>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</si>
  <si>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</si>
  <si>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</si>
  <si>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</si>
  <si>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</si>
  <si>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</si>
  <si>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</si>
  <si>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</si>
  <si>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</si>
  <si>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</si>
  <si>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</si>
  <si>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</si>
  <si>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</si>
  <si>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</si>
  <si>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</si>
  <si>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</si>
  <si>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</si>
  <si>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</si>
  <si>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</si>
  <si>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</si>
  <si>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</si>
  <si>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</si>
  <si>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</si>
  <si>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</si>
  <si>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</si>
  <si>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</si>
  <si>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</si>
  <si>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</si>
  <si>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</si>
  <si>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</si>
  <si>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</si>
  <si>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</si>
  <si>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</si>
  <si>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</si>
  <si>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</si>
  <si>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</si>
  <si>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</si>
  <si>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</si>
  <si>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</si>
  <si>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</si>
  <si>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</si>
  <si>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</si>
  <si>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</si>
  <si>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</si>
  <si>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</si>
  <si>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</si>
  <si>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</si>
  <si>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</si>
  <si>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</si>
  <si>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</si>
  <si>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</si>
  <si>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</si>
  <si>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</si>
  <si>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</si>
  <si>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</si>
  <si>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</si>
  <si>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</si>
  <si>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</si>
  <si>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</si>
  <si>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</si>
  <si>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</si>
  <si>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</si>
  <si>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</si>
  <si>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</si>
  <si>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</si>
  <si>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</si>
  <si>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</si>
  <si>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</si>
  <si>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</si>
  <si>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</si>
  <si>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</si>
  <si>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</si>
  <si>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</si>
  <si>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</si>
  <si>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</si>
  <si>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</si>
  <si>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</si>
  <si>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</si>
  <si>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</si>
  <si>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</si>
  <si>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</si>
  <si>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</si>
  <si>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</si>
  <si>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</si>
  <si>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</si>
  <si>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</si>
  <si>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</si>
  <si>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</si>
  <si>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</si>
  <si>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</si>
  <si>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</si>
  <si>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</si>
  <si>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</si>
  <si>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</si>
  <si>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</si>
  <si>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</si>
  <si>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</si>
  <si>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</si>
  <si>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</si>
  <si>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</si>
  <si>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</si>
  <si>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</si>
  <si>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</si>
  <si>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</si>
  <si>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</si>
  <si>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</si>
  <si>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</si>
  <si>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</si>
  <si>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</si>
  <si>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</si>
  <si>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</si>
  <si>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</si>
  <si>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</si>
  <si>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</si>
  <si>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</si>
  <si>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</si>
  <si>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</si>
  <si>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</si>
  <si>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</si>
  <si>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</si>
  <si>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</si>
  <si>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</si>
  <si>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</si>
  <si>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</si>
  <si>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</si>
  <si>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</si>
  <si>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</si>
  <si>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</si>
  <si>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</si>
  <si>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</si>
  <si>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</si>
  <si>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</si>
  <si>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</si>
  <si>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</si>
  <si>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</si>
  <si>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</si>
  <si>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</si>
  <si>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</si>
  <si>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</si>
  <si>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</si>
  <si>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</si>
  <si>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</si>
  <si>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</si>
  <si>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</si>
  <si>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</si>
  <si>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</si>
  <si>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</si>
  <si>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</si>
  <si>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</si>
  <si>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</si>
  <si>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</si>
  <si>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</si>
  <si>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</si>
  <si>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</si>
  <si>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</si>
  <si>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</si>
  <si>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</si>
  <si>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</si>
  <si>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</si>
  <si>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</si>
  <si>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</si>
  <si>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</si>
  <si>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</si>
  <si>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</si>
  <si>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</si>
  <si>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</si>
  <si>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</si>
  <si>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</si>
  <si>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</si>
  <si>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</si>
  <si>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</si>
  <si>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</si>
  <si>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</si>
  <si>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</si>
  <si>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</si>
  <si>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</si>
  <si>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</si>
  <si>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</si>
  <si>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</si>
  <si>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</si>
  <si>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</si>
  <si>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</si>
  <si>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</si>
  <si>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</si>
  <si>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</si>
  <si>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</si>
  <si>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</si>
  <si>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</si>
  <si>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</si>
  <si>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</si>
  <si>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</si>
  <si>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</si>
  <si>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</si>
  <si>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</si>
  <si>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</si>
  <si>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</si>
  <si>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</si>
  <si>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</si>
  <si>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</si>
  <si>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</si>
  <si>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</si>
  <si>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</si>
  <si>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</si>
  <si>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</si>
  <si>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</si>
  <si>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</si>
  <si>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</si>
  <si>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</si>
  <si>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</si>
  <si>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</si>
  <si>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</si>
  <si>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</si>
  <si>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</si>
  <si>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</si>
  <si>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</si>
  <si>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</si>
  <si>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</si>
  <si>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</si>
  <si>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</si>
  <si>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</si>
  <si>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</si>
  <si>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</si>
  <si>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</si>
  <si>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</si>
  <si>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</si>
  <si>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</si>
  <si>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</si>
  <si>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</si>
  <si>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</si>
  <si>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</si>
  <si>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</si>
  <si>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</si>
  <si>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</si>
  <si>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</si>
  <si>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</si>
  <si>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</si>
  <si>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</si>
  <si>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</si>
  <si>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</si>
  <si>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</si>
  <si>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</si>
  <si>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</si>
  <si>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</si>
  <si>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</si>
  <si>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</si>
  <si>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</si>
  <si>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</si>
  <si>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</si>
  <si>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</si>
  <si>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</si>
  <si>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</si>
  <si>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</si>
  <si>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</si>
  <si>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</si>
  <si>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</si>
  <si>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</si>
  <si>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</si>
  <si>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</si>
  <si>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</si>
  <si>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</si>
  <si>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</si>
  <si>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</si>
  <si>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</si>
  <si>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</si>
  <si>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</si>
  <si>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</si>
  <si>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</si>
  <si>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</si>
  <si>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</si>
  <si>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</si>
  <si>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</si>
  <si>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</si>
  <si>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</si>
  <si>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</si>
  <si>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</si>
  <si>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</si>
  <si>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</si>
  <si>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</si>
  <si>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</si>
  <si>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</si>
  <si>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</si>
  <si>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</si>
  <si>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</si>
  <si>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</si>
  <si>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</si>
  <si>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</si>
  <si>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</si>
  <si>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</si>
  <si>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</si>
  <si>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</si>
  <si>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</si>
  <si>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</si>
  <si>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</si>
  <si>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</si>
  <si>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</si>
  <si>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</si>
  <si>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</si>
  <si>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</si>
  <si>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</si>
  <si>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</si>
  <si>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</si>
  <si>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</si>
  <si>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</si>
  <si>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</si>
  <si>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</si>
  <si>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</si>
  <si>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</si>
  <si>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</si>
  <si>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</si>
  <si>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</si>
  <si>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</si>
  <si>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</si>
  <si>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</si>
  <si>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</si>
  <si>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</si>
  <si>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</si>
  <si>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</si>
  <si>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</si>
  <si>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</si>
  <si>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</si>
  <si>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</si>
  <si>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</si>
  <si>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</si>
  <si>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</si>
  <si>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</si>
  <si>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</si>
  <si>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</si>
  <si>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</si>
  <si>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</si>
  <si>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</si>
  <si>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</si>
  <si>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</si>
  <si>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</si>
  <si>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</si>
  <si>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</si>
  <si>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</si>
  <si>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</si>
  <si>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</si>
  <si>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</si>
  <si>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</si>
  <si>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</si>
  <si>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</si>
  <si>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</si>
  <si>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</si>
  <si>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</si>
  <si>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</si>
  <si>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</si>
  <si>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</si>
  <si>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</si>
  <si>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</si>
  <si>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</si>
  <si>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</si>
  <si>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</si>
  <si>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</si>
  <si>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</si>
  <si>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</si>
  <si>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</si>
  <si>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</si>
  <si>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</si>
  <si>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</si>
  <si>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</si>
  <si>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</si>
  <si>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</si>
  <si>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</si>
  <si>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</si>
  <si>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</si>
  <si>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</si>
  <si>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</si>
  <si>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</si>
  <si>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</si>
  <si>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</si>
  <si>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</si>
  <si>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</si>
  <si>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</si>
  <si>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</si>
  <si>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</si>
  <si>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</si>
  <si>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</si>
  <si>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</si>
  <si>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</si>
  <si>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</si>
  <si>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</si>
  <si>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</si>
  <si>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</si>
  <si>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</si>
  <si>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</si>
  <si>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</si>
  <si>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</si>
  <si>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</si>
  <si>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</si>
  <si>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</si>
  <si>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</si>
  <si>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</si>
  <si>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</si>
  <si>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</si>
  <si>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</si>
  <si>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</si>
  <si>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</si>
  <si>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</si>
  <si>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</si>
  <si>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</si>
  <si>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</si>
  <si>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</si>
  <si>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</si>
  <si>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</si>
  <si>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</si>
  <si>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</si>
  <si>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</si>
  <si>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</si>
  <si>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</si>
  <si>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</si>
  <si>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</si>
  <si>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</si>
  <si>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</si>
  <si>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</si>
  <si>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</si>
  <si>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</si>
  <si>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</si>
  <si>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</si>
  <si>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</si>
  <si>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</si>
  <si>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</si>
  <si>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</si>
  <si>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</si>
  <si>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</si>
  <si>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</si>
  <si>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</si>
  <si>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</si>
  <si>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</si>
  <si>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</si>
  <si>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</si>
  <si>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</si>
  <si>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</si>
  <si>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</si>
  <si>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</si>
  <si>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</si>
  <si>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</si>
  <si>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</si>
  <si>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</si>
  <si>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</si>
  <si>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</si>
  <si>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</si>
  <si>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</si>
  <si>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</si>
  <si>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</si>
  <si>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</si>
  <si>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</si>
  <si>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</si>
  <si>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</si>
  <si>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</si>
  <si>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</si>
  <si>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</si>
  <si>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</si>
  <si>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</si>
  <si>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</si>
  <si>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</si>
  <si>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</si>
  <si>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</si>
  <si>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</si>
  <si>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</si>
  <si>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</si>
  <si>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</si>
  <si>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</si>
  <si>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</si>
  <si>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</si>
  <si>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</si>
  <si>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</si>
  <si>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</si>
  <si>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</si>
  <si>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</si>
  <si>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</si>
  <si>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</si>
  <si>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</si>
  <si>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</si>
  <si>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</si>
  <si>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</si>
  <si>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</si>
  <si>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</si>
  <si>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</si>
  <si>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</si>
  <si>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</si>
  <si>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</si>
  <si>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</si>
  <si>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</si>
  <si>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</si>
  <si>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</si>
  <si>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</si>
  <si>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</si>
  <si>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</si>
  <si>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</si>
  <si>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</si>
  <si>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</si>
  <si>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</si>
  <si>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</si>
  <si>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</si>
  <si>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</si>
  <si>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</si>
  <si>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</si>
  <si>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</si>
  <si>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</si>
  <si>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</si>
  <si>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</si>
  <si>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</si>
  <si>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</si>
  <si>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</si>
  <si>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</si>
  <si>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</si>
  <si>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</si>
  <si>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</si>
  <si>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</si>
  <si>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</si>
  <si>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</si>
  <si>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</si>
  <si>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</si>
  <si>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</si>
  <si>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</si>
  <si>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</si>
  <si>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</si>
  <si>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</si>
  <si>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</si>
  <si>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</si>
  <si>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</si>
  <si>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</si>
  <si>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</si>
  <si>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</si>
  <si>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</si>
  <si>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</si>
  <si>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</si>
  <si>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</si>
  <si>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</si>
  <si>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</si>
  <si>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</si>
  <si>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</si>
  <si>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</si>
  <si>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</si>
  <si>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</si>
  <si>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</si>
  <si>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</si>
  <si>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</si>
  <si>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</si>
  <si>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</si>
  <si>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</si>
  <si>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</si>
  <si>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</si>
  <si>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</si>
  <si>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</si>
  <si>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</si>
  <si>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</si>
  <si>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</si>
  <si>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</si>
  <si>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</si>
  <si>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</si>
  <si>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</si>
  <si>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</si>
  <si>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</si>
  <si>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</si>
  <si>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</si>
  <si>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</si>
  <si>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</si>
  <si>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</si>
  <si>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</si>
  <si>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</si>
  <si>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</si>
  <si>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</si>
  <si>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</si>
  <si>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</si>
  <si>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</si>
  <si>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</si>
  <si>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</si>
  <si>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</si>
  <si>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</si>
  <si>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</si>
  <si>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</si>
  <si>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</si>
  <si>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</si>
  <si>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</si>
  <si>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</si>
  <si>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</si>
  <si>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</si>
  <si>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</si>
  <si>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</si>
  <si>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</si>
  <si>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</si>
  <si>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</si>
  <si>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</si>
  <si>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</si>
  <si>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</si>
  <si>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</si>
  <si>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</si>
  <si>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</si>
  <si>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</si>
  <si>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</si>
  <si>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</si>
  <si>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</si>
  <si>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</si>
  <si>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</si>
  <si>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</si>
  <si>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</si>
  <si>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</si>
  <si>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</si>
  <si>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</si>
  <si>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</si>
  <si>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</si>
  <si>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</si>
  <si>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</si>
  <si>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</si>
  <si>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</si>
  <si>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</si>
  <si>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</si>
  <si>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</si>
  <si>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</si>
  <si>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</si>
  <si>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</si>
  <si>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</si>
  <si>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</si>
  <si>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</si>
  <si>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</si>
  <si>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</si>
  <si>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</si>
  <si>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</si>
  <si>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</si>
  <si>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</si>
  <si>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</si>
  <si>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</si>
  <si>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</si>
  <si>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</si>
  <si>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</si>
  <si>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</si>
  <si>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</si>
  <si>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</si>
  <si>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</si>
  <si>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</si>
  <si>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</si>
  <si>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</si>
  <si>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</si>
  <si>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</si>
  <si>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</si>
  <si>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</si>
  <si>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</si>
  <si>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</si>
  <si>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</si>
  <si>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</si>
  <si>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</si>
  <si>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</si>
  <si>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</si>
  <si>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</si>
  <si>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</si>
  <si>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</si>
  <si>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</si>
  <si>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</si>
  <si>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</si>
  <si>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</si>
  <si>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</si>
  <si>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</si>
  <si>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</si>
  <si>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</si>
  <si>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</si>
  <si>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</si>
  <si>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</si>
  <si>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</si>
  <si>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</si>
  <si>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</si>
  <si>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</si>
  <si>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</si>
  <si>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</si>
  <si>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</si>
  <si>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</si>
  <si>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</si>
  <si>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</si>
  <si>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</si>
  <si>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</si>
  <si>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</si>
  <si>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</si>
  <si>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</si>
  <si>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</si>
  <si>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</si>
  <si>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</si>
  <si>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</si>
  <si>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</si>
  <si>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</si>
  <si>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</si>
  <si>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</si>
  <si>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</si>
  <si>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</si>
  <si>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</si>
  <si>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</si>
  <si>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</si>
  <si>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</si>
  <si>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</si>
  <si>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</si>
  <si>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</si>
  <si>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</si>
  <si>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</si>
  <si>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</si>
  <si>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</si>
  <si>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</si>
  <si>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</si>
  <si>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</si>
  <si>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</si>
  <si>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</si>
  <si>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</si>
  <si>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</si>
  <si>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</si>
  <si>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</si>
  <si>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</si>
  <si>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</si>
  <si>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</si>
  <si>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</si>
  <si>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</si>
  <si>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</si>
  <si>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</si>
  <si>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</si>
  <si>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</si>
  <si>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</si>
  <si>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</si>
  <si>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</si>
  <si>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</si>
  <si>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</si>
  <si>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</si>
  <si>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</si>
  <si>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</si>
  <si>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</si>
  <si>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</si>
  <si>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</si>
  <si>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</si>
  <si>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</si>
  <si>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</si>
  <si>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</si>
  <si>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</si>
  <si>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</si>
  <si>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</si>
  <si>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</si>
  <si>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</si>
  <si>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</si>
  <si>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</si>
  <si>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</si>
  <si>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</si>
  <si>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</si>
  <si>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</si>
  <si>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</si>
  <si>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</si>
  <si>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</si>
  <si>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</si>
  <si>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</si>
  <si>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</si>
  <si>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</si>
  <si>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</si>
  <si>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</si>
  <si>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</si>
  <si>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</si>
  <si>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</si>
  <si>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</si>
  <si>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</si>
  <si>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</si>
  <si>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</si>
  <si>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</si>
  <si>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</si>
  <si>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</si>
  <si>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</si>
  <si>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</si>
  <si>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</si>
  <si>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</si>
  <si>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</si>
  <si>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</si>
  <si>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</si>
  <si>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</si>
  <si>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</si>
  <si>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</si>
  <si>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</si>
  <si>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</si>
  <si>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</si>
  <si>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</si>
  <si>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</si>
  <si>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</si>
  <si>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</si>
  <si>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</si>
  <si>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</si>
  <si>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</si>
  <si>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</si>
  <si>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</si>
  <si>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</si>
  <si>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</si>
  <si>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</si>
  <si>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</si>
  <si>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</si>
  <si>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</si>
  <si>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</si>
  <si>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</si>
  <si>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</si>
  <si>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</si>
  <si>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</si>
  <si>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</si>
  <si>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</si>
  <si>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</si>
  <si>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</si>
  <si>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</si>
  <si>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</si>
  <si>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</si>
  <si>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</si>
  <si>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</si>
  <si>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</si>
  <si>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</si>
  <si>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</si>
  <si>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</si>
  <si>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</si>
  <si>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</si>
  <si>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</si>
  <si>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</si>
  <si>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</si>
  <si>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</si>
  <si>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</si>
  <si>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</si>
  <si>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</si>
  <si>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</si>
  <si>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</si>
  <si>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</si>
  <si>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</si>
  <si>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</si>
  <si>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</si>
  <si>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</si>
  <si>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</si>
  <si>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机器人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</si>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</sst>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-178492000000</v>
      </c>
      <c r="G2">
        <v>206060000000</v>
      </c>
      <c r="H2">
        <v>-73050000000</v>
      </c>
      <c r="I2">
        <v>-365452000000</v>
      </c>
      <c r="J2">
        <v>-106169000000</v>
      </c>
      <c r="K2">
        <v>-153016000000</v>
      </c>
      <c r="L2">
        <v>284973000000</v>
      </c>
      <c r="M2">
        <v>47236000000</v>
      </c>
      <c r="N2">
        <v>271025000000</v>
      </c>
      <c r="O2">
        <v>29949355000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-330021154</v>
      </c>
      <c r="G3">
        <v>-475592072</v>
      </c>
      <c r="H3">
        <v>1677133267</v>
      </c>
      <c r="I3">
        <v>1239942407</v>
      </c>
      <c r="J3">
        <v>-1000942531</v>
      </c>
      <c r="K3">
        <v>-2212632104</v>
      </c>
      <c r="L3">
        <v>-1006291739</v>
      </c>
      <c r="M3">
        <v>1103420361</v>
      </c>
      <c r="N3">
        <v>1352407257</v>
      </c>
      <c r="O3">
        <v>1167024809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1135357154.1800001</v>
      </c>
      <c r="L4">
        <v>-1350141265.5599999</v>
      </c>
      <c r="M4">
        <v>2322945481.0700002</v>
      </c>
      <c r="N4">
        <v>1987530261.95</v>
      </c>
      <c r="O4">
        <v>149252487.65000001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-1332988709</v>
      </c>
      <c r="G5">
        <v>-81005025</v>
      </c>
      <c r="H5">
        <v>-1941606472</v>
      </c>
      <c r="I5">
        <v>-826148402</v>
      </c>
      <c r="J5">
        <v>-1317851317</v>
      </c>
      <c r="K5">
        <v>-1081207615</v>
      </c>
      <c r="L5">
        <v>-400868233</v>
      </c>
      <c r="M5">
        <v>-172108658</v>
      </c>
      <c r="N5">
        <v>-1212329315</v>
      </c>
      <c r="O5">
        <v>-1227910866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1391107655</v>
      </c>
      <c r="G6">
        <v>920882202</v>
      </c>
      <c r="H6">
        <v>898356272</v>
      </c>
      <c r="I6">
        <v>919621314</v>
      </c>
      <c r="J6">
        <v>732226035</v>
      </c>
      <c r="K6">
        <v>167778104</v>
      </c>
      <c r="L6">
        <v>362172445</v>
      </c>
      <c r="M6">
        <v>618086368</v>
      </c>
      <c r="N6">
        <v>384190907</v>
      </c>
      <c r="O6">
        <v>580409463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-5567664404</v>
      </c>
      <c r="G7">
        <v>-6508472124</v>
      </c>
      <c r="H7">
        <v>-5771936144</v>
      </c>
      <c r="I7">
        <v>-3832564351</v>
      </c>
      <c r="J7">
        <v>-2654958299</v>
      </c>
      <c r="K7">
        <v>-1701859509</v>
      </c>
      <c r="L7">
        <v>-1293861859</v>
      </c>
      <c r="M7">
        <v>-1020055177</v>
      </c>
      <c r="N7">
        <v>-581767654</v>
      </c>
      <c r="O7">
        <v>-749016893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-551299021</v>
      </c>
      <c r="G8">
        <v>-1516658360</v>
      </c>
      <c r="H8">
        <v>1571046579</v>
      </c>
      <c r="I8">
        <v>787233149</v>
      </c>
      <c r="J8">
        <v>1031710906</v>
      </c>
      <c r="K8">
        <v>-353116994</v>
      </c>
      <c r="L8">
        <v>1230828168</v>
      </c>
      <c r="M8">
        <v>1442799759</v>
      </c>
      <c r="N8">
        <v>1351327981</v>
      </c>
      <c r="O8">
        <v>1010632098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7656802394</v>
      </c>
      <c r="G9">
        <v>1081474801</v>
      </c>
      <c r="H9">
        <v>-2190191643</v>
      </c>
      <c r="I9">
        <v>3088596858</v>
      </c>
      <c r="J9">
        <v>3373152331</v>
      </c>
      <c r="K9">
        <v>-2347095921</v>
      </c>
      <c r="L9">
        <v>-1673863001</v>
      </c>
      <c r="M9">
        <v>755643587</v>
      </c>
      <c r="N9">
        <v>-4509310615</v>
      </c>
      <c r="O9">
        <v>-4296535031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-4395642544</v>
      </c>
      <c r="G10">
        <v>1167609752</v>
      </c>
      <c r="H10">
        <v>11627814131</v>
      </c>
      <c r="I10">
        <v>10769076899</v>
      </c>
      <c r="J10">
        <v>5605248699</v>
      </c>
      <c r="K10">
        <v>15097153404</v>
      </c>
      <c r="L10">
        <v>17661423983</v>
      </c>
      <c r="M10">
        <v>10949690706</v>
      </c>
      <c r="N10">
        <v>21340363066</v>
      </c>
      <c r="O10">
        <v>11256833094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22</v>
      </c>
      <c r="F11">
        <v>1433147485</v>
      </c>
      <c r="G11">
        <v>796781090</v>
      </c>
      <c r="H11">
        <v>508816932</v>
      </c>
      <c r="I11">
        <v>703690816</v>
      </c>
      <c r="J11">
        <v>713178341</v>
      </c>
      <c r="K11">
        <v>1053712730</v>
      </c>
      <c r="L11">
        <v>542032314</v>
      </c>
      <c r="M11">
        <v>686457167</v>
      </c>
      <c r="N11">
        <v>404439636</v>
      </c>
      <c r="O11">
        <v>389931348</v>
      </c>
      <c r="P11">
        <v>805</v>
      </c>
      <c r="Q11" t="s">
        <v>44</v>
      </c>
    </row>
    <row r="12" spans="1:17" x14ac:dyDescent="0.3">
      <c r="A12" t="s">
        <v>17</v>
      </c>
      <c r="B12" t="str">
        <f>"600015"</f>
        <v>600015</v>
      </c>
      <c r="C12" t="s">
        <v>45</v>
      </c>
      <c r="D12" t="s">
        <v>19</v>
      </c>
      <c r="F12">
        <v>89112000000</v>
      </c>
      <c r="G12">
        <v>39176000000</v>
      </c>
      <c r="H12">
        <v>121201000000</v>
      </c>
      <c r="I12">
        <v>-109018000000</v>
      </c>
      <c r="J12">
        <v>-102800000000</v>
      </c>
      <c r="K12">
        <v>72522000000</v>
      </c>
      <c r="L12">
        <v>73251000000</v>
      </c>
      <c r="M12">
        <v>-47667000000</v>
      </c>
      <c r="N12">
        <v>21600000000</v>
      </c>
      <c r="O12">
        <v>61526301685</v>
      </c>
      <c r="P12">
        <v>1538</v>
      </c>
      <c r="Q12" t="s">
        <v>46</v>
      </c>
    </row>
    <row r="13" spans="1:17" x14ac:dyDescent="0.3">
      <c r="A13" t="s">
        <v>17</v>
      </c>
      <c r="B13" t="str">
        <f>"600016"</f>
        <v>600016</v>
      </c>
      <c r="C13" t="s">
        <v>47</v>
      </c>
      <c r="D13" t="s">
        <v>19</v>
      </c>
      <c r="F13">
        <v>293994000000</v>
      </c>
      <c r="G13">
        <v>-100499000000</v>
      </c>
      <c r="H13">
        <v>-125304000000</v>
      </c>
      <c r="I13">
        <v>-339933000000</v>
      </c>
      <c r="J13">
        <v>-375844000000</v>
      </c>
      <c r="K13">
        <v>852334000000</v>
      </c>
      <c r="L13">
        <v>117122000000</v>
      </c>
      <c r="M13">
        <v>83516000000</v>
      </c>
      <c r="N13">
        <v>10683000000</v>
      </c>
      <c r="O13">
        <v>-52723000000</v>
      </c>
      <c r="P13">
        <v>20731</v>
      </c>
      <c r="Q13" t="s">
        <v>48</v>
      </c>
    </row>
    <row r="14" spans="1:17" x14ac:dyDescent="0.3">
      <c r="A14" t="s">
        <v>17</v>
      </c>
      <c r="B14" t="str">
        <f>"600017"</f>
        <v>600017</v>
      </c>
      <c r="C14" t="s">
        <v>49</v>
      </c>
      <c r="D14" t="s">
        <v>22</v>
      </c>
      <c r="F14">
        <v>973356741</v>
      </c>
      <c r="G14">
        <v>-570493849</v>
      </c>
      <c r="H14">
        <v>-488006903</v>
      </c>
      <c r="I14">
        <v>-87218399</v>
      </c>
      <c r="J14">
        <v>319919506</v>
      </c>
      <c r="K14">
        <v>43488256</v>
      </c>
      <c r="L14">
        <v>-143710675</v>
      </c>
      <c r="M14">
        <v>-366619783</v>
      </c>
      <c r="N14">
        <v>-151956319</v>
      </c>
      <c r="O14">
        <v>131878440</v>
      </c>
      <c r="P14">
        <v>180</v>
      </c>
      <c r="Q14" t="s">
        <v>50</v>
      </c>
    </row>
    <row r="15" spans="1:17" x14ac:dyDescent="0.3">
      <c r="A15" t="s">
        <v>17</v>
      </c>
      <c r="B15" t="str">
        <f>"600018"</f>
        <v>600018</v>
      </c>
      <c r="C15" t="s">
        <v>51</v>
      </c>
      <c r="D15" t="s">
        <v>22</v>
      </c>
      <c r="F15">
        <v>8494621098</v>
      </c>
      <c r="G15">
        <v>4561723068</v>
      </c>
      <c r="H15">
        <v>2969148431</v>
      </c>
      <c r="I15">
        <v>3487605890</v>
      </c>
      <c r="J15">
        <v>7273679695</v>
      </c>
      <c r="K15">
        <v>1611182595</v>
      </c>
      <c r="L15">
        <v>6044352502</v>
      </c>
      <c r="M15">
        <v>5920231812</v>
      </c>
      <c r="N15">
        <v>3730497940</v>
      </c>
      <c r="O15">
        <v>4244332110</v>
      </c>
      <c r="P15">
        <v>878</v>
      </c>
      <c r="Q15" t="s">
        <v>52</v>
      </c>
    </row>
    <row r="16" spans="1:17" x14ac:dyDescent="0.3">
      <c r="A16" t="s">
        <v>17</v>
      </c>
      <c r="B16" t="str">
        <f>"600019"</f>
        <v>600019</v>
      </c>
      <c r="C16" t="s">
        <v>53</v>
      </c>
      <c r="D16" t="s">
        <v>38</v>
      </c>
      <c r="F16">
        <v>14411410453</v>
      </c>
      <c r="G16">
        <v>5449594653</v>
      </c>
      <c r="H16">
        <v>8797445728</v>
      </c>
      <c r="I16">
        <v>28190269556</v>
      </c>
      <c r="J16">
        <v>4459671292</v>
      </c>
      <c r="K16">
        <v>3028301760</v>
      </c>
      <c r="L16">
        <v>-2835990604</v>
      </c>
      <c r="M16">
        <v>8022340099</v>
      </c>
      <c r="N16">
        <v>1092310019</v>
      </c>
      <c r="O16">
        <v>23420241984</v>
      </c>
      <c r="P16">
        <v>2293</v>
      </c>
      <c r="Q16" t="s">
        <v>54</v>
      </c>
    </row>
    <row r="17" spans="1:17" x14ac:dyDescent="0.3">
      <c r="A17" t="s">
        <v>17</v>
      </c>
      <c r="B17" t="str">
        <f>"600020"</f>
        <v>600020</v>
      </c>
      <c r="C17" t="s">
        <v>55</v>
      </c>
      <c r="D17" t="s">
        <v>22</v>
      </c>
      <c r="F17">
        <v>2393782613</v>
      </c>
      <c r="G17">
        <v>908470355</v>
      </c>
      <c r="H17">
        <v>1946057933</v>
      </c>
      <c r="I17">
        <v>2036439649</v>
      </c>
      <c r="J17">
        <v>700004602</v>
      </c>
      <c r="K17">
        <v>227401614</v>
      </c>
      <c r="L17">
        <v>-2814469545</v>
      </c>
      <c r="M17">
        <v>-1006796504</v>
      </c>
      <c r="N17">
        <v>-91182303</v>
      </c>
      <c r="O17">
        <v>374338320</v>
      </c>
      <c r="P17">
        <v>386</v>
      </c>
      <c r="Q17" t="s">
        <v>56</v>
      </c>
    </row>
    <row r="18" spans="1:17" x14ac:dyDescent="0.3">
      <c r="A18" t="s">
        <v>17</v>
      </c>
      <c r="B18" t="str">
        <f>"600021"</f>
        <v>600021</v>
      </c>
      <c r="C18" t="s">
        <v>57</v>
      </c>
      <c r="D18" t="s">
        <v>41</v>
      </c>
      <c r="F18">
        <v>-7370594419</v>
      </c>
      <c r="G18">
        <v>-4741376058</v>
      </c>
      <c r="H18">
        <v>-1536596331</v>
      </c>
      <c r="I18">
        <v>-2385927272</v>
      </c>
      <c r="J18">
        <v>760694725</v>
      </c>
      <c r="K18">
        <v>2948907639</v>
      </c>
      <c r="L18">
        <v>2565093108</v>
      </c>
      <c r="M18">
        <v>956440660</v>
      </c>
      <c r="N18">
        <v>2348944824</v>
      </c>
      <c r="O18">
        <v>2494957191</v>
      </c>
      <c r="P18">
        <v>336</v>
      </c>
      <c r="Q18" t="s">
        <v>58</v>
      </c>
    </row>
    <row r="19" spans="1:17" x14ac:dyDescent="0.3">
      <c r="A19" t="s">
        <v>17</v>
      </c>
      <c r="B19" t="str">
        <f>"600022"</f>
        <v>600022</v>
      </c>
      <c r="C19" t="s">
        <v>59</v>
      </c>
      <c r="D19" t="s">
        <v>38</v>
      </c>
      <c r="F19">
        <v>4080572595</v>
      </c>
      <c r="G19">
        <v>2595299326</v>
      </c>
      <c r="H19">
        <v>-2810243807</v>
      </c>
      <c r="I19">
        <v>-3451022322</v>
      </c>
      <c r="J19">
        <v>1872905903</v>
      </c>
      <c r="K19">
        <v>321226644</v>
      </c>
      <c r="L19">
        <v>31542439</v>
      </c>
      <c r="M19">
        <v>-1268791699</v>
      </c>
      <c r="N19">
        <v>239512018</v>
      </c>
      <c r="O19">
        <v>1805774554</v>
      </c>
      <c r="P19">
        <v>233</v>
      </c>
      <c r="Q19" t="s">
        <v>60</v>
      </c>
    </row>
    <row r="20" spans="1:17" x14ac:dyDescent="0.3">
      <c r="A20" t="s">
        <v>17</v>
      </c>
      <c r="B20" t="str">
        <f>"600023"</f>
        <v>600023</v>
      </c>
      <c r="C20" t="s">
        <v>61</v>
      </c>
      <c r="D20" t="s">
        <v>41</v>
      </c>
      <c r="F20">
        <v>1144314861</v>
      </c>
      <c r="G20">
        <v>4303611227</v>
      </c>
      <c r="H20">
        <v>6602565697</v>
      </c>
      <c r="I20">
        <v>4982587600</v>
      </c>
      <c r="J20">
        <v>4184715989</v>
      </c>
      <c r="K20">
        <v>7413326286</v>
      </c>
      <c r="L20">
        <v>6397373159</v>
      </c>
      <c r="M20">
        <v>3891613013</v>
      </c>
      <c r="N20">
        <v>5741624303</v>
      </c>
      <c r="P20">
        <v>918</v>
      </c>
      <c r="Q20" t="s">
        <v>62</v>
      </c>
    </row>
    <row r="21" spans="1:17" x14ac:dyDescent="0.3">
      <c r="A21" t="s">
        <v>17</v>
      </c>
      <c r="B21" t="str">
        <f>"600025"</f>
        <v>600025</v>
      </c>
      <c r="C21" t="s">
        <v>63</v>
      </c>
      <c r="D21" t="s">
        <v>41</v>
      </c>
      <c r="F21">
        <v>10491196061</v>
      </c>
      <c r="G21">
        <v>8186995119</v>
      </c>
      <c r="H21">
        <v>9273438820</v>
      </c>
      <c r="I21">
        <v>2997568669</v>
      </c>
      <c r="J21">
        <v>339839831</v>
      </c>
      <c r="K21">
        <v>-822768160</v>
      </c>
      <c r="P21">
        <v>766</v>
      </c>
      <c r="Q21" t="s">
        <v>64</v>
      </c>
    </row>
    <row r="22" spans="1:17" x14ac:dyDescent="0.3">
      <c r="A22" t="s">
        <v>17</v>
      </c>
      <c r="B22" t="str">
        <f>"600026"</f>
        <v>600026</v>
      </c>
      <c r="C22" t="s">
        <v>65</v>
      </c>
      <c r="D22" t="s">
        <v>22</v>
      </c>
      <c r="F22">
        <v>126006367</v>
      </c>
      <c r="G22">
        <v>2047250151</v>
      </c>
      <c r="H22">
        <v>2572700750</v>
      </c>
      <c r="I22">
        <v>-1910997066</v>
      </c>
      <c r="J22">
        <v>-2508206505</v>
      </c>
      <c r="K22">
        <v>13220871238</v>
      </c>
      <c r="L22">
        <v>2114917631</v>
      </c>
      <c r="M22">
        <v>-2332825718</v>
      </c>
      <c r="N22">
        <v>-1024112850</v>
      </c>
      <c r="O22">
        <v>-4079215276</v>
      </c>
      <c r="P22">
        <v>401</v>
      </c>
      <c r="Q22" t="s">
        <v>66</v>
      </c>
    </row>
    <row r="23" spans="1:17" x14ac:dyDescent="0.3">
      <c r="A23" t="s">
        <v>17</v>
      </c>
      <c r="B23" t="str">
        <f>"600027"</f>
        <v>600027</v>
      </c>
      <c r="C23" t="s">
        <v>67</v>
      </c>
      <c r="D23" t="s">
        <v>41</v>
      </c>
      <c r="F23">
        <v>-2378138000</v>
      </c>
      <c r="G23">
        <v>7914081000</v>
      </c>
      <c r="H23">
        <v>7740225000</v>
      </c>
      <c r="I23">
        <v>2145784000</v>
      </c>
      <c r="J23">
        <v>199493000</v>
      </c>
      <c r="K23">
        <v>6816875000</v>
      </c>
      <c r="L23">
        <v>15453039000</v>
      </c>
      <c r="M23">
        <v>4886626000</v>
      </c>
      <c r="N23">
        <v>9001004000</v>
      </c>
      <c r="O23">
        <v>-2559316000</v>
      </c>
      <c r="P23">
        <v>987</v>
      </c>
      <c r="Q23" t="s">
        <v>68</v>
      </c>
    </row>
    <row r="24" spans="1:17" x14ac:dyDescent="0.3">
      <c r="A24" t="s">
        <v>17</v>
      </c>
      <c r="B24" t="str">
        <f>"600028"</f>
        <v>600028</v>
      </c>
      <c r="C24" t="s">
        <v>69</v>
      </c>
      <c r="D24" t="s">
        <v>70</v>
      </c>
      <c r="F24">
        <v>28280000000</v>
      </c>
      <c r="G24">
        <v>4563000000</v>
      </c>
      <c r="H24">
        <v>7921000000</v>
      </c>
      <c r="I24">
        <v>91945000000</v>
      </c>
      <c r="J24">
        <v>67731000000</v>
      </c>
      <c r="K24">
        <v>86166000000</v>
      </c>
      <c r="L24">
        <v>45643000000</v>
      </c>
      <c r="M24">
        <v>24145000000</v>
      </c>
      <c r="N24">
        <v>-17420000000</v>
      </c>
      <c r="O24">
        <v>-21622000000</v>
      </c>
      <c r="P24">
        <v>2313</v>
      </c>
      <c r="Q24" t="s">
        <v>71</v>
      </c>
    </row>
    <row r="25" spans="1:17" x14ac:dyDescent="0.3">
      <c r="A25" t="s">
        <v>17</v>
      </c>
      <c r="B25" t="str">
        <f>"600029"</f>
        <v>600029</v>
      </c>
      <c r="C25" t="s">
        <v>72</v>
      </c>
      <c r="D25" t="s">
        <v>22</v>
      </c>
      <c r="F25">
        <v>132000000</v>
      </c>
      <c r="G25">
        <v>2687000000</v>
      </c>
      <c r="H25">
        <v>13016000000</v>
      </c>
      <c r="I25">
        <v>6808000000</v>
      </c>
      <c r="J25">
        <v>12619000000</v>
      </c>
      <c r="K25">
        <v>13894000000</v>
      </c>
      <c r="L25">
        <v>14271000000</v>
      </c>
      <c r="M25">
        <v>5665000000</v>
      </c>
      <c r="N25">
        <v>578000000</v>
      </c>
      <c r="O25">
        <v>-362000000</v>
      </c>
      <c r="P25">
        <v>1137</v>
      </c>
      <c r="Q25" t="s">
        <v>73</v>
      </c>
    </row>
    <row r="26" spans="1:17" x14ac:dyDescent="0.3">
      <c r="A26" t="s">
        <v>17</v>
      </c>
      <c r="B26" t="str">
        <f>"600030"</f>
        <v>600030</v>
      </c>
      <c r="C26" t="s">
        <v>74</v>
      </c>
      <c r="D26" t="s">
        <v>75</v>
      </c>
      <c r="F26">
        <v>28333908476</v>
      </c>
      <c r="G26">
        <v>62098190226</v>
      </c>
      <c r="H26">
        <v>10162402573</v>
      </c>
      <c r="I26">
        <v>44357705627</v>
      </c>
      <c r="J26">
        <v>-76457319218</v>
      </c>
      <c r="K26">
        <v>-56426805680</v>
      </c>
      <c r="L26">
        <v>91796490343</v>
      </c>
      <c r="M26">
        <v>13093522669</v>
      </c>
      <c r="N26">
        <v>-21949090834</v>
      </c>
      <c r="O26">
        <v>-13680269989</v>
      </c>
      <c r="P26">
        <v>5754</v>
      </c>
      <c r="Q26" t="s">
        <v>76</v>
      </c>
    </row>
    <row r="27" spans="1:17" x14ac:dyDescent="0.3">
      <c r="A27" t="s">
        <v>17</v>
      </c>
      <c r="B27" t="str">
        <f>"600031"</f>
        <v>600031</v>
      </c>
      <c r="C27" t="s">
        <v>77</v>
      </c>
      <c r="D27" t="s">
        <v>78</v>
      </c>
      <c r="F27">
        <v>2384088000</v>
      </c>
      <c r="G27">
        <v>8603634000</v>
      </c>
      <c r="H27">
        <v>8417912000</v>
      </c>
      <c r="I27">
        <v>8022469000</v>
      </c>
      <c r="J27">
        <v>6800771000</v>
      </c>
      <c r="K27">
        <v>1620059000</v>
      </c>
      <c r="L27">
        <v>171461000</v>
      </c>
      <c r="M27">
        <v>1640416000</v>
      </c>
      <c r="N27">
        <v>-971156000</v>
      </c>
      <c r="O27">
        <v>-2399814041</v>
      </c>
      <c r="P27">
        <v>6540</v>
      </c>
      <c r="Q27" t="s">
        <v>79</v>
      </c>
    </row>
    <row r="28" spans="1:17" x14ac:dyDescent="0.3">
      <c r="A28" t="s">
        <v>17</v>
      </c>
      <c r="B28" t="str">
        <f>"600032"</f>
        <v>600032</v>
      </c>
      <c r="C28" t="s">
        <v>80</v>
      </c>
      <c r="D28" t="s">
        <v>41</v>
      </c>
      <c r="F28">
        <v>-1397581040</v>
      </c>
      <c r="P28">
        <v>81</v>
      </c>
      <c r="Q28" t="s">
        <v>81</v>
      </c>
    </row>
    <row r="29" spans="1:17" x14ac:dyDescent="0.3">
      <c r="A29" t="s">
        <v>17</v>
      </c>
      <c r="B29" t="str">
        <f>"600033"</f>
        <v>600033</v>
      </c>
      <c r="C29" t="s">
        <v>82</v>
      </c>
      <c r="D29" t="s">
        <v>22</v>
      </c>
      <c r="F29">
        <v>1367301784</v>
      </c>
      <c r="G29">
        <v>1030801080</v>
      </c>
      <c r="H29">
        <v>884051882</v>
      </c>
      <c r="I29">
        <v>1299932773</v>
      </c>
      <c r="J29">
        <v>1256390447</v>
      </c>
      <c r="K29">
        <v>1210012046</v>
      </c>
      <c r="L29">
        <v>1666510284</v>
      </c>
      <c r="M29">
        <v>1232353820</v>
      </c>
      <c r="N29">
        <v>970483487</v>
      </c>
      <c r="O29">
        <v>541113759</v>
      </c>
      <c r="P29">
        <v>397</v>
      </c>
      <c r="Q29" t="s">
        <v>83</v>
      </c>
    </row>
    <row r="30" spans="1:17" x14ac:dyDescent="0.3">
      <c r="A30" t="s">
        <v>17</v>
      </c>
      <c r="B30" t="str">
        <f>"600035"</f>
        <v>600035</v>
      </c>
      <c r="C30" t="s">
        <v>84</v>
      </c>
      <c r="D30" t="s">
        <v>22</v>
      </c>
      <c r="F30">
        <v>1037383517</v>
      </c>
      <c r="G30">
        <v>540389231</v>
      </c>
      <c r="H30">
        <v>809735245</v>
      </c>
      <c r="I30">
        <v>345266554</v>
      </c>
      <c r="J30">
        <v>450231273</v>
      </c>
      <c r="K30">
        <v>609005677</v>
      </c>
      <c r="L30">
        <v>310597179</v>
      </c>
      <c r="M30">
        <v>-176203815</v>
      </c>
      <c r="N30">
        <v>-995413141</v>
      </c>
      <c r="O30">
        <v>-746750531</v>
      </c>
      <c r="P30">
        <v>290</v>
      </c>
      <c r="Q30" t="s">
        <v>85</v>
      </c>
    </row>
    <row r="31" spans="1:17" x14ac:dyDescent="0.3">
      <c r="A31" t="s">
        <v>17</v>
      </c>
      <c r="B31" t="str">
        <f>"600036"</f>
        <v>600036</v>
      </c>
      <c r="C31" t="s">
        <v>86</v>
      </c>
      <c r="D31" t="s">
        <v>19</v>
      </c>
      <c r="F31">
        <v>63260000000</v>
      </c>
      <c r="G31">
        <v>210789000000</v>
      </c>
      <c r="H31">
        <v>-67684000000</v>
      </c>
      <c r="I31">
        <v>-185199000000</v>
      </c>
      <c r="J31">
        <v>-201132000000</v>
      </c>
      <c r="K31">
        <v>-365623000000</v>
      </c>
      <c r="L31">
        <v>173744000000</v>
      </c>
      <c r="M31">
        <v>148200000000</v>
      </c>
      <c r="N31">
        <v>3501000000</v>
      </c>
      <c r="O31">
        <v>8693000000</v>
      </c>
      <c r="P31">
        <v>68597</v>
      </c>
      <c r="Q31" t="s">
        <v>87</v>
      </c>
    </row>
    <row r="32" spans="1:17" x14ac:dyDescent="0.3">
      <c r="A32" t="s">
        <v>17</v>
      </c>
      <c r="B32" t="str">
        <f>"600037"</f>
        <v>600037</v>
      </c>
      <c r="C32" t="s">
        <v>88</v>
      </c>
      <c r="D32" t="s">
        <v>89</v>
      </c>
      <c r="F32">
        <v>126926697</v>
      </c>
      <c r="G32">
        <v>-24788202</v>
      </c>
      <c r="H32">
        <v>-383913010</v>
      </c>
      <c r="I32">
        <v>-37530403</v>
      </c>
      <c r="J32">
        <v>118359116</v>
      </c>
      <c r="K32">
        <v>404853959</v>
      </c>
      <c r="L32">
        <v>449833722</v>
      </c>
      <c r="M32">
        <v>241857917</v>
      </c>
      <c r="N32">
        <v>283864091</v>
      </c>
      <c r="O32">
        <v>-321175461</v>
      </c>
      <c r="P32">
        <v>309</v>
      </c>
      <c r="Q32" t="s">
        <v>90</v>
      </c>
    </row>
    <row r="33" spans="1:17" x14ac:dyDescent="0.3">
      <c r="A33" t="s">
        <v>17</v>
      </c>
      <c r="B33" t="str">
        <f>"600038"</f>
        <v>600038</v>
      </c>
      <c r="C33" t="s">
        <v>91</v>
      </c>
      <c r="D33" t="s">
        <v>92</v>
      </c>
      <c r="F33">
        <v>-752671791</v>
      </c>
      <c r="G33">
        <v>-1103923179</v>
      </c>
      <c r="H33">
        <v>-206887210</v>
      </c>
      <c r="I33">
        <v>-263109725</v>
      </c>
      <c r="J33">
        <v>-395883697</v>
      </c>
      <c r="K33">
        <v>-1910957781</v>
      </c>
      <c r="L33">
        <v>-1394781127</v>
      </c>
      <c r="M33">
        <v>-1874859095</v>
      </c>
      <c r="N33">
        <v>-415602473</v>
      </c>
      <c r="O33">
        <v>19116610</v>
      </c>
      <c r="P33">
        <v>447</v>
      </c>
      <c r="Q33" t="s">
        <v>93</v>
      </c>
    </row>
    <row r="34" spans="1:17" x14ac:dyDescent="0.3">
      <c r="A34" t="s">
        <v>17</v>
      </c>
      <c r="B34" t="str">
        <f>"600039"</f>
        <v>600039</v>
      </c>
      <c r="C34" t="s">
        <v>94</v>
      </c>
      <c r="D34" t="s">
        <v>95</v>
      </c>
      <c r="F34">
        <v>-5804150610</v>
      </c>
      <c r="G34">
        <v>-2666233963</v>
      </c>
      <c r="H34">
        <v>-3884434099</v>
      </c>
      <c r="I34">
        <v>-2241375515</v>
      </c>
      <c r="J34">
        <v>-3466298654</v>
      </c>
      <c r="K34">
        <v>-1586302434</v>
      </c>
      <c r="L34">
        <v>-75870486</v>
      </c>
      <c r="M34">
        <v>-1443188067</v>
      </c>
      <c r="N34">
        <v>-2277496521</v>
      </c>
      <c r="O34">
        <v>-2654484630</v>
      </c>
      <c r="P34">
        <v>484</v>
      </c>
      <c r="Q34" t="s">
        <v>96</v>
      </c>
    </row>
    <row r="35" spans="1:17" x14ac:dyDescent="0.3">
      <c r="A35" t="s">
        <v>17</v>
      </c>
      <c r="B35" t="str">
        <f>"600048"</f>
        <v>600048</v>
      </c>
      <c r="C35" t="s">
        <v>97</v>
      </c>
      <c r="D35" t="s">
        <v>30</v>
      </c>
      <c r="F35">
        <v>-18899480327</v>
      </c>
      <c r="G35">
        <v>-18260200275</v>
      </c>
      <c r="H35">
        <v>9049512826</v>
      </c>
      <c r="I35">
        <v>-11386681502</v>
      </c>
      <c r="J35">
        <v>-31186446765</v>
      </c>
      <c r="K35">
        <v>40536827191</v>
      </c>
      <c r="L35">
        <v>19656442915</v>
      </c>
      <c r="M35">
        <v>-18178014434</v>
      </c>
      <c r="N35">
        <v>-8074034784</v>
      </c>
      <c r="O35">
        <v>10918350342</v>
      </c>
      <c r="P35">
        <v>8845</v>
      </c>
      <c r="Q35" t="s">
        <v>98</v>
      </c>
    </row>
    <row r="36" spans="1:17" x14ac:dyDescent="0.3">
      <c r="A36" t="s">
        <v>17</v>
      </c>
      <c r="B36" t="str">
        <f>"600050"</f>
        <v>600050</v>
      </c>
      <c r="C36" t="s">
        <v>99</v>
      </c>
      <c r="D36" t="s">
        <v>100</v>
      </c>
      <c r="F36">
        <v>32285435584</v>
      </c>
      <c r="G36">
        <v>39856628952</v>
      </c>
      <c r="H36">
        <v>31058357298</v>
      </c>
      <c r="I36">
        <v>42505187962</v>
      </c>
      <c r="J36">
        <v>27429673856</v>
      </c>
      <c r="K36">
        <v>1938719634</v>
      </c>
      <c r="L36">
        <v>6696834704</v>
      </c>
      <c r="M36">
        <v>20130379023</v>
      </c>
      <c r="N36">
        <v>10921622316</v>
      </c>
      <c r="O36">
        <v>-4221679981</v>
      </c>
      <c r="P36">
        <v>1304</v>
      </c>
      <c r="Q36" t="s">
        <v>101</v>
      </c>
    </row>
    <row r="37" spans="1:17" x14ac:dyDescent="0.3">
      <c r="A37" t="s">
        <v>17</v>
      </c>
      <c r="B37" t="str">
        <f>"600051"</f>
        <v>600051</v>
      </c>
      <c r="C37" t="s">
        <v>102</v>
      </c>
      <c r="D37" t="s">
        <v>103</v>
      </c>
      <c r="F37">
        <v>-378253385</v>
      </c>
      <c r="G37">
        <v>632010700</v>
      </c>
      <c r="H37">
        <v>1452493037</v>
      </c>
      <c r="I37">
        <v>330841115</v>
      </c>
      <c r="J37">
        <v>-127881067</v>
      </c>
      <c r="K37">
        <v>630712694</v>
      </c>
      <c r="L37">
        <v>-146600489</v>
      </c>
      <c r="M37">
        <v>-183539514</v>
      </c>
      <c r="N37">
        <v>-408093080</v>
      </c>
      <c r="O37">
        <v>-172383542</v>
      </c>
      <c r="P37">
        <v>305</v>
      </c>
      <c r="Q37" t="s">
        <v>104</v>
      </c>
    </row>
    <row r="38" spans="1:17" x14ac:dyDescent="0.3">
      <c r="A38" t="s">
        <v>17</v>
      </c>
      <c r="B38" t="str">
        <f>"600052"</f>
        <v>600052</v>
      </c>
      <c r="C38" t="s">
        <v>105</v>
      </c>
      <c r="D38" t="s">
        <v>89</v>
      </c>
      <c r="F38">
        <v>-225099874</v>
      </c>
      <c r="G38">
        <v>-25091280</v>
      </c>
      <c r="H38">
        <v>821709393</v>
      </c>
      <c r="I38">
        <v>-289112615</v>
      </c>
      <c r="J38">
        <v>145811698</v>
      </c>
      <c r="K38">
        <v>1227518792</v>
      </c>
      <c r="L38">
        <v>143797859</v>
      </c>
      <c r="M38">
        <v>-163883839</v>
      </c>
      <c r="N38">
        <v>181920813</v>
      </c>
      <c r="O38">
        <v>30841250</v>
      </c>
      <c r="P38">
        <v>133</v>
      </c>
      <c r="Q38" t="s">
        <v>106</v>
      </c>
    </row>
    <row r="39" spans="1:17" x14ac:dyDescent="0.3">
      <c r="A39" t="s">
        <v>17</v>
      </c>
      <c r="B39" t="str">
        <f>"600053"</f>
        <v>600053</v>
      </c>
      <c r="C39" t="s">
        <v>107</v>
      </c>
      <c r="D39" t="s">
        <v>75</v>
      </c>
      <c r="F39">
        <v>46545378</v>
      </c>
      <c r="G39">
        <v>-213610898</v>
      </c>
      <c r="H39">
        <v>170774250</v>
      </c>
      <c r="I39">
        <v>1439888685</v>
      </c>
      <c r="J39">
        <v>-185057890</v>
      </c>
      <c r="K39">
        <v>553987671</v>
      </c>
      <c r="L39">
        <v>280821006</v>
      </c>
      <c r="M39">
        <v>238186038</v>
      </c>
      <c r="N39">
        <v>307430141</v>
      </c>
      <c r="O39">
        <v>108847988</v>
      </c>
      <c r="P39">
        <v>229</v>
      </c>
      <c r="Q39" t="s">
        <v>108</v>
      </c>
    </row>
    <row r="40" spans="1:17" x14ac:dyDescent="0.3">
      <c r="A40" t="s">
        <v>17</v>
      </c>
      <c r="B40" t="str">
        <f>"600054"</f>
        <v>600054</v>
      </c>
      <c r="C40" t="s">
        <v>109</v>
      </c>
      <c r="D40" t="s">
        <v>110</v>
      </c>
      <c r="F40">
        <v>-144090343</v>
      </c>
      <c r="G40">
        <v>-191668741</v>
      </c>
      <c r="H40">
        <v>239946075</v>
      </c>
      <c r="I40">
        <v>361072090</v>
      </c>
      <c r="J40">
        <v>400299553</v>
      </c>
      <c r="K40">
        <v>331406749</v>
      </c>
      <c r="L40">
        <v>322034057</v>
      </c>
      <c r="M40">
        <v>135415107</v>
      </c>
      <c r="N40">
        <v>15947113</v>
      </c>
      <c r="O40">
        <v>12243978</v>
      </c>
      <c r="P40">
        <v>380</v>
      </c>
      <c r="Q40" t="s">
        <v>111</v>
      </c>
    </row>
    <row r="41" spans="1:17" x14ac:dyDescent="0.3">
      <c r="A41" t="s">
        <v>17</v>
      </c>
      <c r="B41" t="str">
        <f>"600055"</f>
        <v>600055</v>
      </c>
      <c r="C41" t="s">
        <v>112</v>
      </c>
      <c r="D41" t="s">
        <v>113</v>
      </c>
      <c r="F41">
        <v>51552049</v>
      </c>
      <c r="G41">
        <v>191835491</v>
      </c>
      <c r="H41">
        <v>-125229965</v>
      </c>
      <c r="I41">
        <v>-86666065</v>
      </c>
      <c r="J41">
        <v>-117017598</v>
      </c>
      <c r="K41">
        <v>5091942</v>
      </c>
      <c r="L41">
        <v>-181892683</v>
      </c>
      <c r="M41">
        <v>-106633357</v>
      </c>
      <c r="N41">
        <v>-93582586</v>
      </c>
      <c r="O41">
        <v>-99865220</v>
      </c>
      <c r="P41">
        <v>358</v>
      </c>
      <c r="Q41" t="s">
        <v>114</v>
      </c>
    </row>
    <row r="42" spans="1:17" x14ac:dyDescent="0.3">
      <c r="A42" t="s">
        <v>17</v>
      </c>
      <c r="B42" t="str">
        <f>"600056"</f>
        <v>600056</v>
      </c>
      <c r="C42" t="s">
        <v>115</v>
      </c>
      <c r="D42" t="s">
        <v>113</v>
      </c>
      <c r="F42">
        <v>-927721383</v>
      </c>
      <c r="G42">
        <v>-855920637</v>
      </c>
      <c r="H42">
        <v>-1553747040</v>
      </c>
      <c r="I42">
        <v>-1862615571</v>
      </c>
      <c r="J42">
        <v>-950959623</v>
      </c>
      <c r="K42">
        <v>-42592604</v>
      </c>
      <c r="L42">
        <v>-292863899</v>
      </c>
      <c r="M42">
        <v>-319299875</v>
      </c>
      <c r="N42">
        <v>-662536387</v>
      </c>
      <c r="O42">
        <v>845769831</v>
      </c>
      <c r="P42">
        <v>890</v>
      </c>
      <c r="Q42" t="s">
        <v>116</v>
      </c>
    </row>
    <row r="43" spans="1:17" x14ac:dyDescent="0.3">
      <c r="A43" t="s">
        <v>17</v>
      </c>
      <c r="B43" t="str">
        <f>"600057"</f>
        <v>600057</v>
      </c>
      <c r="C43" t="s">
        <v>117</v>
      </c>
      <c r="D43" t="s">
        <v>22</v>
      </c>
      <c r="F43">
        <v>-11139097131</v>
      </c>
      <c r="G43">
        <v>-21249337167</v>
      </c>
      <c r="H43">
        <v>-9351616832</v>
      </c>
      <c r="I43">
        <v>-3538100829</v>
      </c>
      <c r="J43">
        <v>-7278012859</v>
      </c>
      <c r="K43">
        <v>-38076951</v>
      </c>
      <c r="L43">
        <v>-23348671</v>
      </c>
      <c r="M43">
        <v>-2506737336</v>
      </c>
      <c r="N43">
        <v>-2101316330</v>
      </c>
      <c r="O43">
        <v>627833721</v>
      </c>
      <c r="P43">
        <v>414</v>
      </c>
      <c r="Q43" t="s">
        <v>118</v>
      </c>
    </row>
    <row r="44" spans="1:17" x14ac:dyDescent="0.3">
      <c r="A44" t="s">
        <v>17</v>
      </c>
      <c r="B44" t="str">
        <f>"600058"</f>
        <v>600058</v>
      </c>
      <c r="C44" t="s">
        <v>119</v>
      </c>
      <c r="D44" t="s">
        <v>120</v>
      </c>
      <c r="F44">
        <v>-114695053</v>
      </c>
      <c r="G44">
        <v>1489613664</v>
      </c>
      <c r="H44">
        <v>2620172086</v>
      </c>
      <c r="I44">
        <v>-2112377441</v>
      </c>
      <c r="J44">
        <v>-755117793</v>
      </c>
      <c r="K44">
        <v>10253323023</v>
      </c>
      <c r="L44">
        <v>-71209316</v>
      </c>
      <c r="M44">
        <v>-5491787893</v>
      </c>
      <c r="N44">
        <v>-6093229570</v>
      </c>
      <c r="O44">
        <v>5516729725</v>
      </c>
      <c r="P44">
        <v>139</v>
      </c>
      <c r="Q44" t="s">
        <v>121</v>
      </c>
    </row>
    <row r="45" spans="1:17" x14ac:dyDescent="0.3">
      <c r="A45" t="s">
        <v>17</v>
      </c>
      <c r="B45" t="str">
        <f>"600059"</f>
        <v>600059</v>
      </c>
      <c r="C45" t="s">
        <v>122</v>
      </c>
      <c r="D45" t="s">
        <v>123</v>
      </c>
      <c r="F45">
        <v>-462755384</v>
      </c>
      <c r="G45">
        <v>-342497550</v>
      </c>
      <c r="H45">
        <v>-59983064</v>
      </c>
      <c r="I45">
        <v>-15958789</v>
      </c>
      <c r="J45">
        <v>-41139163</v>
      </c>
      <c r="K45">
        <v>-177279725</v>
      </c>
      <c r="L45">
        <v>-210435430</v>
      </c>
      <c r="M45">
        <v>-420417208</v>
      </c>
      <c r="N45">
        <v>-244302480</v>
      </c>
      <c r="O45">
        <v>-229106913</v>
      </c>
      <c r="P45">
        <v>323</v>
      </c>
      <c r="Q45" t="s">
        <v>124</v>
      </c>
    </row>
    <row r="46" spans="1:17" x14ac:dyDescent="0.3">
      <c r="A46" t="s">
        <v>17</v>
      </c>
      <c r="B46" t="str">
        <f>"600060"</f>
        <v>600060</v>
      </c>
      <c r="C46" t="s">
        <v>125</v>
      </c>
      <c r="D46" t="s">
        <v>126</v>
      </c>
      <c r="F46">
        <v>-1757423329</v>
      </c>
      <c r="G46">
        <v>-57614296</v>
      </c>
      <c r="H46">
        <v>1329993538</v>
      </c>
      <c r="I46">
        <v>130029003</v>
      </c>
      <c r="J46">
        <v>870084675</v>
      </c>
      <c r="K46">
        <v>3683231720</v>
      </c>
      <c r="L46">
        <v>424830270</v>
      </c>
      <c r="M46">
        <v>1066162323</v>
      </c>
      <c r="N46">
        <v>783077626</v>
      </c>
      <c r="O46">
        <v>1419645979</v>
      </c>
      <c r="P46">
        <v>532</v>
      </c>
      <c r="Q46" t="s">
        <v>127</v>
      </c>
    </row>
    <row r="47" spans="1:17" x14ac:dyDescent="0.3">
      <c r="A47" t="s">
        <v>17</v>
      </c>
      <c r="B47" t="str">
        <f>"600061"</f>
        <v>600061</v>
      </c>
      <c r="C47" t="s">
        <v>128</v>
      </c>
      <c r="D47" t="s">
        <v>75</v>
      </c>
      <c r="F47">
        <v>18495917223</v>
      </c>
      <c r="G47">
        <v>5156728447</v>
      </c>
      <c r="H47">
        <v>1957598224</v>
      </c>
      <c r="I47">
        <v>-5487978712</v>
      </c>
      <c r="J47">
        <v>-3388318891</v>
      </c>
      <c r="K47">
        <v>-9770030425</v>
      </c>
      <c r="L47">
        <v>37601671781</v>
      </c>
      <c r="M47">
        <v>-73076635</v>
      </c>
      <c r="N47">
        <v>-204573695</v>
      </c>
      <c r="O47">
        <v>39280800</v>
      </c>
      <c r="P47">
        <v>1304</v>
      </c>
      <c r="Q47" t="s">
        <v>129</v>
      </c>
    </row>
    <row r="48" spans="1:17" x14ac:dyDescent="0.3">
      <c r="A48" t="s">
        <v>17</v>
      </c>
      <c r="B48" t="str">
        <f>"600062"</f>
        <v>600062</v>
      </c>
      <c r="C48" t="s">
        <v>130</v>
      </c>
      <c r="D48" t="s">
        <v>113</v>
      </c>
      <c r="F48">
        <v>728315679</v>
      </c>
      <c r="G48">
        <v>829205987</v>
      </c>
      <c r="H48">
        <v>1069010692</v>
      </c>
      <c r="I48">
        <v>1119047734</v>
      </c>
      <c r="J48">
        <v>828206898</v>
      </c>
      <c r="K48">
        <v>515380324</v>
      </c>
      <c r="L48">
        <v>196345781</v>
      </c>
      <c r="M48">
        <v>248149155</v>
      </c>
      <c r="N48">
        <v>169518321</v>
      </c>
      <c r="O48">
        <v>-55492704</v>
      </c>
      <c r="P48">
        <v>635</v>
      </c>
      <c r="Q48" t="s">
        <v>131</v>
      </c>
    </row>
    <row r="49" spans="1:17" x14ac:dyDescent="0.3">
      <c r="A49" t="s">
        <v>17</v>
      </c>
      <c r="B49" t="str">
        <f>"600063"</f>
        <v>600063</v>
      </c>
      <c r="C49" t="s">
        <v>132</v>
      </c>
      <c r="D49" t="s">
        <v>133</v>
      </c>
      <c r="F49">
        <v>794947392</v>
      </c>
      <c r="G49">
        <v>419220607</v>
      </c>
      <c r="H49">
        <v>1033519154</v>
      </c>
      <c r="I49">
        <v>708589845</v>
      </c>
      <c r="J49">
        <v>-363142581</v>
      </c>
      <c r="K49">
        <v>-479291042</v>
      </c>
      <c r="L49">
        <v>178164170</v>
      </c>
      <c r="M49">
        <v>233167586</v>
      </c>
      <c r="N49">
        <v>-87626594</v>
      </c>
      <c r="O49">
        <v>-480238105</v>
      </c>
      <c r="P49">
        <v>224</v>
      </c>
      <c r="Q49" t="s">
        <v>134</v>
      </c>
    </row>
    <row r="50" spans="1:17" x14ac:dyDescent="0.3">
      <c r="A50" t="s">
        <v>17</v>
      </c>
      <c r="B50" t="str">
        <f>"600064"</f>
        <v>600064</v>
      </c>
      <c r="C50" t="s">
        <v>135</v>
      </c>
      <c r="D50" t="s">
        <v>30</v>
      </c>
      <c r="F50">
        <v>-179089684</v>
      </c>
      <c r="G50">
        <v>-2043787554</v>
      </c>
      <c r="H50">
        <v>1258694352</v>
      </c>
      <c r="I50">
        <v>-568290268</v>
      </c>
      <c r="J50">
        <v>37982085</v>
      </c>
      <c r="K50">
        <v>2048234621</v>
      </c>
      <c r="L50">
        <v>1248895937</v>
      </c>
      <c r="M50">
        <v>834911707</v>
      </c>
      <c r="N50">
        <v>759376996</v>
      </c>
      <c r="O50">
        <v>171520678</v>
      </c>
      <c r="P50">
        <v>432</v>
      </c>
      <c r="Q50" t="s">
        <v>136</v>
      </c>
    </row>
    <row r="51" spans="1:17" x14ac:dyDescent="0.3">
      <c r="A51" t="s">
        <v>17</v>
      </c>
      <c r="B51" t="str">
        <f>"600065"</f>
        <v>600065</v>
      </c>
      <c r="C51" t="s">
        <v>137</v>
      </c>
      <c r="K51">
        <v>-168045986.38999999</v>
      </c>
      <c r="L51">
        <v>44877602.579999998</v>
      </c>
      <c r="M51">
        <v>103054704.31</v>
      </c>
      <c r="N51">
        <v>-83911707.769999996</v>
      </c>
      <c r="O51">
        <v>-32987238.059999999</v>
      </c>
      <c r="P51">
        <v>4</v>
      </c>
      <c r="Q51" t="s">
        <v>138</v>
      </c>
    </row>
    <row r="52" spans="1:17" x14ac:dyDescent="0.3">
      <c r="A52" t="s">
        <v>17</v>
      </c>
      <c r="B52" t="str">
        <f>"600066"</f>
        <v>600066</v>
      </c>
      <c r="C52" t="s">
        <v>139</v>
      </c>
      <c r="D52" t="s">
        <v>27</v>
      </c>
      <c r="F52">
        <v>251147470</v>
      </c>
      <c r="G52">
        <v>-52626589</v>
      </c>
      <c r="H52">
        <v>1370326435</v>
      </c>
      <c r="I52">
        <v>-1961522616</v>
      </c>
      <c r="J52">
        <v>-4406438657</v>
      </c>
      <c r="K52">
        <v>-1818707517</v>
      </c>
      <c r="L52">
        <v>4104512587</v>
      </c>
      <c r="M52">
        <v>1764851510</v>
      </c>
      <c r="N52">
        <v>2152126285</v>
      </c>
      <c r="O52">
        <v>431685413</v>
      </c>
      <c r="P52">
        <v>2894</v>
      </c>
      <c r="Q52" t="s">
        <v>140</v>
      </c>
    </row>
    <row r="53" spans="1:17" x14ac:dyDescent="0.3">
      <c r="A53" t="s">
        <v>17</v>
      </c>
      <c r="B53" t="str">
        <f>"600067"</f>
        <v>600067</v>
      </c>
      <c r="C53" t="s">
        <v>141</v>
      </c>
      <c r="D53" t="s">
        <v>30</v>
      </c>
      <c r="F53">
        <v>430976834</v>
      </c>
      <c r="G53">
        <v>-85400705</v>
      </c>
      <c r="H53">
        <v>235233062</v>
      </c>
      <c r="I53">
        <v>-1107820641</v>
      </c>
      <c r="J53">
        <v>-1079114114</v>
      </c>
      <c r="K53">
        <v>1979353622</v>
      </c>
      <c r="L53">
        <v>457532323</v>
      </c>
      <c r="M53">
        <v>-303176794</v>
      </c>
      <c r="N53">
        <v>-120019714</v>
      </c>
      <c r="O53">
        <v>712919451</v>
      </c>
      <c r="P53">
        <v>222</v>
      </c>
      <c r="Q53" t="s">
        <v>142</v>
      </c>
    </row>
    <row r="54" spans="1:17" x14ac:dyDescent="0.3">
      <c r="A54" t="s">
        <v>17</v>
      </c>
      <c r="B54" t="str">
        <f>"600068"</f>
        <v>600068</v>
      </c>
      <c r="C54" t="s">
        <v>143</v>
      </c>
      <c r="G54">
        <v>-6467116311</v>
      </c>
      <c r="H54">
        <v>-3720479958</v>
      </c>
      <c r="I54">
        <v>-9433347581</v>
      </c>
      <c r="J54">
        <v>-13086626448</v>
      </c>
      <c r="K54">
        <v>-6772831504</v>
      </c>
      <c r="L54">
        <v>-8978275185</v>
      </c>
      <c r="M54">
        <v>-3832726047</v>
      </c>
      <c r="N54">
        <v>1236038338</v>
      </c>
      <c r="O54">
        <v>-4728538185</v>
      </c>
      <c r="P54">
        <v>843</v>
      </c>
      <c r="Q54" t="s">
        <v>144</v>
      </c>
    </row>
    <row r="55" spans="1:17" x14ac:dyDescent="0.3">
      <c r="A55" t="s">
        <v>17</v>
      </c>
      <c r="B55" t="str">
        <f>"600069"</f>
        <v>600069</v>
      </c>
      <c r="C55" t="s">
        <v>145</v>
      </c>
      <c r="H55">
        <v>-11758188</v>
      </c>
      <c r="I55">
        <v>-408922827</v>
      </c>
      <c r="J55">
        <v>203214654</v>
      </c>
      <c r="K55">
        <v>155495631</v>
      </c>
      <c r="L55">
        <v>48646680</v>
      </c>
      <c r="M55">
        <v>9397685</v>
      </c>
      <c r="N55">
        <v>-171838902</v>
      </c>
      <c r="O55">
        <v>-244406313</v>
      </c>
      <c r="P55">
        <v>48</v>
      </c>
      <c r="Q55" t="s">
        <v>146</v>
      </c>
    </row>
    <row r="56" spans="1:17" x14ac:dyDescent="0.3">
      <c r="A56" t="s">
        <v>17</v>
      </c>
      <c r="B56" t="str">
        <f>"600070"</f>
        <v>600070</v>
      </c>
      <c r="C56" t="s">
        <v>147</v>
      </c>
      <c r="D56" t="s">
        <v>103</v>
      </c>
      <c r="F56">
        <v>-237137853</v>
      </c>
      <c r="G56">
        <v>-18358937</v>
      </c>
      <c r="H56">
        <v>279805</v>
      </c>
      <c r="I56">
        <v>-144413261</v>
      </c>
      <c r="J56">
        <v>-25245704</v>
      </c>
      <c r="K56">
        <v>12499187</v>
      </c>
      <c r="L56">
        <v>-41288383</v>
      </c>
      <c r="M56">
        <v>-88624247</v>
      </c>
      <c r="N56">
        <v>31313514</v>
      </c>
      <c r="O56">
        <v>76643011</v>
      </c>
      <c r="P56">
        <v>183</v>
      </c>
      <c r="Q56" t="s">
        <v>148</v>
      </c>
    </row>
    <row r="57" spans="1:17" x14ac:dyDescent="0.3">
      <c r="A57" t="s">
        <v>17</v>
      </c>
      <c r="B57" t="str">
        <f>"600071"</f>
        <v>600071</v>
      </c>
      <c r="C57" t="s">
        <v>149</v>
      </c>
      <c r="D57" t="s">
        <v>150</v>
      </c>
      <c r="F57">
        <v>-63465616</v>
      </c>
      <c r="G57">
        <v>-127135095</v>
      </c>
      <c r="H57">
        <v>-43580887</v>
      </c>
      <c r="I57">
        <v>-61284656</v>
      </c>
      <c r="J57">
        <v>-44870410</v>
      </c>
      <c r="K57">
        <v>-52403105</v>
      </c>
      <c r="L57">
        <v>-90506573</v>
      </c>
      <c r="M57">
        <v>-108862009</v>
      </c>
      <c r="N57">
        <v>-55612838</v>
      </c>
      <c r="O57">
        <v>25552479</v>
      </c>
      <c r="P57">
        <v>97</v>
      </c>
      <c r="Q57" t="s">
        <v>151</v>
      </c>
    </row>
    <row r="58" spans="1:17" x14ac:dyDescent="0.3">
      <c r="A58" t="s">
        <v>17</v>
      </c>
      <c r="B58" t="str">
        <f>"600072"</f>
        <v>600072</v>
      </c>
      <c r="C58" t="s">
        <v>152</v>
      </c>
      <c r="D58" t="s">
        <v>92</v>
      </c>
      <c r="F58">
        <v>119918485</v>
      </c>
      <c r="G58">
        <v>-453929760</v>
      </c>
      <c r="H58">
        <v>-554549813</v>
      </c>
      <c r="I58">
        <v>-838554379</v>
      </c>
      <c r="J58">
        <v>-1359984805</v>
      </c>
      <c r="K58">
        <v>-124544339</v>
      </c>
      <c r="L58">
        <v>32091563</v>
      </c>
      <c r="M58">
        <v>-150371992</v>
      </c>
      <c r="N58">
        <v>-44649208</v>
      </c>
      <c r="O58">
        <v>-136391505</v>
      </c>
      <c r="P58">
        <v>181</v>
      </c>
      <c r="Q58" t="s">
        <v>153</v>
      </c>
    </row>
    <row r="59" spans="1:17" x14ac:dyDescent="0.3">
      <c r="A59" t="s">
        <v>17</v>
      </c>
      <c r="B59" t="str">
        <f>"600073"</f>
        <v>600073</v>
      </c>
      <c r="C59" t="s">
        <v>154</v>
      </c>
      <c r="D59" t="s">
        <v>123</v>
      </c>
      <c r="F59">
        <v>143635296</v>
      </c>
      <c r="G59">
        <v>1548591234</v>
      </c>
      <c r="H59">
        <v>422688802</v>
      </c>
      <c r="I59">
        <v>438308843</v>
      </c>
      <c r="J59">
        <v>928143242</v>
      </c>
      <c r="K59">
        <v>604787261</v>
      </c>
      <c r="L59">
        <v>120395118</v>
      </c>
      <c r="M59">
        <v>9580618</v>
      </c>
      <c r="N59">
        <v>-201175879</v>
      </c>
      <c r="O59">
        <v>-30017717</v>
      </c>
      <c r="P59">
        <v>442</v>
      </c>
      <c r="Q59" t="s">
        <v>155</v>
      </c>
    </row>
    <row r="60" spans="1:17" x14ac:dyDescent="0.3">
      <c r="A60" t="s">
        <v>17</v>
      </c>
      <c r="B60" t="str">
        <f>"600074"</f>
        <v>600074</v>
      </c>
      <c r="C60" t="s">
        <v>156</v>
      </c>
      <c r="H60">
        <v>-26343401</v>
      </c>
      <c r="I60">
        <v>-47235387</v>
      </c>
      <c r="J60">
        <v>-1180158533</v>
      </c>
      <c r="K60">
        <v>-355286958</v>
      </c>
      <c r="L60">
        <v>-156667811</v>
      </c>
      <c r="M60">
        <v>3857657</v>
      </c>
      <c r="N60">
        <v>12721895</v>
      </c>
      <c r="O60">
        <v>42612148</v>
      </c>
      <c r="P60">
        <v>61</v>
      </c>
      <c r="Q60" t="s">
        <v>157</v>
      </c>
    </row>
    <row r="61" spans="1:17" x14ac:dyDescent="0.3">
      <c r="A61" t="s">
        <v>17</v>
      </c>
      <c r="B61" t="str">
        <f>"600075"</f>
        <v>600075</v>
      </c>
      <c r="C61" t="s">
        <v>158</v>
      </c>
      <c r="D61" t="s">
        <v>133</v>
      </c>
      <c r="F61">
        <v>918378205</v>
      </c>
      <c r="G61">
        <v>486932019</v>
      </c>
      <c r="H61">
        <v>616748464</v>
      </c>
      <c r="I61">
        <v>294812570</v>
      </c>
      <c r="J61">
        <v>720735913</v>
      </c>
      <c r="K61">
        <v>-211286298</v>
      </c>
      <c r="L61">
        <v>-51694729</v>
      </c>
      <c r="M61">
        <v>777479052</v>
      </c>
      <c r="N61">
        <v>135984423</v>
      </c>
      <c r="O61">
        <v>352852161</v>
      </c>
      <c r="P61">
        <v>194</v>
      </c>
      <c r="Q61" t="s">
        <v>159</v>
      </c>
    </row>
    <row r="62" spans="1:17" x14ac:dyDescent="0.3">
      <c r="A62" t="s">
        <v>17</v>
      </c>
      <c r="B62" t="str">
        <f>"600076"</f>
        <v>600076</v>
      </c>
      <c r="C62" t="s">
        <v>160</v>
      </c>
      <c r="D62" t="s">
        <v>161</v>
      </c>
      <c r="F62">
        <v>-192054803</v>
      </c>
      <c r="G62">
        <v>-413127974</v>
      </c>
      <c r="H62">
        <v>-72521769</v>
      </c>
      <c r="I62">
        <v>-223358578</v>
      </c>
      <c r="J62">
        <v>-280383905</v>
      </c>
      <c r="K62">
        <v>-336149010</v>
      </c>
      <c r="L62">
        <v>27404858</v>
      </c>
      <c r="M62">
        <v>-102653961</v>
      </c>
      <c r="N62">
        <v>-33703289</v>
      </c>
      <c r="O62">
        <v>-4231695</v>
      </c>
      <c r="P62">
        <v>200</v>
      </c>
      <c r="Q62" t="s">
        <v>162</v>
      </c>
    </row>
    <row r="63" spans="1:17" x14ac:dyDescent="0.3">
      <c r="A63" t="s">
        <v>17</v>
      </c>
      <c r="B63" t="str">
        <f>"600077"</f>
        <v>600077</v>
      </c>
      <c r="C63" t="s">
        <v>163</v>
      </c>
      <c r="D63" t="s">
        <v>30</v>
      </c>
      <c r="F63">
        <v>830666708</v>
      </c>
      <c r="G63">
        <v>-2795567836</v>
      </c>
      <c r="H63">
        <v>-1270117120</v>
      </c>
      <c r="I63">
        <v>2443072799</v>
      </c>
      <c r="J63">
        <v>-1813842050</v>
      </c>
      <c r="K63">
        <v>2255710777</v>
      </c>
      <c r="L63">
        <v>1329272379</v>
      </c>
      <c r="M63">
        <v>-1381201150</v>
      </c>
      <c r="N63">
        <v>-203556570</v>
      </c>
      <c r="O63">
        <v>944346840</v>
      </c>
      <c r="P63">
        <v>126</v>
      </c>
      <c r="Q63" t="s">
        <v>164</v>
      </c>
    </row>
    <row r="64" spans="1:17" x14ac:dyDescent="0.3">
      <c r="A64" t="s">
        <v>17</v>
      </c>
      <c r="B64" t="str">
        <f>"600078"</f>
        <v>600078</v>
      </c>
      <c r="C64" t="s">
        <v>165</v>
      </c>
      <c r="D64" t="s">
        <v>133</v>
      </c>
      <c r="F64">
        <v>337404175</v>
      </c>
      <c r="G64">
        <v>223810914</v>
      </c>
      <c r="H64">
        <v>169183694</v>
      </c>
      <c r="I64">
        <v>26224310</v>
      </c>
      <c r="J64">
        <v>8718334</v>
      </c>
      <c r="K64">
        <v>-8557098</v>
      </c>
      <c r="L64">
        <v>-156931441</v>
      </c>
      <c r="M64">
        <v>242974559</v>
      </c>
      <c r="N64">
        <v>1037012144</v>
      </c>
      <c r="O64">
        <v>861359885</v>
      </c>
      <c r="P64">
        <v>85</v>
      </c>
      <c r="Q64" t="s">
        <v>166</v>
      </c>
    </row>
    <row r="65" spans="1:17" x14ac:dyDescent="0.3">
      <c r="A65" t="s">
        <v>17</v>
      </c>
      <c r="B65" t="str">
        <f>"600079"</f>
        <v>600079</v>
      </c>
      <c r="C65" t="s">
        <v>167</v>
      </c>
      <c r="D65" t="s">
        <v>113</v>
      </c>
      <c r="F65">
        <v>-249150930</v>
      </c>
      <c r="G65">
        <v>335093984</v>
      </c>
      <c r="H65">
        <v>380350993</v>
      </c>
      <c r="I65">
        <v>-1283959746</v>
      </c>
      <c r="J65">
        <v>-1234569133</v>
      </c>
      <c r="K65">
        <v>-308527790</v>
      </c>
      <c r="L65">
        <v>-581155714</v>
      </c>
      <c r="M65">
        <v>-213630953</v>
      </c>
      <c r="N65">
        <v>-556267555</v>
      </c>
      <c r="O65">
        <v>-470951260</v>
      </c>
      <c r="P65">
        <v>942</v>
      </c>
      <c r="Q65" t="s">
        <v>168</v>
      </c>
    </row>
    <row r="66" spans="1:17" x14ac:dyDescent="0.3">
      <c r="A66" t="s">
        <v>17</v>
      </c>
      <c r="B66" t="str">
        <f>"600080"</f>
        <v>600080</v>
      </c>
      <c r="C66" t="s">
        <v>169</v>
      </c>
      <c r="D66" t="s">
        <v>113</v>
      </c>
      <c r="F66">
        <v>-2408524</v>
      </c>
      <c r="G66">
        <v>-17109711</v>
      </c>
      <c r="H66">
        <v>23403560</v>
      </c>
      <c r="I66">
        <v>-22146718</v>
      </c>
      <c r="J66">
        <v>295110</v>
      </c>
      <c r="K66">
        <v>24359724</v>
      </c>
      <c r="L66">
        <v>14000188</v>
      </c>
      <c r="M66">
        <v>1831046</v>
      </c>
      <c r="N66">
        <v>9489854</v>
      </c>
      <c r="O66">
        <v>-43844679</v>
      </c>
      <c r="P66">
        <v>97</v>
      </c>
      <c r="Q66" t="s">
        <v>170</v>
      </c>
    </row>
    <row r="67" spans="1:17" x14ac:dyDescent="0.3">
      <c r="A67" t="s">
        <v>17</v>
      </c>
      <c r="B67" t="str">
        <f>"600081"</f>
        <v>600081</v>
      </c>
      <c r="C67" t="s">
        <v>171</v>
      </c>
      <c r="D67" t="s">
        <v>27</v>
      </c>
      <c r="F67">
        <v>191831433</v>
      </c>
      <c r="G67">
        <v>123128272</v>
      </c>
      <c r="H67">
        <v>153511306</v>
      </c>
      <c r="I67">
        <v>188856419</v>
      </c>
      <c r="J67">
        <v>132355603</v>
      </c>
      <c r="K67">
        <v>-100032742</v>
      </c>
      <c r="L67">
        <v>162574444</v>
      </c>
      <c r="M67">
        <v>255583466</v>
      </c>
      <c r="N67">
        <v>90741482</v>
      </c>
      <c r="O67">
        <v>122386819</v>
      </c>
      <c r="P67">
        <v>205</v>
      </c>
      <c r="Q67" t="s">
        <v>172</v>
      </c>
    </row>
    <row r="68" spans="1:17" x14ac:dyDescent="0.3">
      <c r="A68" t="s">
        <v>17</v>
      </c>
      <c r="B68" t="str">
        <f>"600082"</f>
        <v>600082</v>
      </c>
      <c r="C68" t="s">
        <v>173</v>
      </c>
      <c r="D68" t="s">
        <v>30</v>
      </c>
      <c r="F68">
        <v>-32789428</v>
      </c>
      <c r="G68">
        <v>-4514829</v>
      </c>
      <c r="H68">
        <v>84258811</v>
      </c>
      <c r="I68">
        <v>38509247</v>
      </c>
      <c r="J68">
        <v>30991372</v>
      </c>
      <c r="K68">
        <v>-110674721</v>
      </c>
      <c r="L68">
        <v>-125474515</v>
      </c>
      <c r="M68">
        <v>-48612035</v>
      </c>
      <c r="N68">
        <v>-235315054</v>
      </c>
      <c r="O68">
        <v>-592399087</v>
      </c>
      <c r="P68">
        <v>75</v>
      </c>
      <c r="Q68" t="s">
        <v>174</v>
      </c>
    </row>
    <row r="69" spans="1:17" x14ac:dyDescent="0.3">
      <c r="A69" t="s">
        <v>17</v>
      </c>
      <c r="B69" t="str">
        <f>"600083"</f>
        <v>600083</v>
      </c>
      <c r="C69" t="s">
        <v>175</v>
      </c>
      <c r="D69" t="s">
        <v>103</v>
      </c>
      <c r="F69">
        <v>-16484604</v>
      </c>
      <c r="G69">
        <v>-1847558</v>
      </c>
      <c r="H69">
        <v>-21405485</v>
      </c>
      <c r="I69">
        <v>-646949985</v>
      </c>
      <c r="J69">
        <v>-6399870</v>
      </c>
      <c r="K69">
        <v>8001872</v>
      </c>
      <c r="L69">
        <v>-78694616</v>
      </c>
      <c r="M69">
        <v>-18757129</v>
      </c>
      <c r="N69">
        <v>6170392</v>
      </c>
      <c r="O69">
        <v>-8547292</v>
      </c>
      <c r="P69">
        <v>83</v>
      </c>
      <c r="Q69" t="s">
        <v>176</v>
      </c>
    </row>
    <row r="70" spans="1:17" x14ac:dyDescent="0.3">
      <c r="A70" t="s">
        <v>17</v>
      </c>
      <c r="B70" t="str">
        <f>"600084"</f>
        <v>600084</v>
      </c>
      <c r="C70" t="s">
        <v>177</v>
      </c>
      <c r="D70" t="s">
        <v>123</v>
      </c>
      <c r="F70">
        <v>44633734</v>
      </c>
      <c r="G70">
        <v>-11844841</v>
      </c>
      <c r="H70">
        <v>-11051295</v>
      </c>
      <c r="I70">
        <v>-131866413</v>
      </c>
      <c r="J70">
        <v>-169070554</v>
      </c>
      <c r="K70">
        <v>-115796223</v>
      </c>
      <c r="L70">
        <v>-99914332</v>
      </c>
      <c r="M70">
        <v>-46259047</v>
      </c>
      <c r="N70">
        <v>-75800262</v>
      </c>
      <c r="O70">
        <v>-94442939</v>
      </c>
      <c r="P70">
        <v>99</v>
      </c>
      <c r="Q70" t="s">
        <v>178</v>
      </c>
    </row>
    <row r="71" spans="1:17" x14ac:dyDescent="0.3">
      <c r="A71" t="s">
        <v>17</v>
      </c>
      <c r="B71" t="str">
        <f>"600085"</f>
        <v>600085</v>
      </c>
      <c r="C71" t="s">
        <v>179</v>
      </c>
      <c r="D71" t="s">
        <v>113</v>
      </c>
      <c r="F71">
        <v>2092625949</v>
      </c>
      <c r="G71">
        <v>1093803419</v>
      </c>
      <c r="H71">
        <v>1513343391</v>
      </c>
      <c r="I71">
        <v>1093912536</v>
      </c>
      <c r="J71">
        <v>533291055</v>
      </c>
      <c r="K71">
        <v>373568940</v>
      </c>
      <c r="L71">
        <v>325685897</v>
      </c>
      <c r="M71">
        <v>123223904</v>
      </c>
      <c r="N71">
        <v>419514756</v>
      </c>
      <c r="O71">
        <v>564940796</v>
      </c>
      <c r="P71">
        <v>2032</v>
      </c>
      <c r="Q71" t="s">
        <v>180</v>
      </c>
    </row>
    <row r="72" spans="1:17" x14ac:dyDescent="0.3">
      <c r="A72" t="s">
        <v>17</v>
      </c>
      <c r="B72" t="str">
        <f>"600086"</f>
        <v>600086</v>
      </c>
      <c r="C72" t="s">
        <v>181</v>
      </c>
      <c r="G72">
        <v>-808200</v>
      </c>
      <c r="H72">
        <v>125153</v>
      </c>
      <c r="I72">
        <v>-140715004</v>
      </c>
      <c r="J72">
        <v>-2067777447</v>
      </c>
      <c r="K72">
        <v>-315445610</v>
      </c>
      <c r="L72">
        <v>-1941941468</v>
      </c>
      <c r="M72">
        <v>30363402</v>
      </c>
      <c r="N72">
        <v>-479747789</v>
      </c>
      <c r="O72">
        <v>121710429</v>
      </c>
      <c r="P72">
        <v>73</v>
      </c>
      <c r="Q72" t="s">
        <v>182</v>
      </c>
    </row>
    <row r="73" spans="1:17" x14ac:dyDescent="0.3">
      <c r="A73" t="s">
        <v>17</v>
      </c>
      <c r="B73" t="str">
        <f>"600087"</f>
        <v>600087</v>
      </c>
      <c r="C73" t="s">
        <v>183</v>
      </c>
      <c r="K73">
        <v>1074586636.76</v>
      </c>
      <c r="L73">
        <v>871353409.32000005</v>
      </c>
      <c r="M73">
        <v>55351520.149999999</v>
      </c>
      <c r="N73">
        <v>366594248.63999999</v>
      </c>
      <c r="O73">
        <v>-382188095.10000002</v>
      </c>
      <c r="P73">
        <v>7</v>
      </c>
      <c r="Q73" t="s">
        <v>184</v>
      </c>
    </row>
    <row r="74" spans="1:17" x14ac:dyDescent="0.3">
      <c r="A74" t="s">
        <v>17</v>
      </c>
      <c r="B74" t="str">
        <f>"600088"</f>
        <v>600088</v>
      </c>
      <c r="C74" t="s">
        <v>185</v>
      </c>
      <c r="D74" t="s">
        <v>89</v>
      </c>
      <c r="F74">
        <v>-339307741</v>
      </c>
      <c r="G74">
        <v>-193855685</v>
      </c>
      <c r="H74">
        <v>-51222981</v>
      </c>
      <c r="I74">
        <v>56679664</v>
      </c>
      <c r="J74">
        <v>38006063</v>
      </c>
      <c r="K74">
        <v>7781541</v>
      </c>
      <c r="L74">
        <v>-66774068</v>
      </c>
      <c r="M74">
        <v>-337987</v>
      </c>
      <c r="N74">
        <v>-153425779</v>
      </c>
      <c r="O74">
        <v>-634760849</v>
      </c>
      <c r="P74">
        <v>114</v>
      </c>
      <c r="Q74" t="s">
        <v>186</v>
      </c>
    </row>
    <row r="75" spans="1:17" x14ac:dyDescent="0.3">
      <c r="A75" t="s">
        <v>17</v>
      </c>
      <c r="B75" t="str">
        <f>"600089"</f>
        <v>600089</v>
      </c>
      <c r="C75" t="s">
        <v>187</v>
      </c>
      <c r="D75" t="s">
        <v>188</v>
      </c>
      <c r="F75">
        <v>-46858438</v>
      </c>
      <c r="G75">
        <v>-1313122680</v>
      </c>
      <c r="H75">
        <v>-5576322212</v>
      </c>
      <c r="I75">
        <v>-3354741875</v>
      </c>
      <c r="J75">
        <v>-3106488994</v>
      </c>
      <c r="K75">
        <v>-4738596258</v>
      </c>
      <c r="L75">
        <v>-2933770440</v>
      </c>
      <c r="M75">
        <v>-4828599103</v>
      </c>
      <c r="N75">
        <v>-6636938184</v>
      </c>
      <c r="O75">
        <v>-5872393191</v>
      </c>
      <c r="P75">
        <v>1283</v>
      </c>
      <c r="Q75" t="s">
        <v>189</v>
      </c>
    </row>
    <row r="76" spans="1:17" x14ac:dyDescent="0.3">
      <c r="A76" t="s">
        <v>17</v>
      </c>
      <c r="B76" t="str">
        <f>"600090"</f>
        <v>600090</v>
      </c>
      <c r="C76" t="s">
        <v>190</v>
      </c>
      <c r="D76" t="s">
        <v>113</v>
      </c>
      <c r="F76">
        <v>-36556179</v>
      </c>
      <c r="G76">
        <v>-13643027</v>
      </c>
      <c r="H76">
        <v>731977180</v>
      </c>
      <c r="I76">
        <v>-547155538</v>
      </c>
      <c r="J76">
        <v>981739016</v>
      </c>
      <c r="K76">
        <v>122101379</v>
      </c>
      <c r="L76">
        <v>334051271</v>
      </c>
      <c r="M76">
        <v>243479638</v>
      </c>
      <c r="N76">
        <v>241395413</v>
      </c>
      <c r="O76">
        <v>182052533</v>
      </c>
      <c r="P76">
        <v>214</v>
      </c>
      <c r="Q76" t="s">
        <v>191</v>
      </c>
    </row>
    <row r="77" spans="1:17" x14ac:dyDescent="0.3">
      <c r="A77" t="s">
        <v>17</v>
      </c>
      <c r="B77" t="str">
        <f>"600091"</f>
        <v>600091</v>
      </c>
      <c r="C77" t="s">
        <v>192</v>
      </c>
      <c r="D77" t="s">
        <v>133</v>
      </c>
      <c r="F77">
        <v>-16369815</v>
      </c>
      <c r="G77">
        <v>-38483782</v>
      </c>
      <c r="H77">
        <v>-49200616</v>
      </c>
      <c r="I77">
        <v>-58628014</v>
      </c>
      <c r="J77">
        <v>-68780265</v>
      </c>
      <c r="K77">
        <v>-23015393</v>
      </c>
      <c r="L77">
        <v>-45321629</v>
      </c>
      <c r="M77">
        <v>-43736354</v>
      </c>
      <c r="N77">
        <v>-90606863</v>
      </c>
      <c r="O77">
        <v>-61233988</v>
      </c>
      <c r="P77">
        <v>58</v>
      </c>
      <c r="Q77" t="s">
        <v>193</v>
      </c>
    </row>
    <row r="78" spans="1:17" x14ac:dyDescent="0.3">
      <c r="A78" t="s">
        <v>17</v>
      </c>
      <c r="B78" t="str">
        <f>"600092"</f>
        <v>600092</v>
      </c>
      <c r="C78" t="s">
        <v>194</v>
      </c>
      <c r="K78">
        <v>24732.81</v>
      </c>
      <c r="L78">
        <v>2588.67</v>
      </c>
      <c r="M78">
        <v>8759.23</v>
      </c>
      <c r="N78">
        <v>31015.19</v>
      </c>
      <c r="O78">
        <v>7207.63</v>
      </c>
      <c r="P78">
        <v>3</v>
      </c>
      <c r="Q78" t="s">
        <v>195</v>
      </c>
    </row>
    <row r="79" spans="1:17" x14ac:dyDescent="0.3">
      <c r="A79" t="s">
        <v>17</v>
      </c>
      <c r="B79" t="str">
        <f>"600093"</f>
        <v>600093</v>
      </c>
      <c r="C79" t="s">
        <v>196</v>
      </c>
      <c r="D79" t="s">
        <v>75</v>
      </c>
      <c r="F79">
        <v>-2007237069</v>
      </c>
      <c r="G79">
        <v>-164919154</v>
      </c>
      <c r="H79">
        <v>-60878932</v>
      </c>
      <c r="I79">
        <v>1469602513</v>
      </c>
      <c r="J79">
        <v>-1059654571</v>
      </c>
      <c r="K79">
        <v>-1341114289</v>
      </c>
      <c r="L79">
        <v>-1697899715</v>
      </c>
      <c r="M79">
        <v>-72234505</v>
      </c>
      <c r="N79">
        <v>39028091</v>
      </c>
      <c r="O79">
        <v>-39653991</v>
      </c>
      <c r="P79">
        <v>222</v>
      </c>
      <c r="Q79" t="s">
        <v>197</v>
      </c>
    </row>
    <row r="80" spans="1:17" x14ac:dyDescent="0.3">
      <c r="A80" t="s">
        <v>17</v>
      </c>
      <c r="B80" t="str">
        <f>"600094"</f>
        <v>600094</v>
      </c>
      <c r="C80" t="s">
        <v>198</v>
      </c>
      <c r="D80" t="s">
        <v>30</v>
      </c>
      <c r="F80">
        <v>3557266341</v>
      </c>
      <c r="G80">
        <v>-2628711636</v>
      </c>
      <c r="H80">
        <v>4773385928</v>
      </c>
      <c r="I80">
        <v>4612088365</v>
      </c>
      <c r="J80">
        <v>-334998676</v>
      </c>
      <c r="K80">
        <v>-2378945903</v>
      </c>
      <c r="L80">
        <v>-5738474945</v>
      </c>
      <c r="M80">
        <v>-2083319803</v>
      </c>
      <c r="N80">
        <v>-1212526484</v>
      </c>
      <c r="O80">
        <v>-1340169984</v>
      </c>
      <c r="P80">
        <v>159</v>
      </c>
      <c r="Q80" t="s">
        <v>199</v>
      </c>
    </row>
    <row r="81" spans="1:17" x14ac:dyDescent="0.3">
      <c r="A81" t="s">
        <v>17</v>
      </c>
      <c r="B81" t="str">
        <f>"600095"</f>
        <v>600095</v>
      </c>
      <c r="C81" t="s">
        <v>200</v>
      </c>
      <c r="D81" t="s">
        <v>75</v>
      </c>
      <c r="F81">
        <v>1428480852</v>
      </c>
      <c r="G81">
        <v>542264581</v>
      </c>
      <c r="H81">
        <v>34314737</v>
      </c>
      <c r="I81">
        <v>3553064</v>
      </c>
      <c r="J81">
        <v>33720731</v>
      </c>
      <c r="K81">
        <v>6878239</v>
      </c>
      <c r="L81">
        <v>92172346</v>
      </c>
      <c r="M81">
        <v>17432958</v>
      </c>
      <c r="N81">
        <v>50196978</v>
      </c>
      <c r="O81">
        <v>19391947</v>
      </c>
      <c r="P81">
        <v>330</v>
      </c>
      <c r="Q81" t="s">
        <v>201</v>
      </c>
    </row>
    <row r="82" spans="1:17" x14ac:dyDescent="0.3">
      <c r="A82" t="s">
        <v>17</v>
      </c>
      <c r="B82" t="str">
        <f>"600096"</f>
        <v>600096</v>
      </c>
      <c r="C82" t="s">
        <v>202</v>
      </c>
      <c r="D82" t="s">
        <v>133</v>
      </c>
      <c r="F82">
        <v>4066228252</v>
      </c>
      <c r="G82">
        <v>2723465914</v>
      </c>
      <c r="H82">
        <v>2546819695</v>
      </c>
      <c r="I82">
        <v>1879207483</v>
      </c>
      <c r="J82">
        <v>698835465</v>
      </c>
      <c r="K82">
        <v>928102211</v>
      </c>
      <c r="L82">
        <v>3401780127</v>
      </c>
      <c r="M82">
        <v>-2491245352</v>
      </c>
      <c r="N82">
        <v>-3437187017</v>
      </c>
      <c r="O82">
        <v>-489546869</v>
      </c>
      <c r="P82">
        <v>392</v>
      </c>
      <c r="Q82" t="s">
        <v>203</v>
      </c>
    </row>
    <row r="83" spans="1:17" x14ac:dyDescent="0.3">
      <c r="A83" t="s">
        <v>17</v>
      </c>
      <c r="B83" t="str">
        <f>"600097"</f>
        <v>600097</v>
      </c>
      <c r="C83" t="s">
        <v>204</v>
      </c>
      <c r="D83" t="s">
        <v>205</v>
      </c>
      <c r="F83">
        <v>358472942</v>
      </c>
      <c r="G83">
        <v>-37545411</v>
      </c>
      <c r="H83">
        <v>114280912</v>
      </c>
      <c r="I83">
        <v>245992116</v>
      </c>
      <c r="J83">
        <v>55011421</v>
      </c>
      <c r="K83">
        <v>-48155376</v>
      </c>
      <c r="L83">
        <v>50444858</v>
      </c>
      <c r="M83">
        <v>8865387</v>
      </c>
      <c r="N83">
        <v>96631336</v>
      </c>
      <c r="O83">
        <v>279390170</v>
      </c>
      <c r="P83">
        <v>116</v>
      </c>
      <c r="Q83" t="s">
        <v>206</v>
      </c>
    </row>
    <row r="84" spans="1:17" x14ac:dyDescent="0.3">
      <c r="A84" t="s">
        <v>17</v>
      </c>
      <c r="B84" t="str">
        <f>"600098"</f>
        <v>600098</v>
      </c>
      <c r="C84" t="s">
        <v>207</v>
      </c>
      <c r="D84" t="s">
        <v>41</v>
      </c>
      <c r="F84">
        <v>-773176914</v>
      </c>
      <c r="G84">
        <v>1051930128</v>
      </c>
      <c r="H84">
        <v>1610781081</v>
      </c>
      <c r="I84">
        <v>857546023</v>
      </c>
      <c r="J84">
        <v>849408879</v>
      </c>
      <c r="K84">
        <v>1004900827</v>
      </c>
      <c r="L84">
        <v>1847752822</v>
      </c>
      <c r="M84">
        <v>1908303055</v>
      </c>
      <c r="N84">
        <v>1120871027</v>
      </c>
      <c r="O84">
        <v>1017140608</v>
      </c>
      <c r="P84">
        <v>192</v>
      </c>
      <c r="Q84" t="s">
        <v>208</v>
      </c>
    </row>
    <row r="85" spans="1:17" x14ac:dyDescent="0.3">
      <c r="A85" t="s">
        <v>17</v>
      </c>
      <c r="B85" t="str">
        <f>"600099"</f>
        <v>600099</v>
      </c>
      <c r="C85" t="s">
        <v>209</v>
      </c>
      <c r="D85" t="s">
        <v>27</v>
      </c>
      <c r="F85">
        <v>-45843212</v>
      </c>
      <c r="G85">
        <v>-19087121</v>
      </c>
      <c r="H85">
        <v>-45185819</v>
      </c>
      <c r="I85">
        <v>-27409860</v>
      </c>
      <c r="J85">
        <v>-34443865</v>
      </c>
      <c r="K85">
        <v>-28161964</v>
      </c>
      <c r="L85">
        <v>-33698020</v>
      </c>
      <c r="M85">
        <v>-33040589</v>
      </c>
      <c r="N85">
        <v>-43503143</v>
      </c>
      <c r="O85">
        <v>-33217443</v>
      </c>
      <c r="P85">
        <v>74</v>
      </c>
      <c r="Q85" t="s">
        <v>210</v>
      </c>
    </row>
    <row r="86" spans="1:17" x14ac:dyDescent="0.3">
      <c r="A86" t="s">
        <v>17</v>
      </c>
      <c r="B86" t="str">
        <f>"600100"</f>
        <v>600100</v>
      </c>
      <c r="C86" t="s">
        <v>211</v>
      </c>
      <c r="D86" t="s">
        <v>212</v>
      </c>
      <c r="F86">
        <v>-3576291553</v>
      </c>
      <c r="G86">
        <v>-4272133299</v>
      </c>
      <c r="H86">
        <v>-3137467587</v>
      </c>
      <c r="I86">
        <v>-4200994985</v>
      </c>
      <c r="J86">
        <v>-3121519884</v>
      </c>
      <c r="K86">
        <v>-5150832877</v>
      </c>
      <c r="L86">
        <v>-2049864855</v>
      </c>
      <c r="M86">
        <v>-1747196207</v>
      </c>
      <c r="N86">
        <v>-2020755482</v>
      </c>
      <c r="O86">
        <v>-1360385910</v>
      </c>
      <c r="P86">
        <v>321</v>
      </c>
      <c r="Q86" t="s">
        <v>213</v>
      </c>
    </row>
    <row r="87" spans="1:17" x14ac:dyDescent="0.3">
      <c r="A87" t="s">
        <v>17</v>
      </c>
      <c r="B87" t="str">
        <f>"600101"</f>
        <v>600101</v>
      </c>
      <c r="C87" t="s">
        <v>214</v>
      </c>
      <c r="D87" t="s">
        <v>41</v>
      </c>
      <c r="F87">
        <v>103111251</v>
      </c>
      <c r="G87">
        <v>100244742</v>
      </c>
      <c r="H87">
        <v>265267407</v>
      </c>
      <c r="I87">
        <v>160754755</v>
      </c>
      <c r="J87">
        <v>197124743</v>
      </c>
      <c r="K87">
        <v>86596841</v>
      </c>
      <c r="L87">
        <v>15938108</v>
      </c>
      <c r="M87">
        <v>36626326</v>
      </c>
      <c r="N87">
        <v>54546984</v>
      </c>
      <c r="O87">
        <v>82588583</v>
      </c>
      <c r="P87">
        <v>123</v>
      </c>
      <c r="Q87" t="s">
        <v>215</v>
      </c>
    </row>
    <row r="88" spans="1:17" x14ac:dyDescent="0.3">
      <c r="A88" t="s">
        <v>17</v>
      </c>
      <c r="B88" t="str">
        <f>"600102"</f>
        <v>600102</v>
      </c>
      <c r="C88" t="s">
        <v>216</v>
      </c>
      <c r="N88">
        <v>239512018.03</v>
      </c>
      <c r="O88">
        <v>1805774554.52</v>
      </c>
      <c r="P88">
        <v>12</v>
      </c>
      <c r="Q88" t="s">
        <v>217</v>
      </c>
    </row>
    <row r="89" spans="1:17" x14ac:dyDescent="0.3">
      <c r="A89" t="s">
        <v>17</v>
      </c>
      <c r="B89" t="str">
        <f>"600103"</f>
        <v>600103</v>
      </c>
      <c r="C89" t="s">
        <v>218</v>
      </c>
      <c r="D89" t="s">
        <v>161</v>
      </c>
      <c r="F89">
        <v>193884492</v>
      </c>
      <c r="G89">
        <v>-256686982</v>
      </c>
      <c r="H89">
        <v>-121715546</v>
      </c>
      <c r="I89">
        <v>355382446</v>
      </c>
      <c r="J89">
        <v>-220005902</v>
      </c>
      <c r="K89">
        <v>-98187043</v>
      </c>
      <c r="L89">
        <v>-82449612</v>
      </c>
      <c r="M89">
        <v>53338272</v>
      </c>
      <c r="N89">
        <v>-37916701</v>
      </c>
      <c r="O89">
        <v>-220385861</v>
      </c>
      <c r="P89">
        <v>138</v>
      </c>
      <c r="Q89" t="s">
        <v>219</v>
      </c>
    </row>
    <row r="90" spans="1:17" x14ac:dyDescent="0.3">
      <c r="A90" t="s">
        <v>17</v>
      </c>
      <c r="B90" t="str">
        <f>"600104"</f>
        <v>600104</v>
      </c>
      <c r="C90" t="s">
        <v>220</v>
      </c>
      <c r="D90" t="s">
        <v>27</v>
      </c>
      <c r="F90">
        <v>-2833714465</v>
      </c>
      <c r="G90">
        <v>24516418593</v>
      </c>
      <c r="H90">
        <v>7339984133</v>
      </c>
      <c r="I90">
        <v>-52240386631</v>
      </c>
      <c r="J90">
        <v>3325714881</v>
      </c>
      <c r="K90">
        <v>1772399320</v>
      </c>
      <c r="L90">
        <v>9562730463</v>
      </c>
      <c r="M90">
        <v>10072046770</v>
      </c>
      <c r="N90">
        <v>7331671930</v>
      </c>
      <c r="O90">
        <v>12904910321</v>
      </c>
      <c r="P90">
        <v>11366</v>
      </c>
      <c r="Q90" t="s">
        <v>221</v>
      </c>
    </row>
    <row r="91" spans="1:17" x14ac:dyDescent="0.3">
      <c r="A91" t="s">
        <v>17</v>
      </c>
      <c r="B91" t="str">
        <f>"600105"</f>
        <v>600105</v>
      </c>
      <c r="C91" t="s">
        <v>222</v>
      </c>
      <c r="D91" t="s">
        <v>100</v>
      </c>
      <c r="F91">
        <v>-955477927</v>
      </c>
      <c r="G91">
        <v>-342628446</v>
      </c>
      <c r="H91">
        <v>87472670</v>
      </c>
      <c r="I91">
        <v>-440061410</v>
      </c>
      <c r="J91">
        <v>-85564059</v>
      </c>
      <c r="K91">
        <v>-182664815</v>
      </c>
      <c r="L91">
        <v>-123967414</v>
      </c>
      <c r="M91">
        <v>53183621</v>
      </c>
      <c r="N91">
        <v>-133646963</v>
      </c>
      <c r="O91">
        <v>-108770321</v>
      </c>
      <c r="P91">
        <v>274</v>
      </c>
      <c r="Q91" t="s">
        <v>223</v>
      </c>
    </row>
    <row r="92" spans="1:17" x14ac:dyDescent="0.3">
      <c r="A92" t="s">
        <v>17</v>
      </c>
      <c r="B92" t="str">
        <f>"600106"</f>
        <v>600106</v>
      </c>
      <c r="C92" t="s">
        <v>224</v>
      </c>
      <c r="D92" t="s">
        <v>22</v>
      </c>
      <c r="F92">
        <v>155034663</v>
      </c>
      <c r="G92">
        <v>638244641</v>
      </c>
      <c r="H92">
        <v>288418037</v>
      </c>
      <c r="I92">
        <v>66501313</v>
      </c>
      <c r="J92">
        <v>151136338</v>
      </c>
      <c r="K92">
        <v>199172111</v>
      </c>
      <c r="L92">
        <v>262999383</v>
      </c>
      <c r="M92">
        <v>198441241</v>
      </c>
      <c r="N92">
        <v>-202629122</v>
      </c>
      <c r="O92">
        <v>116293403</v>
      </c>
      <c r="P92">
        <v>145</v>
      </c>
      <c r="Q92" t="s">
        <v>225</v>
      </c>
    </row>
    <row r="93" spans="1:17" x14ac:dyDescent="0.3">
      <c r="A93" t="s">
        <v>17</v>
      </c>
      <c r="B93" t="str">
        <f>"600107"</f>
        <v>600107</v>
      </c>
      <c r="C93" t="s">
        <v>226</v>
      </c>
      <c r="D93" t="s">
        <v>227</v>
      </c>
      <c r="F93">
        <v>-143766029</v>
      </c>
      <c r="G93">
        <v>24911263</v>
      </c>
      <c r="H93">
        <v>8160340</v>
      </c>
      <c r="I93">
        <v>16529421</v>
      </c>
      <c r="J93">
        <v>-47514065</v>
      </c>
      <c r="K93">
        <v>75937414</v>
      </c>
      <c r="L93">
        <v>6256536</v>
      </c>
      <c r="M93">
        <v>94651753</v>
      </c>
      <c r="N93">
        <v>45560704</v>
      </c>
      <c r="O93">
        <v>-113674229</v>
      </c>
      <c r="P93">
        <v>73</v>
      </c>
      <c r="Q93" t="s">
        <v>228</v>
      </c>
    </row>
    <row r="94" spans="1:17" x14ac:dyDescent="0.3">
      <c r="A94" t="s">
        <v>17</v>
      </c>
      <c r="B94" t="str">
        <f>"600108"</f>
        <v>600108</v>
      </c>
      <c r="C94" t="s">
        <v>229</v>
      </c>
      <c r="D94" t="s">
        <v>205</v>
      </c>
      <c r="F94">
        <v>-236292500</v>
      </c>
      <c r="G94">
        <v>-229932302</v>
      </c>
      <c r="H94">
        <v>-234967529</v>
      </c>
      <c r="I94">
        <v>-96114031</v>
      </c>
      <c r="J94">
        <v>-37804865</v>
      </c>
      <c r="K94">
        <v>-128955448</v>
      </c>
      <c r="L94">
        <v>8443929</v>
      </c>
      <c r="M94">
        <v>-159825263</v>
      </c>
      <c r="N94">
        <v>-204217824</v>
      </c>
      <c r="O94">
        <v>-148666058</v>
      </c>
      <c r="P94">
        <v>120</v>
      </c>
      <c r="Q94" t="s">
        <v>230</v>
      </c>
    </row>
    <row r="95" spans="1:17" x14ac:dyDescent="0.3">
      <c r="A95" t="s">
        <v>17</v>
      </c>
      <c r="B95" t="str">
        <f>"600109"</f>
        <v>600109</v>
      </c>
      <c r="C95" t="s">
        <v>231</v>
      </c>
      <c r="D95" t="s">
        <v>75</v>
      </c>
      <c r="F95">
        <v>1150250380</v>
      </c>
      <c r="G95">
        <v>-3731468584</v>
      </c>
      <c r="H95">
        <v>-371811644</v>
      </c>
      <c r="I95">
        <v>3373641445</v>
      </c>
      <c r="J95">
        <v>-8416694089</v>
      </c>
      <c r="K95">
        <v>-9890275139</v>
      </c>
      <c r="L95">
        <v>17540483647</v>
      </c>
      <c r="M95">
        <v>65139998</v>
      </c>
      <c r="N95">
        <v>-212790165</v>
      </c>
      <c r="O95">
        <v>893903959</v>
      </c>
      <c r="P95">
        <v>1128</v>
      </c>
      <c r="Q95" t="s">
        <v>232</v>
      </c>
    </row>
    <row r="96" spans="1:17" x14ac:dyDescent="0.3">
      <c r="A96" t="s">
        <v>17</v>
      </c>
      <c r="B96" t="str">
        <f>"600110"</f>
        <v>600110</v>
      </c>
      <c r="C96" t="s">
        <v>233</v>
      </c>
      <c r="D96" t="s">
        <v>234</v>
      </c>
      <c r="F96">
        <v>182770043</v>
      </c>
      <c r="G96">
        <v>-157038982</v>
      </c>
      <c r="H96">
        <v>44477085</v>
      </c>
      <c r="I96">
        <v>-139293154</v>
      </c>
      <c r="J96">
        <v>-595980921</v>
      </c>
      <c r="K96">
        <v>-772433347</v>
      </c>
      <c r="L96">
        <v>298535577</v>
      </c>
      <c r="M96">
        <v>-104875217</v>
      </c>
      <c r="N96">
        <v>-231324133</v>
      </c>
      <c r="O96">
        <v>290183209</v>
      </c>
      <c r="P96">
        <v>340</v>
      </c>
      <c r="Q96" t="s">
        <v>235</v>
      </c>
    </row>
    <row r="97" spans="1:17" x14ac:dyDescent="0.3">
      <c r="A97" t="s">
        <v>17</v>
      </c>
      <c r="B97" t="str">
        <f>"600111"</f>
        <v>600111</v>
      </c>
      <c r="C97" t="s">
        <v>236</v>
      </c>
      <c r="D97" t="s">
        <v>234</v>
      </c>
      <c r="F97">
        <v>2029381078</v>
      </c>
      <c r="G97">
        <v>206327978</v>
      </c>
      <c r="H97">
        <v>180657120</v>
      </c>
      <c r="I97">
        <v>-995095197</v>
      </c>
      <c r="J97">
        <v>384769978</v>
      </c>
      <c r="K97">
        <v>896756843</v>
      </c>
      <c r="L97">
        <v>2290531089</v>
      </c>
      <c r="M97">
        <v>278712238</v>
      </c>
      <c r="N97">
        <v>1996195895</v>
      </c>
      <c r="O97">
        <v>-143616462</v>
      </c>
      <c r="P97">
        <v>1179</v>
      </c>
      <c r="Q97" t="s">
        <v>237</v>
      </c>
    </row>
    <row r="98" spans="1:17" x14ac:dyDescent="0.3">
      <c r="A98" t="s">
        <v>17</v>
      </c>
      <c r="B98" t="str">
        <f>"600112"</f>
        <v>600112</v>
      </c>
      <c r="C98" t="s">
        <v>238</v>
      </c>
      <c r="D98" t="s">
        <v>188</v>
      </c>
      <c r="F98">
        <v>-6025919</v>
      </c>
      <c r="G98">
        <v>-2314080</v>
      </c>
      <c r="H98">
        <v>10459213</v>
      </c>
      <c r="I98">
        <v>-22857744</v>
      </c>
      <c r="J98">
        <v>-21744376</v>
      </c>
      <c r="K98">
        <v>-625273</v>
      </c>
      <c r="L98">
        <v>-44409144</v>
      </c>
      <c r="M98">
        <v>-59300861</v>
      </c>
      <c r="N98">
        <v>-85032055</v>
      </c>
      <c r="O98">
        <v>-260992168</v>
      </c>
      <c r="P98">
        <v>56</v>
      </c>
      <c r="Q98" t="s">
        <v>239</v>
      </c>
    </row>
    <row r="99" spans="1:17" x14ac:dyDescent="0.3">
      <c r="A99" t="s">
        <v>17</v>
      </c>
      <c r="B99" t="str">
        <f>"600113"</f>
        <v>600113</v>
      </c>
      <c r="C99" t="s">
        <v>240</v>
      </c>
      <c r="D99" t="s">
        <v>120</v>
      </c>
      <c r="F99">
        <v>197313407</v>
      </c>
      <c r="G99">
        <v>72058334</v>
      </c>
      <c r="H99">
        <v>-315989884</v>
      </c>
      <c r="I99">
        <v>62219018</v>
      </c>
      <c r="J99">
        <v>107563901</v>
      </c>
      <c r="K99">
        <v>125620445</v>
      </c>
      <c r="L99">
        <v>78041281</v>
      </c>
      <c r="M99">
        <v>64381089</v>
      </c>
      <c r="N99">
        <v>-37894711</v>
      </c>
      <c r="O99">
        <v>-112838142</v>
      </c>
      <c r="P99">
        <v>136</v>
      </c>
      <c r="Q99" t="s">
        <v>241</v>
      </c>
    </row>
    <row r="100" spans="1:17" x14ac:dyDescent="0.3">
      <c r="A100" t="s">
        <v>17</v>
      </c>
      <c r="B100" t="str">
        <f>"600114"</f>
        <v>600114</v>
      </c>
      <c r="C100" t="s">
        <v>242</v>
      </c>
      <c r="D100" t="s">
        <v>78</v>
      </c>
      <c r="F100">
        <v>-184624344</v>
      </c>
      <c r="G100">
        <v>-37209815</v>
      </c>
      <c r="H100">
        <v>294384797</v>
      </c>
      <c r="I100">
        <v>-53786799</v>
      </c>
      <c r="J100">
        <v>-22015144</v>
      </c>
      <c r="K100">
        <v>62365067</v>
      </c>
      <c r="L100">
        <v>46397674</v>
      </c>
      <c r="M100">
        <v>3257991</v>
      </c>
      <c r="N100">
        <v>41918594</v>
      </c>
      <c r="O100">
        <v>63154186</v>
      </c>
      <c r="P100">
        <v>302</v>
      </c>
      <c r="Q100" t="s">
        <v>243</v>
      </c>
    </row>
    <row r="101" spans="1:17" x14ac:dyDescent="0.3">
      <c r="A101" t="s">
        <v>17</v>
      </c>
      <c r="B101" t="str">
        <f>"600115"</f>
        <v>600115</v>
      </c>
      <c r="C101" t="s">
        <v>244</v>
      </c>
      <c r="D101" t="s">
        <v>22</v>
      </c>
      <c r="F101">
        <v>4023000000</v>
      </c>
      <c r="G101">
        <v>-5490000000</v>
      </c>
      <c r="H101">
        <v>9488000000</v>
      </c>
      <c r="I101">
        <v>6951000000</v>
      </c>
      <c r="J101">
        <v>-4388000000</v>
      </c>
      <c r="K101">
        <v>-4676000000</v>
      </c>
      <c r="L101">
        <v>-2932000000</v>
      </c>
      <c r="M101">
        <v>-8026000000</v>
      </c>
      <c r="N101">
        <v>-2358771000</v>
      </c>
      <c r="O101">
        <v>3565606000</v>
      </c>
      <c r="P101">
        <v>690</v>
      </c>
      <c r="Q101" t="s">
        <v>245</v>
      </c>
    </row>
    <row r="102" spans="1:17" x14ac:dyDescent="0.3">
      <c r="A102" t="s">
        <v>17</v>
      </c>
      <c r="B102" t="str">
        <f>"600116"</f>
        <v>600116</v>
      </c>
      <c r="C102" t="s">
        <v>246</v>
      </c>
      <c r="D102" t="s">
        <v>41</v>
      </c>
      <c r="F102">
        <v>-371616704</v>
      </c>
      <c r="G102">
        <v>-3390482</v>
      </c>
      <c r="H102">
        <v>60113980</v>
      </c>
      <c r="I102">
        <v>-79231553</v>
      </c>
      <c r="J102">
        <v>-70448622</v>
      </c>
      <c r="K102">
        <v>10634734</v>
      </c>
      <c r="L102">
        <v>-16176231</v>
      </c>
      <c r="M102">
        <v>114976552</v>
      </c>
      <c r="N102">
        <v>15429626</v>
      </c>
      <c r="O102">
        <v>-92973988</v>
      </c>
      <c r="P102">
        <v>236</v>
      </c>
      <c r="Q102" t="s">
        <v>247</v>
      </c>
    </row>
    <row r="103" spans="1:17" x14ac:dyDescent="0.3">
      <c r="A103" t="s">
        <v>17</v>
      </c>
      <c r="B103" t="str">
        <f>"600117"</f>
        <v>600117</v>
      </c>
      <c r="C103" t="s">
        <v>248</v>
      </c>
      <c r="D103" t="s">
        <v>38</v>
      </c>
      <c r="F103">
        <v>694124865</v>
      </c>
      <c r="G103">
        <v>564047272</v>
      </c>
      <c r="H103">
        <v>338718614</v>
      </c>
      <c r="I103">
        <v>-359020862</v>
      </c>
      <c r="J103">
        <v>-158929007</v>
      </c>
      <c r="K103">
        <v>-597759564</v>
      </c>
      <c r="L103">
        <v>-664545509</v>
      </c>
      <c r="M103">
        <v>-532036370</v>
      </c>
      <c r="N103">
        <v>-559904752</v>
      </c>
      <c r="O103">
        <v>-485252359</v>
      </c>
      <c r="P103">
        <v>116</v>
      </c>
      <c r="Q103" t="s">
        <v>249</v>
      </c>
    </row>
    <row r="104" spans="1:17" x14ac:dyDescent="0.3">
      <c r="A104" t="s">
        <v>17</v>
      </c>
      <c r="B104" t="str">
        <f>"600118"</f>
        <v>600118</v>
      </c>
      <c r="C104" t="s">
        <v>250</v>
      </c>
      <c r="D104" t="s">
        <v>92</v>
      </c>
      <c r="F104">
        <v>438298419</v>
      </c>
      <c r="G104">
        <v>475416044</v>
      </c>
      <c r="H104">
        <v>-95001211</v>
      </c>
      <c r="I104">
        <v>-568274187</v>
      </c>
      <c r="J104">
        <v>-1224662877</v>
      </c>
      <c r="K104">
        <v>-1119407858</v>
      </c>
      <c r="L104">
        <v>-623031801</v>
      </c>
      <c r="M104">
        <v>-508275557</v>
      </c>
      <c r="N104">
        <v>-598062983</v>
      </c>
      <c r="O104">
        <v>-681752788</v>
      </c>
      <c r="P104">
        <v>3372</v>
      </c>
      <c r="Q104" t="s">
        <v>251</v>
      </c>
    </row>
    <row r="105" spans="1:17" x14ac:dyDescent="0.3">
      <c r="A105" t="s">
        <v>17</v>
      </c>
      <c r="B105" t="str">
        <f>"600119"</f>
        <v>600119</v>
      </c>
      <c r="C105" t="s">
        <v>252</v>
      </c>
      <c r="D105" t="s">
        <v>22</v>
      </c>
      <c r="F105">
        <v>58836801</v>
      </c>
      <c r="G105">
        <v>13753736</v>
      </c>
      <c r="H105">
        <v>-35023422</v>
      </c>
      <c r="I105">
        <v>146945395</v>
      </c>
      <c r="J105">
        <v>488424749</v>
      </c>
      <c r="K105">
        <v>-208305992</v>
      </c>
      <c r="L105">
        <v>-49346949</v>
      </c>
      <c r="M105">
        <v>69060618</v>
      </c>
      <c r="N105">
        <v>-151885273</v>
      </c>
      <c r="O105">
        <v>-197326892</v>
      </c>
      <c r="P105">
        <v>55</v>
      </c>
      <c r="Q105" t="s">
        <v>253</v>
      </c>
    </row>
    <row r="106" spans="1:17" x14ac:dyDescent="0.3">
      <c r="A106" t="s">
        <v>17</v>
      </c>
      <c r="B106" t="str">
        <f>"600120"</f>
        <v>600120</v>
      </c>
      <c r="C106" t="s">
        <v>254</v>
      </c>
      <c r="D106" t="s">
        <v>75</v>
      </c>
      <c r="F106">
        <v>1285120867</v>
      </c>
      <c r="G106">
        <v>-650589989</v>
      </c>
      <c r="H106">
        <v>-784294223</v>
      </c>
      <c r="I106">
        <v>-1473677961</v>
      </c>
      <c r="J106">
        <v>966966653</v>
      </c>
      <c r="K106">
        <v>-60369685</v>
      </c>
      <c r="L106">
        <v>313148141</v>
      </c>
      <c r="M106">
        <v>-683165388</v>
      </c>
      <c r="N106">
        <v>-905300122</v>
      </c>
      <c r="O106">
        <v>-268694645</v>
      </c>
      <c r="P106">
        <v>193</v>
      </c>
      <c r="Q106" t="s">
        <v>255</v>
      </c>
    </row>
    <row r="107" spans="1:17" x14ac:dyDescent="0.3">
      <c r="A107" t="s">
        <v>17</v>
      </c>
      <c r="B107" t="str">
        <f>"600121"</f>
        <v>600121</v>
      </c>
      <c r="C107" t="s">
        <v>256</v>
      </c>
      <c r="D107" t="s">
        <v>257</v>
      </c>
      <c r="F107">
        <v>-240943501</v>
      </c>
      <c r="G107">
        <v>-182811993</v>
      </c>
      <c r="H107">
        <v>-86416435</v>
      </c>
      <c r="I107">
        <v>230140416</v>
      </c>
      <c r="J107">
        <v>376965959</v>
      </c>
      <c r="K107">
        <v>649487408</v>
      </c>
      <c r="L107">
        <v>-830068080</v>
      </c>
      <c r="M107">
        <v>-590178886</v>
      </c>
      <c r="N107">
        <v>-873011271</v>
      </c>
      <c r="O107">
        <v>-595539743</v>
      </c>
      <c r="P107">
        <v>180</v>
      </c>
      <c r="Q107" t="s">
        <v>258</v>
      </c>
    </row>
    <row r="108" spans="1:17" x14ac:dyDescent="0.3">
      <c r="A108" t="s">
        <v>17</v>
      </c>
      <c r="B108" t="str">
        <f>"600122"</f>
        <v>600122</v>
      </c>
      <c r="C108" t="s">
        <v>259</v>
      </c>
      <c r="D108" t="s">
        <v>120</v>
      </c>
      <c r="F108">
        <v>-44314101</v>
      </c>
      <c r="G108">
        <v>-44483350</v>
      </c>
      <c r="H108">
        <v>-1030996872</v>
      </c>
      <c r="I108">
        <v>-4344373964</v>
      </c>
      <c r="J108">
        <v>732447342</v>
      </c>
      <c r="K108">
        <v>54710067</v>
      </c>
      <c r="L108">
        <v>123841257</v>
      </c>
      <c r="M108">
        <v>129780433</v>
      </c>
      <c r="N108">
        <v>198043266</v>
      </c>
      <c r="O108">
        <v>-614101873</v>
      </c>
      <c r="P108">
        <v>96</v>
      </c>
      <c r="Q108" t="s">
        <v>260</v>
      </c>
    </row>
    <row r="109" spans="1:17" x14ac:dyDescent="0.3">
      <c r="A109" t="s">
        <v>17</v>
      </c>
      <c r="B109" t="str">
        <f>"600123"</f>
        <v>600123</v>
      </c>
      <c r="C109" t="s">
        <v>261</v>
      </c>
      <c r="D109" t="s">
        <v>257</v>
      </c>
      <c r="F109">
        <v>1020511344</v>
      </c>
      <c r="G109">
        <v>-273579168</v>
      </c>
      <c r="H109">
        <v>168915084</v>
      </c>
      <c r="I109">
        <v>307791154</v>
      </c>
      <c r="J109">
        <v>488390544</v>
      </c>
      <c r="K109">
        <v>-540729188</v>
      </c>
      <c r="L109">
        <v>-578011087</v>
      </c>
      <c r="M109">
        <v>-487878426</v>
      </c>
      <c r="N109">
        <v>-906294250</v>
      </c>
      <c r="O109">
        <v>-340692111</v>
      </c>
      <c r="P109">
        <v>623</v>
      </c>
      <c r="Q109" t="s">
        <v>262</v>
      </c>
    </row>
    <row r="110" spans="1:17" x14ac:dyDescent="0.3">
      <c r="A110" t="s">
        <v>17</v>
      </c>
      <c r="B110" t="str">
        <f>"600125"</f>
        <v>600125</v>
      </c>
      <c r="C110" t="s">
        <v>263</v>
      </c>
      <c r="D110" t="s">
        <v>22</v>
      </c>
      <c r="F110">
        <v>398537021</v>
      </c>
      <c r="G110">
        <v>312499001</v>
      </c>
      <c r="H110">
        <v>125980781</v>
      </c>
      <c r="I110">
        <v>538279311</v>
      </c>
      <c r="J110">
        <v>110864875</v>
      </c>
      <c r="K110">
        <v>52466292</v>
      </c>
      <c r="L110">
        <v>172183116</v>
      </c>
      <c r="M110">
        <v>44247217</v>
      </c>
      <c r="N110">
        <v>-185229939</v>
      </c>
      <c r="O110">
        <v>-186803512</v>
      </c>
      <c r="P110">
        <v>203</v>
      </c>
      <c r="Q110" t="s">
        <v>264</v>
      </c>
    </row>
    <row r="111" spans="1:17" x14ac:dyDescent="0.3">
      <c r="A111" t="s">
        <v>17</v>
      </c>
      <c r="B111" t="str">
        <f>"600126"</f>
        <v>600126</v>
      </c>
      <c r="C111" t="s">
        <v>265</v>
      </c>
      <c r="D111" t="s">
        <v>38</v>
      </c>
      <c r="F111">
        <v>1092818258</v>
      </c>
      <c r="G111">
        <v>2771722283</v>
      </c>
      <c r="H111">
        <v>901472193</v>
      </c>
      <c r="I111">
        <v>2895560606</v>
      </c>
      <c r="J111">
        <v>1566616523</v>
      </c>
      <c r="K111">
        <v>965896507</v>
      </c>
      <c r="L111">
        <v>309773683</v>
      </c>
      <c r="M111">
        <v>721769362</v>
      </c>
      <c r="N111">
        <v>-64542486</v>
      </c>
      <c r="O111">
        <v>316311961</v>
      </c>
      <c r="P111">
        <v>231</v>
      </c>
      <c r="Q111" t="s">
        <v>266</v>
      </c>
    </row>
    <row r="112" spans="1:17" x14ac:dyDescent="0.3">
      <c r="A112" t="s">
        <v>17</v>
      </c>
      <c r="B112" t="str">
        <f>"600127"</f>
        <v>600127</v>
      </c>
      <c r="C112" t="s">
        <v>267</v>
      </c>
      <c r="D112" t="s">
        <v>205</v>
      </c>
      <c r="F112">
        <v>229957182</v>
      </c>
      <c r="G112">
        <v>-48278045</v>
      </c>
      <c r="H112">
        <v>206274914</v>
      </c>
      <c r="I112">
        <v>33256754</v>
      </c>
      <c r="J112">
        <v>-6405802</v>
      </c>
      <c r="K112">
        <v>-44759464</v>
      </c>
      <c r="L112">
        <v>-104499139</v>
      </c>
      <c r="M112">
        <v>-17647953</v>
      </c>
      <c r="N112">
        <v>106188552</v>
      </c>
      <c r="O112">
        <v>18307964</v>
      </c>
      <c r="P112">
        <v>231</v>
      </c>
      <c r="Q112" t="s">
        <v>268</v>
      </c>
    </row>
    <row r="113" spans="1:17" x14ac:dyDescent="0.3">
      <c r="A113" t="s">
        <v>17</v>
      </c>
      <c r="B113" t="str">
        <f>"600128"</f>
        <v>600128</v>
      </c>
      <c r="C113" t="s">
        <v>269</v>
      </c>
      <c r="D113" t="s">
        <v>120</v>
      </c>
      <c r="F113">
        <v>-228721043</v>
      </c>
      <c r="G113">
        <v>-43618813</v>
      </c>
      <c r="H113">
        <v>-221256729</v>
      </c>
      <c r="I113">
        <v>-233759431</v>
      </c>
      <c r="J113">
        <v>-347010862</v>
      </c>
      <c r="K113">
        <v>34560074</v>
      </c>
      <c r="L113">
        <v>204573518</v>
      </c>
      <c r="M113">
        <v>-107056532</v>
      </c>
      <c r="N113">
        <v>-126311852</v>
      </c>
      <c r="O113">
        <v>58349346</v>
      </c>
      <c r="P113">
        <v>77</v>
      </c>
      <c r="Q113" t="s">
        <v>270</v>
      </c>
    </row>
    <row r="114" spans="1:17" x14ac:dyDescent="0.3">
      <c r="A114" t="s">
        <v>17</v>
      </c>
      <c r="B114" t="str">
        <f>"600129"</f>
        <v>600129</v>
      </c>
      <c r="C114" t="s">
        <v>271</v>
      </c>
      <c r="D114" t="s">
        <v>113</v>
      </c>
      <c r="F114">
        <v>-205232143</v>
      </c>
      <c r="G114">
        <v>-476159507</v>
      </c>
      <c r="H114">
        <v>-201597614</v>
      </c>
      <c r="I114">
        <v>-115961763</v>
      </c>
      <c r="J114">
        <v>-227398614</v>
      </c>
      <c r="K114">
        <v>-197852680</v>
      </c>
      <c r="L114">
        <v>-128394565</v>
      </c>
      <c r="M114">
        <v>-50695976</v>
      </c>
      <c r="N114">
        <v>13055221</v>
      </c>
      <c r="O114">
        <v>-67986348</v>
      </c>
      <c r="P114">
        <v>283</v>
      </c>
      <c r="Q114" t="s">
        <v>272</v>
      </c>
    </row>
    <row r="115" spans="1:17" x14ac:dyDescent="0.3">
      <c r="A115" t="s">
        <v>17</v>
      </c>
      <c r="B115" t="str">
        <f>"600130"</f>
        <v>600130</v>
      </c>
      <c r="C115" t="s">
        <v>273</v>
      </c>
      <c r="D115" t="s">
        <v>150</v>
      </c>
      <c r="F115">
        <v>51083065</v>
      </c>
      <c r="G115">
        <v>-35003503</v>
      </c>
      <c r="H115">
        <v>42240468</v>
      </c>
      <c r="I115">
        <v>123515638</v>
      </c>
      <c r="J115">
        <v>91676027</v>
      </c>
      <c r="K115">
        <v>-233418245</v>
      </c>
      <c r="L115">
        <v>54806729</v>
      </c>
      <c r="M115">
        <v>-94142111</v>
      </c>
      <c r="N115">
        <v>-8245541</v>
      </c>
      <c r="O115">
        <v>41009836</v>
      </c>
      <c r="P115">
        <v>93</v>
      </c>
      <c r="Q115" t="s">
        <v>274</v>
      </c>
    </row>
    <row r="116" spans="1:17" x14ac:dyDescent="0.3">
      <c r="A116" t="s">
        <v>17</v>
      </c>
      <c r="B116" t="str">
        <f>"600131"</f>
        <v>600131</v>
      </c>
      <c r="C116" t="s">
        <v>275</v>
      </c>
      <c r="D116" t="s">
        <v>212</v>
      </c>
      <c r="F116">
        <v>-998065627</v>
      </c>
      <c r="G116">
        <v>-585503632</v>
      </c>
      <c r="H116">
        <v>69683217</v>
      </c>
      <c r="I116">
        <v>153222575</v>
      </c>
      <c r="J116">
        <v>42697554</v>
      </c>
      <c r="K116">
        <v>131562079</v>
      </c>
      <c r="L116">
        <v>3081046</v>
      </c>
      <c r="M116">
        <v>126048012</v>
      </c>
      <c r="N116">
        <v>47325940</v>
      </c>
      <c r="O116">
        <v>76130536</v>
      </c>
      <c r="P116">
        <v>209</v>
      </c>
      <c r="Q116" t="s">
        <v>276</v>
      </c>
    </row>
    <row r="117" spans="1:17" x14ac:dyDescent="0.3">
      <c r="A117" t="s">
        <v>17</v>
      </c>
      <c r="B117" t="str">
        <f>"600132"</f>
        <v>600132</v>
      </c>
      <c r="C117" t="s">
        <v>277</v>
      </c>
      <c r="D117" t="s">
        <v>123</v>
      </c>
      <c r="F117">
        <v>3384567099</v>
      </c>
      <c r="G117">
        <v>1062265551</v>
      </c>
      <c r="H117">
        <v>784260576</v>
      </c>
      <c r="I117">
        <v>733607057</v>
      </c>
      <c r="J117">
        <v>665440017</v>
      </c>
      <c r="K117">
        <v>742208971</v>
      </c>
      <c r="L117">
        <v>602135346</v>
      </c>
      <c r="M117">
        <v>550756774</v>
      </c>
      <c r="N117">
        <v>565933217</v>
      </c>
      <c r="O117">
        <v>263643905</v>
      </c>
      <c r="P117">
        <v>2098</v>
      </c>
      <c r="Q117" t="s">
        <v>278</v>
      </c>
    </row>
    <row r="118" spans="1:17" x14ac:dyDescent="0.3">
      <c r="A118" t="s">
        <v>17</v>
      </c>
      <c r="B118" t="str">
        <f>"600133"</f>
        <v>600133</v>
      </c>
      <c r="C118" t="s">
        <v>279</v>
      </c>
      <c r="D118" t="s">
        <v>95</v>
      </c>
      <c r="F118">
        <v>-295036462</v>
      </c>
      <c r="G118">
        <v>896792494</v>
      </c>
      <c r="H118">
        <v>-1338214875</v>
      </c>
      <c r="I118">
        <v>-1102333289</v>
      </c>
      <c r="J118">
        <v>778643277</v>
      </c>
      <c r="K118">
        <v>53228851</v>
      </c>
      <c r="L118">
        <v>-325877200</v>
      </c>
      <c r="M118">
        <v>-1484669458</v>
      </c>
      <c r="N118">
        <v>-1330950783</v>
      </c>
      <c r="O118">
        <v>-142946442</v>
      </c>
      <c r="P118">
        <v>192</v>
      </c>
      <c r="Q118" t="s">
        <v>280</v>
      </c>
    </row>
    <row r="119" spans="1:17" x14ac:dyDescent="0.3">
      <c r="A119" t="s">
        <v>17</v>
      </c>
      <c r="B119" t="str">
        <f>"600135"</f>
        <v>600135</v>
      </c>
      <c r="C119" t="s">
        <v>281</v>
      </c>
      <c r="D119" t="s">
        <v>133</v>
      </c>
      <c r="F119">
        <v>-243550316</v>
      </c>
      <c r="G119">
        <v>-120155529</v>
      </c>
      <c r="H119">
        <v>-4774451</v>
      </c>
      <c r="I119">
        <v>-90358794</v>
      </c>
      <c r="J119">
        <v>-133568512</v>
      </c>
      <c r="K119">
        <v>-59143344</v>
      </c>
      <c r="L119">
        <v>-207635207</v>
      </c>
      <c r="M119">
        <v>-75724105</v>
      </c>
      <c r="N119">
        <v>52936275</v>
      </c>
      <c r="O119">
        <v>-39709681</v>
      </c>
      <c r="P119">
        <v>112</v>
      </c>
      <c r="Q119" t="s">
        <v>282</v>
      </c>
    </row>
    <row r="120" spans="1:17" x14ac:dyDescent="0.3">
      <c r="A120" t="s">
        <v>17</v>
      </c>
      <c r="B120" t="str">
        <f>"600136"</f>
        <v>600136</v>
      </c>
      <c r="C120" t="s">
        <v>283</v>
      </c>
      <c r="D120" t="s">
        <v>110</v>
      </c>
      <c r="F120">
        <v>148783928</v>
      </c>
      <c r="G120">
        <v>-35996970</v>
      </c>
      <c r="H120">
        <v>-245467390</v>
      </c>
      <c r="I120">
        <v>-313278629</v>
      </c>
      <c r="J120">
        <v>-623553961</v>
      </c>
      <c r="K120">
        <v>-172510931</v>
      </c>
      <c r="L120">
        <v>-89820868</v>
      </c>
      <c r="M120">
        <v>-7196769</v>
      </c>
      <c r="N120">
        <v>16746314</v>
      </c>
      <c r="O120">
        <v>11156351</v>
      </c>
      <c r="P120">
        <v>136</v>
      </c>
      <c r="Q120" t="s">
        <v>284</v>
      </c>
    </row>
    <row r="121" spans="1:17" x14ac:dyDescent="0.3">
      <c r="A121" t="s">
        <v>17</v>
      </c>
      <c r="B121" t="str">
        <f>"600137"</f>
        <v>600137</v>
      </c>
      <c r="C121" t="s">
        <v>285</v>
      </c>
      <c r="D121" t="s">
        <v>227</v>
      </c>
      <c r="F121">
        <v>-33238513</v>
      </c>
      <c r="G121">
        <v>-86016303</v>
      </c>
      <c r="H121">
        <v>-64501305</v>
      </c>
      <c r="I121">
        <v>-107512748</v>
      </c>
      <c r="J121">
        <v>-37524875</v>
      </c>
      <c r="K121">
        <v>275020</v>
      </c>
      <c r="L121">
        <v>-25246398</v>
      </c>
      <c r="M121">
        <v>12193680</v>
      </c>
      <c r="N121">
        <v>-57071625</v>
      </c>
      <c r="O121">
        <v>-96649715</v>
      </c>
      <c r="P121">
        <v>76</v>
      </c>
      <c r="Q121" t="s">
        <v>286</v>
      </c>
    </row>
    <row r="122" spans="1:17" x14ac:dyDescent="0.3">
      <c r="A122" t="s">
        <v>17</v>
      </c>
      <c r="B122" t="str">
        <f>"600138"</f>
        <v>600138</v>
      </c>
      <c r="C122" t="s">
        <v>287</v>
      </c>
      <c r="D122" t="s">
        <v>110</v>
      </c>
      <c r="F122">
        <v>230558291</v>
      </c>
      <c r="G122">
        <v>-115999636</v>
      </c>
      <c r="H122">
        <v>153782019</v>
      </c>
      <c r="I122">
        <v>-429753597</v>
      </c>
      <c r="J122">
        <v>-154778986</v>
      </c>
      <c r="K122">
        <v>-295270340</v>
      </c>
      <c r="L122">
        <v>-383912766</v>
      </c>
      <c r="M122">
        <v>-102489045</v>
      </c>
      <c r="N122">
        <v>-89762396</v>
      </c>
      <c r="O122">
        <v>-392826685</v>
      </c>
      <c r="P122">
        <v>486</v>
      </c>
      <c r="Q122" t="s">
        <v>288</v>
      </c>
    </row>
    <row r="123" spans="1:17" x14ac:dyDescent="0.3">
      <c r="A123" t="s">
        <v>17</v>
      </c>
      <c r="B123" t="str">
        <f>"600139"</f>
        <v>600139</v>
      </c>
      <c r="C123" t="s">
        <v>289</v>
      </c>
      <c r="D123" t="s">
        <v>75</v>
      </c>
      <c r="F123">
        <v>-82392319</v>
      </c>
      <c r="G123">
        <v>44241813</v>
      </c>
      <c r="H123">
        <v>-260062063</v>
      </c>
      <c r="I123">
        <v>90877257</v>
      </c>
      <c r="J123">
        <v>63757381</v>
      </c>
      <c r="K123">
        <v>-481624530</v>
      </c>
      <c r="L123">
        <v>165018461</v>
      </c>
      <c r="M123">
        <v>-36461531</v>
      </c>
      <c r="N123">
        <v>41337949</v>
      </c>
      <c r="O123">
        <v>235791769</v>
      </c>
      <c r="P123">
        <v>90</v>
      </c>
      <c r="Q123" t="s">
        <v>290</v>
      </c>
    </row>
    <row r="124" spans="1:17" x14ac:dyDescent="0.3">
      <c r="A124" t="s">
        <v>17</v>
      </c>
      <c r="B124" t="str">
        <f>"600141"</f>
        <v>600141</v>
      </c>
      <c r="C124" t="s">
        <v>291</v>
      </c>
      <c r="D124" t="s">
        <v>133</v>
      </c>
      <c r="F124">
        <v>1910877404</v>
      </c>
      <c r="G124">
        <v>292893698</v>
      </c>
      <c r="H124">
        <v>-127760710</v>
      </c>
      <c r="I124">
        <v>4661383</v>
      </c>
      <c r="J124">
        <v>66567870</v>
      </c>
      <c r="K124">
        <v>-456783169</v>
      </c>
      <c r="L124">
        <v>-518642742</v>
      </c>
      <c r="M124">
        <v>-545836027</v>
      </c>
      <c r="N124">
        <v>-1305563752</v>
      </c>
      <c r="O124">
        <v>-1826885930</v>
      </c>
      <c r="P124">
        <v>426</v>
      </c>
      <c r="Q124" t="s">
        <v>292</v>
      </c>
    </row>
    <row r="125" spans="1:17" x14ac:dyDescent="0.3">
      <c r="A125" t="s">
        <v>17</v>
      </c>
      <c r="B125" t="str">
        <f>"600143"</f>
        <v>600143</v>
      </c>
      <c r="C125" t="s">
        <v>293</v>
      </c>
      <c r="D125" t="s">
        <v>133</v>
      </c>
      <c r="F125">
        <v>-3412258388</v>
      </c>
      <c r="G125">
        <v>4142489800</v>
      </c>
      <c r="H125">
        <v>984254564</v>
      </c>
      <c r="I125">
        <v>-456271067</v>
      </c>
      <c r="J125">
        <v>-1704085599</v>
      </c>
      <c r="K125">
        <v>-217352924</v>
      </c>
      <c r="L125">
        <v>-304277639</v>
      </c>
      <c r="M125">
        <v>206247466</v>
      </c>
      <c r="N125">
        <v>-263848600</v>
      </c>
      <c r="O125">
        <v>-305001678</v>
      </c>
      <c r="P125">
        <v>1349</v>
      </c>
      <c r="Q125" t="s">
        <v>294</v>
      </c>
    </row>
    <row r="126" spans="1:17" x14ac:dyDescent="0.3">
      <c r="A126" t="s">
        <v>17</v>
      </c>
      <c r="B126" t="str">
        <f>"600145"</f>
        <v>600145</v>
      </c>
      <c r="C126" t="s">
        <v>295</v>
      </c>
      <c r="D126" t="s">
        <v>120</v>
      </c>
      <c r="F126">
        <v>-22162972</v>
      </c>
      <c r="G126">
        <v>-3106584</v>
      </c>
      <c r="H126">
        <v>2764578</v>
      </c>
      <c r="I126">
        <v>-800399</v>
      </c>
      <c r="J126">
        <v>-350294609</v>
      </c>
      <c r="K126">
        <v>-334395081</v>
      </c>
      <c r="L126">
        <v>-4853770</v>
      </c>
      <c r="M126">
        <v>1865751</v>
      </c>
      <c r="N126">
        <v>47036384</v>
      </c>
      <c r="O126">
        <v>-30004994</v>
      </c>
      <c r="P126">
        <v>46</v>
      </c>
      <c r="Q126" t="s">
        <v>296</v>
      </c>
    </row>
    <row r="127" spans="1:17" x14ac:dyDescent="0.3">
      <c r="A127" t="s">
        <v>17</v>
      </c>
      <c r="B127" t="str">
        <f>"600146"</f>
        <v>600146</v>
      </c>
      <c r="C127" t="s">
        <v>297</v>
      </c>
      <c r="D127" t="s">
        <v>227</v>
      </c>
      <c r="F127">
        <v>-646803</v>
      </c>
      <c r="G127">
        <v>11908610</v>
      </c>
      <c r="H127">
        <v>-181647763</v>
      </c>
      <c r="I127">
        <v>-406233614</v>
      </c>
      <c r="J127">
        <v>-102174605</v>
      </c>
      <c r="K127">
        <v>-10872791</v>
      </c>
      <c r="L127">
        <v>-25633995</v>
      </c>
      <c r="M127">
        <v>-19642233</v>
      </c>
      <c r="N127">
        <v>-33958564</v>
      </c>
      <c r="O127">
        <v>-25234106</v>
      </c>
      <c r="P127">
        <v>70</v>
      </c>
      <c r="Q127" t="s">
        <v>298</v>
      </c>
    </row>
    <row r="128" spans="1:17" x14ac:dyDescent="0.3">
      <c r="A128" t="s">
        <v>17</v>
      </c>
      <c r="B128" t="str">
        <f>"600148"</f>
        <v>600148</v>
      </c>
      <c r="C128" t="s">
        <v>299</v>
      </c>
      <c r="D128" t="s">
        <v>27</v>
      </c>
      <c r="F128">
        <v>-91159817</v>
      </c>
      <c r="G128">
        <v>-62552189</v>
      </c>
      <c r="H128">
        <v>14157163</v>
      </c>
      <c r="I128">
        <v>20046339</v>
      </c>
      <c r="J128">
        <v>-34296625</v>
      </c>
      <c r="K128">
        <v>19753253</v>
      </c>
      <c r="L128">
        <v>45143990</v>
      </c>
      <c r="M128">
        <v>40673621</v>
      </c>
      <c r="N128">
        <v>-16780243</v>
      </c>
      <c r="O128">
        <v>-11943949</v>
      </c>
      <c r="P128">
        <v>75</v>
      </c>
      <c r="Q128" t="s">
        <v>300</v>
      </c>
    </row>
    <row r="129" spans="1:17" x14ac:dyDescent="0.3">
      <c r="A129" t="s">
        <v>17</v>
      </c>
      <c r="B129" t="str">
        <f>"600149"</f>
        <v>600149</v>
      </c>
      <c r="C129" t="s">
        <v>301</v>
      </c>
      <c r="D129" t="s">
        <v>41</v>
      </c>
      <c r="F129">
        <v>-50372041</v>
      </c>
      <c r="G129">
        <v>-79780919</v>
      </c>
      <c r="H129">
        <v>-64004361</v>
      </c>
      <c r="I129">
        <v>-12721627</v>
      </c>
      <c r="J129">
        <v>-26398106</v>
      </c>
      <c r="K129">
        <v>19032205</v>
      </c>
      <c r="L129">
        <v>-11577087</v>
      </c>
      <c r="M129">
        <v>5759673</v>
      </c>
      <c r="N129">
        <v>-11819729</v>
      </c>
      <c r="O129">
        <v>-17874800</v>
      </c>
      <c r="P129">
        <v>44</v>
      </c>
      <c r="Q129" t="s">
        <v>302</v>
      </c>
    </row>
    <row r="130" spans="1:17" x14ac:dyDescent="0.3">
      <c r="A130" t="s">
        <v>17</v>
      </c>
      <c r="B130" t="str">
        <f>"600150"</f>
        <v>600150</v>
      </c>
      <c r="C130" t="s">
        <v>303</v>
      </c>
      <c r="D130" t="s">
        <v>92</v>
      </c>
      <c r="F130">
        <v>-2918929126</v>
      </c>
      <c r="G130">
        <v>-5949861478</v>
      </c>
      <c r="H130">
        <v>265864685</v>
      </c>
      <c r="I130">
        <v>447912818</v>
      </c>
      <c r="J130">
        <v>-65568946</v>
      </c>
      <c r="K130">
        <v>-3768895131</v>
      </c>
      <c r="L130">
        <v>-4831835887</v>
      </c>
      <c r="M130">
        <v>-89355986</v>
      </c>
      <c r="N130">
        <v>-3413320148</v>
      </c>
      <c r="O130">
        <v>-3275261710</v>
      </c>
      <c r="P130">
        <v>469</v>
      </c>
      <c r="Q130" t="s">
        <v>304</v>
      </c>
    </row>
    <row r="131" spans="1:17" x14ac:dyDescent="0.3">
      <c r="A131" t="s">
        <v>17</v>
      </c>
      <c r="B131" t="str">
        <f>"600151"</f>
        <v>600151</v>
      </c>
      <c r="C131" t="s">
        <v>305</v>
      </c>
      <c r="D131" t="s">
        <v>188</v>
      </c>
      <c r="F131">
        <v>-55708723</v>
      </c>
      <c r="G131">
        <v>-439797272</v>
      </c>
      <c r="H131">
        <v>-549654065</v>
      </c>
      <c r="I131">
        <v>-1360628495</v>
      </c>
      <c r="J131">
        <v>-1308726804</v>
      </c>
      <c r="K131">
        <v>-1228966719</v>
      </c>
      <c r="L131">
        <v>-1552049037</v>
      </c>
      <c r="M131">
        <v>-1476434942</v>
      </c>
      <c r="N131">
        <v>-581366826</v>
      </c>
      <c r="O131">
        <v>-1244202273</v>
      </c>
      <c r="P131">
        <v>165</v>
      </c>
      <c r="Q131" t="s">
        <v>306</v>
      </c>
    </row>
    <row r="132" spans="1:17" x14ac:dyDescent="0.3">
      <c r="A132" t="s">
        <v>17</v>
      </c>
      <c r="B132" t="str">
        <f>"600152"</f>
        <v>600152</v>
      </c>
      <c r="C132" t="s">
        <v>307</v>
      </c>
      <c r="D132" t="s">
        <v>188</v>
      </c>
      <c r="F132">
        <v>-424060392</v>
      </c>
      <c r="G132">
        <v>-114472308</v>
      </c>
      <c r="H132">
        <v>-162941281</v>
      </c>
      <c r="I132">
        <v>-81268795</v>
      </c>
      <c r="J132">
        <v>-45184834</v>
      </c>
      <c r="K132">
        <v>16516814</v>
      </c>
      <c r="L132">
        <v>-5400107</v>
      </c>
      <c r="M132">
        <v>21955666</v>
      </c>
      <c r="N132">
        <v>-124663840</v>
      </c>
      <c r="O132">
        <v>-208638003</v>
      </c>
      <c r="P132">
        <v>147</v>
      </c>
      <c r="Q132" t="s">
        <v>308</v>
      </c>
    </row>
    <row r="133" spans="1:17" x14ac:dyDescent="0.3">
      <c r="A133" t="s">
        <v>17</v>
      </c>
      <c r="B133" t="str">
        <f>"600153"</f>
        <v>600153</v>
      </c>
      <c r="C133" t="s">
        <v>309</v>
      </c>
      <c r="D133" t="s">
        <v>22</v>
      </c>
      <c r="F133">
        <v>-58062500614</v>
      </c>
      <c r="G133">
        <v>-13958476210</v>
      </c>
      <c r="H133">
        <v>-9630387021</v>
      </c>
      <c r="I133">
        <v>-13449668308</v>
      </c>
      <c r="J133">
        <v>-21024668613</v>
      </c>
      <c r="K133">
        <v>-6144576298</v>
      </c>
      <c r="L133">
        <v>3673618578</v>
      </c>
      <c r="M133">
        <v>-2788554551</v>
      </c>
      <c r="N133">
        <v>2296086739</v>
      </c>
      <c r="O133">
        <v>2307205513</v>
      </c>
      <c r="P133">
        <v>2155</v>
      </c>
      <c r="Q133" t="s">
        <v>310</v>
      </c>
    </row>
    <row r="134" spans="1:17" x14ac:dyDescent="0.3">
      <c r="A134" t="s">
        <v>17</v>
      </c>
      <c r="B134" t="str">
        <f>"600155"</f>
        <v>600155</v>
      </c>
      <c r="C134" t="s">
        <v>311</v>
      </c>
      <c r="D134" t="s">
        <v>75</v>
      </c>
      <c r="F134">
        <v>678667506</v>
      </c>
      <c r="G134">
        <v>1298060777</v>
      </c>
      <c r="H134">
        <v>415596801</v>
      </c>
      <c r="I134">
        <v>-719236205</v>
      </c>
      <c r="J134">
        <v>-2641525377</v>
      </c>
      <c r="K134">
        <v>-1203189492</v>
      </c>
      <c r="L134">
        <v>-18189314</v>
      </c>
      <c r="M134">
        <v>-124975987</v>
      </c>
      <c r="N134">
        <v>-59704753</v>
      </c>
      <c r="O134">
        <v>-52997823</v>
      </c>
      <c r="P134">
        <v>630</v>
      </c>
      <c r="Q134" t="s">
        <v>312</v>
      </c>
    </row>
    <row r="135" spans="1:17" x14ac:dyDescent="0.3">
      <c r="A135" t="s">
        <v>17</v>
      </c>
      <c r="B135" t="str">
        <f>"600156"</f>
        <v>600156</v>
      </c>
      <c r="C135" t="s">
        <v>313</v>
      </c>
      <c r="D135" t="s">
        <v>227</v>
      </c>
      <c r="F135">
        <v>-88675389</v>
      </c>
      <c r="G135">
        <v>-63408204</v>
      </c>
      <c r="H135">
        <v>-73284714</v>
      </c>
      <c r="I135">
        <v>36794509</v>
      </c>
      <c r="J135">
        <v>10557882</v>
      </c>
      <c r="K135">
        <v>54270047</v>
      </c>
      <c r="L135">
        <v>11948433</v>
      </c>
      <c r="M135">
        <v>-92967538</v>
      </c>
      <c r="N135">
        <v>-36102263</v>
      </c>
      <c r="O135">
        <v>9834328</v>
      </c>
      <c r="P135">
        <v>75</v>
      </c>
      <c r="Q135" t="s">
        <v>314</v>
      </c>
    </row>
    <row r="136" spans="1:17" x14ac:dyDescent="0.3">
      <c r="A136" t="s">
        <v>17</v>
      </c>
      <c r="B136" t="str">
        <f>"600157"</f>
        <v>600157</v>
      </c>
      <c r="C136" t="s">
        <v>315</v>
      </c>
      <c r="D136" t="s">
        <v>257</v>
      </c>
      <c r="F136">
        <v>3068329178</v>
      </c>
      <c r="G136">
        <v>2281093461</v>
      </c>
      <c r="H136">
        <v>2323329227</v>
      </c>
      <c r="I136">
        <v>1637206790</v>
      </c>
      <c r="J136">
        <v>324546337</v>
      </c>
      <c r="K136">
        <v>-36329711</v>
      </c>
      <c r="L136">
        <v>828401679</v>
      </c>
      <c r="M136">
        <v>754513371</v>
      </c>
      <c r="N136">
        <v>-413104905</v>
      </c>
      <c r="O136">
        <v>39612770</v>
      </c>
      <c r="P136">
        <v>226</v>
      </c>
      <c r="Q136" t="s">
        <v>316</v>
      </c>
    </row>
    <row r="137" spans="1:17" x14ac:dyDescent="0.3">
      <c r="A137" t="s">
        <v>17</v>
      </c>
      <c r="B137" t="str">
        <f>"600158"</f>
        <v>600158</v>
      </c>
      <c r="C137" t="s">
        <v>317</v>
      </c>
      <c r="D137" t="s">
        <v>110</v>
      </c>
      <c r="F137">
        <v>-496886249</v>
      </c>
      <c r="G137">
        <v>-6051598</v>
      </c>
      <c r="H137">
        <v>-129662831</v>
      </c>
      <c r="I137">
        <v>280044842</v>
      </c>
      <c r="J137">
        <v>173860452</v>
      </c>
      <c r="K137">
        <v>126517245</v>
      </c>
      <c r="L137">
        <v>61297070</v>
      </c>
      <c r="M137">
        <v>-307792444</v>
      </c>
      <c r="N137">
        <v>69660566</v>
      </c>
      <c r="O137">
        <v>-126017580</v>
      </c>
      <c r="P137">
        <v>166</v>
      </c>
      <c r="Q137" t="s">
        <v>318</v>
      </c>
    </row>
    <row r="138" spans="1:17" x14ac:dyDescent="0.3">
      <c r="A138" t="s">
        <v>17</v>
      </c>
      <c r="B138" t="str">
        <f>"600159"</f>
        <v>600159</v>
      </c>
      <c r="C138" t="s">
        <v>319</v>
      </c>
      <c r="D138" t="s">
        <v>30</v>
      </c>
      <c r="F138">
        <v>114627072</v>
      </c>
      <c r="G138">
        <v>221378754</v>
      </c>
      <c r="H138">
        <v>197496576</v>
      </c>
      <c r="I138">
        <v>-283945632</v>
      </c>
      <c r="J138">
        <v>-541175437</v>
      </c>
      <c r="K138">
        <v>1203892</v>
      </c>
      <c r="L138">
        <v>22590779</v>
      </c>
      <c r="M138">
        <v>274261745</v>
      </c>
      <c r="N138">
        <v>1095122186</v>
      </c>
      <c r="O138">
        <v>-416913105</v>
      </c>
      <c r="P138">
        <v>87</v>
      </c>
      <c r="Q138" t="s">
        <v>320</v>
      </c>
    </row>
    <row r="139" spans="1:17" x14ac:dyDescent="0.3">
      <c r="A139" t="s">
        <v>17</v>
      </c>
      <c r="B139" t="str">
        <f>"600160"</f>
        <v>600160</v>
      </c>
      <c r="C139" t="s">
        <v>321</v>
      </c>
      <c r="D139" t="s">
        <v>133</v>
      </c>
      <c r="F139">
        <v>-23214423</v>
      </c>
      <c r="G139">
        <v>-626974703</v>
      </c>
      <c r="H139">
        <v>318004418</v>
      </c>
      <c r="I139">
        <v>1802258617</v>
      </c>
      <c r="J139">
        <v>405946544</v>
      </c>
      <c r="K139">
        <v>-129853411</v>
      </c>
      <c r="L139">
        <v>81029585</v>
      </c>
      <c r="M139">
        <v>-476232343</v>
      </c>
      <c r="N139">
        <v>-94138810</v>
      </c>
      <c r="O139">
        <v>-504499155</v>
      </c>
      <c r="P139">
        <v>471</v>
      </c>
      <c r="Q139" t="s">
        <v>322</v>
      </c>
    </row>
    <row r="140" spans="1:17" x14ac:dyDescent="0.3">
      <c r="A140" t="s">
        <v>17</v>
      </c>
      <c r="B140" t="str">
        <f>"600161"</f>
        <v>600161</v>
      </c>
      <c r="C140" t="s">
        <v>323</v>
      </c>
      <c r="D140" t="s">
        <v>113</v>
      </c>
      <c r="F140">
        <v>172128576</v>
      </c>
      <c r="G140">
        <v>506801832</v>
      </c>
      <c r="H140">
        <v>333073859</v>
      </c>
      <c r="I140">
        <v>418188125</v>
      </c>
      <c r="J140">
        <v>-26820310</v>
      </c>
      <c r="K140">
        <v>-69844013</v>
      </c>
      <c r="L140">
        <v>100185938</v>
      </c>
      <c r="M140">
        <v>67741477</v>
      </c>
      <c r="N140">
        <v>-155683834</v>
      </c>
      <c r="O140">
        <v>-380755583</v>
      </c>
      <c r="P140">
        <v>1406</v>
      </c>
      <c r="Q140" t="s">
        <v>324</v>
      </c>
    </row>
    <row r="141" spans="1:17" x14ac:dyDescent="0.3">
      <c r="A141" t="s">
        <v>17</v>
      </c>
      <c r="B141" t="str">
        <f>"600162"</f>
        <v>600162</v>
      </c>
      <c r="C141" t="s">
        <v>325</v>
      </c>
      <c r="D141" t="s">
        <v>30</v>
      </c>
      <c r="F141">
        <v>-780545590</v>
      </c>
      <c r="G141">
        <v>414573031</v>
      </c>
      <c r="H141">
        <v>2863981179</v>
      </c>
      <c r="I141">
        <v>-1938022247</v>
      </c>
      <c r="J141">
        <v>490245860</v>
      </c>
      <c r="K141">
        <v>1753303698</v>
      </c>
      <c r="L141">
        <v>-339684583</v>
      </c>
      <c r="M141">
        <v>-277020206</v>
      </c>
      <c r="N141">
        <v>-195117786</v>
      </c>
      <c r="O141">
        <v>1396140990</v>
      </c>
      <c r="P141">
        <v>170</v>
      </c>
      <c r="Q141" t="s">
        <v>326</v>
      </c>
    </row>
    <row r="142" spans="1:17" x14ac:dyDescent="0.3">
      <c r="A142" t="s">
        <v>17</v>
      </c>
      <c r="B142" t="str">
        <f>"600163"</f>
        <v>600163</v>
      </c>
      <c r="C142" t="s">
        <v>327</v>
      </c>
      <c r="D142" t="s">
        <v>41</v>
      </c>
      <c r="F142">
        <v>194805220</v>
      </c>
      <c r="G142">
        <v>-247356663</v>
      </c>
      <c r="H142">
        <v>-78297709</v>
      </c>
      <c r="I142">
        <v>-93024862</v>
      </c>
      <c r="J142">
        <v>1834151</v>
      </c>
      <c r="K142">
        <v>2626907</v>
      </c>
      <c r="L142">
        <v>90729229</v>
      </c>
      <c r="M142">
        <v>-25989478</v>
      </c>
      <c r="N142">
        <v>-249435659</v>
      </c>
      <c r="O142">
        <v>-87414827</v>
      </c>
      <c r="P142">
        <v>219</v>
      </c>
      <c r="Q142" t="s">
        <v>328</v>
      </c>
    </row>
    <row r="143" spans="1:17" x14ac:dyDescent="0.3">
      <c r="A143" t="s">
        <v>17</v>
      </c>
      <c r="B143" t="str">
        <f>"600165"</f>
        <v>600165</v>
      </c>
      <c r="C143" t="s">
        <v>329</v>
      </c>
      <c r="D143" t="s">
        <v>133</v>
      </c>
      <c r="F143">
        <v>-230050682</v>
      </c>
      <c r="G143">
        <v>-603758464</v>
      </c>
      <c r="H143">
        <v>-213278985</v>
      </c>
      <c r="I143">
        <v>-207164009</v>
      </c>
      <c r="J143">
        <v>871601901</v>
      </c>
      <c r="K143">
        <v>124640767</v>
      </c>
      <c r="L143">
        <v>159834215</v>
      </c>
      <c r="M143">
        <v>35853506</v>
      </c>
      <c r="N143">
        <v>-28475721</v>
      </c>
      <c r="O143">
        <v>-112850952</v>
      </c>
      <c r="P143">
        <v>70</v>
      </c>
      <c r="Q143" t="s">
        <v>330</v>
      </c>
    </row>
    <row r="144" spans="1:17" x14ac:dyDescent="0.3">
      <c r="A144" t="s">
        <v>17</v>
      </c>
      <c r="B144" t="str">
        <f>"600166"</f>
        <v>600166</v>
      </c>
      <c r="C144" t="s">
        <v>331</v>
      </c>
      <c r="D144" t="s">
        <v>27</v>
      </c>
      <c r="F144">
        <v>605913056</v>
      </c>
      <c r="G144">
        <v>5209482010</v>
      </c>
      <c r="H144">
        <v>1653693639</v>
      </c>
      <c r="I144">
        <v>-4705717383</v>
      </c>
      <c r="J144">
        <v>-7733310241</v>
      </c>
      <c r="K144">
        <v>-2347071601</v>
      </c>
      <c r="L144">
        <v>-1089052309</v>
      </c>
      <c r="M144">
        <v>-1815726112</v>
      </c>
      <c r="N144">
        <v>471714701</v>
      </c>
      <c r="O144">
        <v>-2016109568</v>
      </c>
      <c r="P144">
        <v>439</v>
      </c>
      <c r="Q144" t="s">
        <v>332</v>
      </c>
    </row>
    <row r="145" spans="1:17" x14ac:dyDescent="0.3">
      <c r="A145" t="s">
        <v>17</v>
      </c>
      <c r="B145" t="str">
        <f>"600167"</f>
        <v>600167</v>
      </c>
      <c r="C145" t="s">
        <v>333</v>
      </c>
      <c r="D145" t="s">
        <v>41</v>
      </c>
      <c r="F145">
        <v>-549184989</v>
      </c>
      <c r="G145">
        <v>-1262619043</v>
      </c>
      <c r="H145">
        <v>-599966444</v>
      </c>
      <c r="I145">
        <v>-876972254</v>
      </c>
      <c r="J145">
        <v>-381475404</v>
      </c>
      <c r="K145">
        <v>-349144377</v>
      </c>
      <c r="L145">
        <v>-1019191960</v>
      </c>
      <c r="M145">
        <v>-110921655</v>
      </c>
      <c r="N145">
        <v>15452637</v>
      </c>
      <c r="O145">
        <v>-189454354</v>
      </c>
      <c r="P145">
        <v>39748</v>
      </c>
      <c r="Q145" t="s">
        <v>334</v>
      </c>
    </row>
    <row r="146" spans="1:17" x14ac:dyDescent="0.3">
      <c r="A146" t="s">
        <v>17</v>
      </c>
      <c r="B146" t="str">
        <f>"600168"</f>
        <v>600168</v>
      </c>
      <c r="C146" t="s">
        <v>335</v>
      </c>
      <c r="D146" t="s">
        <v>33</v>
      </c>
      <c r="F146">
        <v>-1056508274</v>
      </c>
      <c r="G146">
        <v>-1143016533</v>
      </c>
      <c r="H146">
        <v>-920575842</v>
      </c>
      <c r="I146">
        <v>-656918143</v>
      </c>
      <c r="J146">
        <v>-676653973</v>
      </c>
      <c r="K146">
        <v>-148784163</v>
      </c>
      <c r="L146">
        <v>-90889414</v>
      </c>
      <c r="M146">
        <v>20676140</v>
      </c>
      <c r="N146">
        <v>272734676</v>
      </c>
      <c r="O146">
        <v>72584905</v>
      </c>
      <c r="P146">
        <v>168</v>
      </c>
      <c r="Q146" t="s">
        <v>336</v>
      </c>
    </row>
    <row r="147" spans="1:17" x14ac:dyDescent="0.3">
      <c r="A147" t="s">
        <v>17</v>
      </c>
      <c r="B147" t="str">
        <f>"600169"</f>
        <v>600169</v>
      </c>
      <c r="C147" t="s">
        <v>337</v>
      </c>
      <c r="D147" t="s">
        <v>78</v>
      </c>
      <c r="F147">
        <v>-156140801</v>
      </c>
      <c r="G147">
        <v>-236174622</v>
      </c>
      <c r="H147">
        <v>-38221900</v>
      </c>
      <c r="I147">
        <v>-474738131</v>
      </c>
      <c r="J147">
        <v>387655293</v>
      </c>
      <c r="K147">
        <v>-1594146836</v>
      </c>
      <c r="L147">
        <v>-870028796</v>
      </c>
      <c r="M147">
        <v>-1738521111</v>
      </c>
      <c r="N147">
        <v>-1819659188</v>
      </c>
      <c r="O147">
        <v>-1771314006</v>
      </c>
      <c r="P147">
        <v>133</v>
      </c>
      <c r="Q147" t="s">
        <v>338</v>
      </c>
    </row>
    <row r="148" spans="1:17" x14ac:dyDescent="0.3">
      <c r="A148" t="s">
        <v>17</v>
      </c>
      <c r="B148" t="str">
        <f>"600170"</f>
        <v>600170</v>
      </c>
      <c r="C148" t="s">
        <v>339</v>
      </c>
      <c r="D148" t="s">
        <v>95</v>
      </c>
      <c r="F148">
        <v>-14370000037</v>
      </c>
      <c r="G148">
        <v>-19773022787</v>
      </c>
      <c r="H148">
        <v>-13524209028</v>
      </c>
      <c r="I148">
        <v>-12917047021</v>
      </c>
      <c r="J148">
        <v>-11021882427</v>
      </c>
      <c r="K148">
        <v>-13590126906</v>
      </c>
      <c r="L148">
        <v>-4330387588</v>
      </c>
      <c r="M148">
        <v>-4415040905</v>
      </c>
      <c r="N148">
        <v>-3121743591</v>
      </c>
      <c r="O148">
        <v>-1894387855</v>
      </c>
      <c r="P148">
        <v>698</v>
      </c>
      <c r="Q148" t="s">
        <v>340</v>
      </c>
    </row>
    <row r="149" spans="1:17" x14ac:dyDescent="0.3">
      <c r="A149" t="s">
        <v>17</v>
      </c>
      <c r="B149" t="str">
        <f>"600171"</f>
        <v>600171</v>
      </c>
      <c r="C149" t="s">
        <v>341</v>
      </c>
      <c r="D149" t="s">
        <v>150</v>
      </c>
      <c r="F149">
        <v>333140988</v>
      </c>
      <c r="G149">
        <v>38210964</v>
      </c>
      <c r="H149">
        <v>46453210</v>
      </c>
      <c r="I149">
        <v>97716468</v>
      </c>
      <c r="J149">
        <v>4338128</v>
      </c>
      <c r="K149">
        <v>35051191</v>
      </c>
      <c r="L149">
        <v>12115321</v>
      </c>
      <c r="M149">
        <v>-10049049</v>
      </c>
      <c r="N149">
        <v>-47781208</v>
      </c>
      <c r="O149">
        <v>-23686054</v>
      </c>
      <c r="P149">
        <v>574</v>
      </c>
      <c r="Q149" t="s">
        <v>342</v>
      </c>
    </row>
    <row r="150" spans="1:17" x14ac:dyDescent="0.3">
      <c r="A150" t="s">
        <v>17</v>
      </c>
      <c r="B150" t="str">
        <f>"600172"</f>
        <v>600172</v>
      </c>
      <c r="C150" t="s">
        <v>343</v>
      </c>
      <c r="D150" t="s">
        <v>78</v>
      </c>
      <c r="F150">
        <v>337313411</v>
      </c>
      <c r="G150">
        <v>457540746</v>
      </c>
      <c r="H150">
        <v>-92491392</v>
      </c>
      <c r="I150">
        <v>-734040016</v>
      </c>
      <c r="J150">
        <v>-767389656</v>
      </c>
      <c r="K150">
        <v>-548965396</v>
      </c>
      <c r="L150">
        <v>-540128092</v>
      </c>
      <c r="M150">
        <v>20966081</v>
      </c>
      <c r="N150">
        <v>-90655472</v>
      </c>
      <c r="O150">
        <v>-134557141</v>
      </c>
      <c r="P150">
        <v>325</v>
      </c>
      <c r="Q150" t="s">
        <v>344</v>
      </c>
    </row>
    <row r="151" spans="1:17" x14ac:dyDescent="0.3">
      <c r="A151" t="s">
        <v>17</v>
      </c>
      <c r="B151" t="str">
        <f>"600173"</f>
        <v>600173</v>
      </c>
      <c r="C151" t="s">
        <v>345</v>
      </c>
      <c r="D151" t="s">
        <v>30</v>
      </c>
      <c r="F151">
        <v>228221905</v>
      </c>
      <c r="G151">
        <v>175984140</v>
      </c>
      <c r="H151">
        <v>1786794804</v>
      </c>
      <c r="I151">
        <v>48520877</v>
      </c>
      <c r="J151">
        <v>1020486639</v>
      </c>
      <c r="K151">
        <v>867751757</v>
      </c>
      <c r="L151">
        <v>281233129</v>
      </c>
      <c r="M151">
        <v>293654184</v>
      </c>
      <c r="N151">
        <v>-62302671</v>
      </c>
      <c r="O151">
        <v>-91742632</v>
      </c>
      <c r="P151">
        <v>302</v>
      </c>
      <c r="Q151" t="s">
        <v>346</v>
      </c>
    </row>
    <row r="152" spans="1:17" x14ac:dyDescent="0.3">
      <c r="A152" t="s">
        <v>17</v>
      </c>
      <c r="B152" t="str">
        <f>"600175"</f>
        <v>600175</v>
      </c>
      <c r="C152" t="s">
        <v>347</v>
      </c>
      <c r="H152">
        <v>-477556760</v>
      </c>
      <c r="I152">
        <v>-221371578</v>
      </c>
      <c r="J152">
        <v>202723454</v>
      </c>
      <c r="K152">
        <v>-516668381</v>
      </c>
      <c r="L152">
        <v>-1342432290</v>
      </c>
      <c r="M152">
        <v>-1828829966</v>
      </c>
      <c r="N152">
        <v>-122912262</v>
      </c>
      <c r="O152">
        <v>-111815783</v>
      </c>
      <c r="P152">
        <v>58</v>
      </c>
      <c r="Q152" t="s">
        <v>348</v>
      </c>
    </row>
    <row r="153" spans="1:17" x14ac:dyDescent="0.3">
      <c r="A153" t="s">
        <v>17</v>
      </c>
      <c r="B153" t="str">
        <f>"600176"</f>
        <v>600176</v>
      </c>
      <c r="C153" t="s">
        <v>349</v>
      </c>
      <c r="D153" t="s">
        <v>350</v>
      </c>
      <c r="F153">
        <v>1927017145</v>
      </c>
      <c r="G153">
        <v>-256686566</v>
      </c>
      <c r="H153">
        <v>-1649282510</v>
      </c>
      <c r="I153">
        <v>-754229777</v>
      </c>
      <c r="J153">
        <v>1355408550</v>
      </c>
      <c r="K153">
        <v>1490763098</v>
      </c>
      <c r="L153">
        <v>578331612</v>
      </c>
      <c r="M153">
        <v>-191855631</v>
      </c>
      <c r="N153">
        <v>-355605141</v>
      </c>
      <c r="O153">
        <v>-37415906</v>
      </c>
      <c r="P153">
        <v>2780</v>
      </c>
      <c r="Q153" t="s">
        <v>351</v>
      </c>
    </row>
    <row r="154" spans="1:17" x14ac:dyDescent="0.3">
      <c r="A154" t="s">
        <v>17</v>
      </c>
      <c r="B154" t="str">
        <f>"600177"</f>
        <v>600177</v>
      </c>
      <c r="C154" t="s">
        <v>352</v>
      </c>
      <c r="D154" t="s">
        <v>227</v>
      </c>
      <c r="F154">
        <v>800885737</v>
      </c>
      <c r="G154">
        <v>1786253869</v>
      </c>
      <c r="H154">
        <v>1351392660</v>
      </c>
      <c r="I154">
        <v>2285909723</v>
      </c>
      <c r="J154">
        <v>1884332939</v>
      </c>
      <c r="K154">
        <v>-1817949347</v>
      </c>
      <c r="L154">
        <v>2559880028</v>
      </c>
      <c r="M154">
        <v>1425705941</v>
      </c>
      <c r="N154">
        <v>3947232311</v>
      </c>
      <c r="O154">
        <v>3233015720</v>
      </c>
      <c r="P154">
        <v>1574</v>
      </c>
      <c r="Q154" t="s">
        <v>353</v>
      </c>
    </row>
    <row r="155" spans="1:17" x14ac:dyDescent="0.3">
      <c r="A155" t="s">
        <v>17</v>
      </c>
      <c r="B155" t="str">
        <f>"600178"</f>
        <v>600178</v>
      </c>
      <c r="C155" t="s">
        <v>354</v>
      </c>
      <c r="D155" t="s">
        <v>27</v>
      </c>
      <c r="F155">
        <v>236799434</v>
      </c>
      <c r="G155">
        <v>17120632</v>
      </c>
      <c r="H155">
        <v>-34307366</v>
      </c>
      <c r="I155">
        <v>124654570</v>
      </c>
      <c r="J155">
        <v>-55177065</v>
      </c>
      <c r="K155">
        <v>-174488322</v>
      </c>
      <c r="L155">
        <v>96930229</v>
      </c>
      <c r="M155">
        <v>-94614157</v>
      </c>
      <c r="N155">
        <v>-128869323</v>
      </c>
      <c r="O155">
        <v>-208061327</v>
      </c>
      <c r="P155">
        <v>119</v>
      </c>
      <c r="Q155" t="s">
        <v>355</v>
      </c>
    </row>
    <row r="156" spans="1:17" x14ac:dyDescent="0.3">
      <c r="A156" t="s">
        <v>17</v>
      </c>
      <c r="B156" t="str">
        <f>"600179"</f>
        <v>600179</v>
      </c>
      <c r="C156" t="s">
        <v>356</v>
      </c>
      <c r="D156" t="s">
        <v>22</v>
      </c>
      <c r="F156">
        <v>1315470632</v>
      </c>
      <c r="G156">
        <v>-7889983</v>
      </c>
      <c r="H156">
        <v>-222817165</v>
      </c>
      <c r="I156">
        <v>-570821243</v>
      </c>
      <c r="J156">
        <v>-122966357</v>
      </c>
      <c r="K156">
        <v>549106374</v>
      </c>
      <c r="L156">
        <v>88774552</v>
      </c>
      <c r="M156">
        <v>155064827</v>
      </c>
      <c r="N156">
        <v>-336046109</v>
      </c>
      <c r="O156">
        <v>37316684</v>
      </c>
      <c r="P156">
        <v>128</v>
      </c>
      <c r="Q156" t="s">
        <v>357</v>
      </c>
    </row>
    <row r="157" spans="1:17" x14ac:dyDescent="0.3">
      <c r="A157" t="s">
        <v>17</v>
      </c>
      <c r="B157" t="str">
        <f>"600180"</f>
        <v>600180</v>
      </c>
      <c r="C157" t="s">
        <v>358</v>
      </c>
      <c r="D157" t="s">
        <v>22</v>
      </c>
      <c r="F157">
        <v>93209266</v>
      </c>
      <c r="G157">
        <v>3435731428</v>
      </c>
      <c r="H157">
        <v>5247420546</v>
      </c>
      <c r="I157">
        <v>3037183906</v>
      </c>
      <c r="J157">
        <v>-2363721546</v>
      </c>
      <c r="K157">
        <v>-795880441</v>
      </c>
      <c r="L157">
        <v>-710360013</v>
      </c>
      <c r="M157">
        <v>676823505</v>
      </c>
      <c r="N157">
        <v>-999913580</v>
      </c>
      <c r="O157">
        <v>415661279</v>
      </c>
      <c r="P157">
        <v>151</v>
      </c>
      <c r="Q157" t="s">
        <v>359</v>
      </c>
    </row>
    <row r="158" spans="1:17" x14ac:dyDescent="0.3">
      <c r="A158" t="s">
        <v>17</v>
      </c>
      <c r="B158" t="str">
        <f>"600182"</f>
        <v>600182</v>
      </c>
      <c r="C158" t="s">
        <v>360</v>
      </c>
      <c r="D158" t="s">
        <v>27</v>
      </c>
      <c r="F158">
        <v>82038541</v>
      </c>
      <c r="G158">
        <v>80292826</v>
      </c>
      <c r="H158">
        <v>-9414519</v>
      </c>
      <c r="I158">
        <v>11792942</v>
      </c>
      <c r="J158">
        <v>-336428569</v>
      </c>
      <c r="K158">
        <v>560980568</v>
      </c>
      <c r="L158">
        <v>209378065</v>
      </c>
      <c r="M158">
        <v>940811970</v>
      </c>
      <c r="N158">
        <v>347118151</v>
      </c>
      <c r="O158">
        <v>-94102045</v>
      </c>
      <c r="P158">
        <v>77</v>
      </c>
      <c r="Q158" t="s">
        <v>361</v>
      </c>
    </row>
    <row r="159" spans="1:17" x14ac:dyDescent="0.3">
      <c r="A159" t="s">
        <v>17</v>
      </c>
      <c r="B159" t="str">
        <f>"600183"</f>
        <v>600183</v>
      </c>
      <c r="C159" t="s">
        <v>362</v>
      </c>
      <c r="D159" t="s">
        <v>150</v>
      </c>
      <c r="F159">
        <v>-40613926</v>
      </c>
      <c r="G159">
        <v>-255381131</v>
      </c>
      <c r="H159">
        <v>243048782</v>
      </c>
      <c r="I159">
        <v>-12760600</v>
      </c>
      <c r="J159">
        <v>-54535578</v>
      </c>
      <c r="K159">
        <v>168014604</v>
      </c>
      <c r="L159">
        <v>187764157</v>
      </c>
      <c r="M159">
        <v>-441767823</v>
      </c>
      <c r="N159">
        <v>160899372</v>
      </c>
      <c r="O159">
        <v>85688979</v>
      </c>
      <c r="P159">
        <v>2339</v>
      </c>
      <c r="Q159" t="s">
        <v>363</v>
      </c>
    </row>
    <row r="160" spans="1:17" x14ac:dyDescent="0.3">
      <c r="A160" t="s">
        <v>17</v>
      </c>
      <c r="B160" t="str">
        <f>"600184"</f>
        <v>600184</v>
      </c>
      <c r="C160" t="s">
        <v>364</v>
      </c>
      <c r="D160" t="s">
        <v>92</v>
      </c>
      <c r="F160">
        <v>-685285125</v>
      </c>
      <c r="G160">
        <v>-677026254</v>
      </c>
      <c r="H160">
        <v>-342184579</v>
      </c>
      <c r="I160">
        <v>-459730980</v>
      </c>
      <c r="J160">
        <v>-721361962</v>
      </c>
      <c r="K160">
        <v>-1065319388</v>
      </c>
      <c r="L160">
        <v>-638647909</v>
      </c>
      <c r="M160">
        <v>-469659099</v>
      </c>
      <c r="N160">
        <v>-489109971</v>
      </c>
      <c r="O160">
        <v>112238447</v>
      </c>
      <c r="P160">
        <v>143</v>
      </c>
      <c r="Q160" t="s">
        <v>365</v>
      </c>
    </row>
    <row r="161" spans="1:17" x14ac:dyDescent="0.3">
      <c r="A161" t="s">
        <v>17</v>
      </c>
      <c r="B161" t="str">
        <f>"600185"</f>
        <v>600185</v>
      </c>
      <c r="C161" t="s">
        <v>366</v>
      </c>
      <c r="D161" t="s">
        <v>30</v>
      </c>
      <c r="F161">
        <v>2626604529</v>
      </c>
      <c r="G161">
        <v>1713539128</v>
      </c>
      <c r="H161">
        <v>799116663</v>
      </c>
      <c r="I161">
        <v>-1709058078</v>
      </c>
      <c r="J161">
        <v>-1869736680</v>
      </c>
      <c r="K161">
        <v>-714838135</v>
      </c>
      <c r="L161">
        <v>-2344873136</v>
      </c>
      <c r="M161">
        <v>-567258310</v>
      </c>
      <c r="N161">
        <v>-182959577</v>
      </c>
      <c r="O161">
        <v>-1564921151</v>
      </c>
      <c r="P161">
        <v>321</v>
      </c>
      <c r="Q161" t="s">
        <v>367</v>
      </c>
    </row>
    <row r="162" spans="1:17" x14ac:dyDescent="0.3">
      <c r="A162" t="s">
        <v>17</v>
      </c>
      <c r="B162" t="str">
        <f>"600186"</f>
        <v>600186</v>
      </c>
      <c r="C162" t="s">
        <v>368</v>
      </c>
      <c r="D162" t="s">
        <v>123</v>
      </c>
      <c r="F162">
        <v>28028414</v>
      </c>
      <c r="G162">
        <v>-800264242</v>
      </c>
      <c r="H162">
        <v>-81603050</v>
      </c>
      <c r="I162">
        <v>-6430060</v>
      </c>
      <c r="J162">
        <v>6668011</v>
      </c>
      <c r="K162">
        <v>14629770</v>
      </c>
      <c r="L162">
        <v>-6999997</v>
      </c>
      <c r="M162">
        <v>1795388</v>
      </c>
      <c r="N162">
        <v>-32458874</v>
      </c>
      <c r="O162">
        <v>22829637</v>
      </c>
      <c r="P162">
        <v>182</v>
      </c>
      <c r="Q162" t="s">
        <v>369</v>
      </c>
    </row>
    <row r="163" spans="1:17" x14ac:dyDescent="0.3">
      <c r="A163" t="s">
        <v>17</v>
      </c>
      <c r="B163" t="str">
        <f>"600187"</f>
        <v>600187</v>
      </c>
      <c r="C163" t="s">
        <v>370</v>
      </c>
      <c r="D163" t="s">
        <v>33</v>
      </c>
      <c r="F163">
        <v>91479605</v>
      </c>
      <c r="G163">
        <v>-321226903</v>
      </c>
      <c r="H163">
        <v>-251822350</v>
      </c>
      <c r="I163">
        <v>-42285232</v>
      </c>
      <c r="J163">
        <v>-135362465</v>
      </c>
      <c r="K163">
        <v>37712913</v>
      </c>
      <c r="L163">
        <v>-290769697</v>
      </c>
      <c r="M163">
        <v>-262893764</v>
      </c>
      <c r="N163">
        <v>-132697399</v>
      </c>
      <c r="O163">
        <v>-111224516</v>
      </c>
      <c r="P163">
        <v>116</v>
      </c>
      <c r="Q163" t="s">
        <v>371</v>
      </c>
    </row>
    <row r="164" spans="1:17" x14ac:dyDescent="0.3">
      <c r="A164" t="s">
        <v>17</v>
      </c>
      <c r="B164" t="str">
        <f>"600188"</f>
        <v>600188</v>
      </c>
      <c r="C164" t="s">
        <v>372</v>
      </c>
      <c r="D164" t="s">
        <v>257</v>
      </c>
      <c r="F164">
        <v>11018567000</v>
      </c>
      <c r="G164">
        <v>-1486717000</v>
      </c>
      <c r="H164">
        <v>7764492000</v>
      </c>
      <c r="I164">
        <v>10538873000</v>
      </c>
      <c r="J164">
        <v>3988109000</v>
      </c>
      <c r="K164">
        <v>-2761130000</v>
      </c>
      <c r="L164">
        <v>-3700073000</v>
      </c>
      <c r="M164">
        <v>-135480000</v>
      </c>
      <c r="N164">
        <v>-5419959000</v>
      </c>
      <c r="O164">
        <v>2310424116</v>
      </c>
      <c r="P164">
        <v>1941</v>
      </c>
      <c r="Q164" t="s">
        <v>373</v>
      </c>
    </row>
    <row r="165" spans="1:17" x14ac:dyDescent="0.3">
      <c r="A165" t="s">
        <v>17</v>
      </c>
      <c r="B165" t="str">
        <f>"600189"</f>
        <v>600189</v>
      </c>
      <c r="C165" t="s">
        <v>374</v>
      </c>
      <c r="D165" t="s">
        <v>123</v>
      </c>
      <c r="F165">
        <v>112369592</v>
      </c>
      <c r="G165">
        <v>241064452</v>
      </c>
      <c r="H165">
        <v>103803844</v>
      </c>
      <c r="I165">
        <v>184049439</v>
      </c>
      <c r="J165">
        <v>-128589060</v>
      </c>
      <c r="K165">
        <v>-387394686</v>
      </c>
      <c r="L165">
        <v>8102474</v>
      </c>
      <c r="M165">
        <v>-222440658</v>
      </c>
      <c r="N165">
        <v>-250177332</v>
      </c>
      <c r="O165">
        <v>-370695778</v>
      </c>
      <c r="P165">
        <v>177</v>
      </c>
      <c r="Q165" t="s">
        <v>375</v>
      </c>
    </row>
    <row r="166" spans="1:17" x14ac:dyDescent="0.3">
      <c r="A166" t="s">
        <v>17</v>
      </c>
      <c r="B166" t="str">
        <f>"600190"</f>
        <v>600190</v>
      </c>
      <c r="C166" t="s">
        <v>376</v>
      </c>
      <c r="D166" t="s">
        <v>22</v>
      </c>
      <c r="F166">
        <v>560518164</v>
      </c>
      <c r="G166">
        <v>352668921</v>
      </c>
      <c r="H166">
        <v>206491722</v>
      </c>
      <c r="I166">
        <v>185118910</v>
      </c>
      <c r="J166">
        <v>246669028</v>
      </c>
      <c r="K166">
        <v>186834723</v>
      </c>
      <c r="L166">
        <v>-386506928</v>
      </c>
      <c r="M166">
        <v>-229933573</v>
      </c>
      <c r="N166">
        <v>-281074090</v>
      </c>
      <c r="O166">
        <v>-778647574</v>
      </c>
      <c r="P166">
        <v>90</v>
      </c>
      <c r="Q166" t="s">
        <v>377</v>
      </c>
    </row>
    <row r="167" spans="1:17" x14ac:dyDescent="0.3">
      <c r="A167" t="s">
        <v>17</v>
      </c>
      <c r="B167" t="str">
        <f>"600191"</f>
        <v>600191</v>
      </c>
      <c r="C167" t="s">
        <v>378</v>
      </c>
      <c r="D167" t="s">
        <v>205</v>
      </c>
      <c r="F167">
        <v>-14962057</v>
      </c>
      <c r="G167">
        <v>-16930994</v>
      </c>
      <c r="H167">
        <v>-1927484</v>
      </c>
      <c r="I167">
        <v>-15763874</v>
      </c>
      <c r="J167">
        <v>-19070955</v>
      </c>
      <c r="K167">
        <v>-16767908</v>
      </c>
      <c r="L167">
        <v>-56044519</v>
      </c>
      <c r="M167">
        <v>-30170752</v>
      </c>
      <c r="N167">
        <v>-63575369</v>
      </c>
      <c r="O167">
        <v>-204114946</v>
      </c>
      <c r="P167">
        <v>121</v>
      </c>
      <c r="Q167" t="s">
        <v>379</v>
      </c>
    </row>
    <row r="168" spans="1:17" x14ac:dyDescent="0.3">
      <c r="A168" t="s">
        <v>17</v>
      </c>
      <c r="B168" t="str">
        <f>"600192"</f>
        <v>600192</v>
      </c>
      <c r="C168" t="s">
        <v>380</v>
      </c>
      <c r="D168" t="s">
        <v>188</v>
      </c>
      <c r="F168">
        <v>85999732</v>
      </c>
      <c r="G168">
        <v>-292130811</v>
      </c>
      <c r="H168">
        <v>-44012661</v>
      </c>
      <c r="I168">
        <v>-53124690</v>
      </c>
      <c r="J168">
        <v>-38128280</v>
      </c>
      <c r="K168">
        <v>-132467381</v>
      </c>
      <c r="L168">
        <v>-104199605</v>
      </c>
      <c r="M168">
        <v>-36237419</v>
      </c>
      <c r="N168">
        <v>-103675053</v>
      </c>
      <c r="O168">
        <v>-20980027</v>
      </c>
      <c r="P168">
        <v>76</v>
      </c>
      <c r="Q168" t="s">
        <v>381</v>
      </c>
    </row>
    <row r="169" spans="1:17" x14ac:dyDescent="0.3">
      <c r="A169" t="s">
        <v>17</v>
      </c>
      <c r="B169" t="str">
        <f>"600193"</f>
        <v>600193</v>
      </c>
      <c r="C169" t="s">
        <v>382</v>
      </c>
      <c r="D169" t="s">
        <v>95</v>
      </c>
      <c r="F169">
        <v>-8034692</v>
      </c>
      <c r="G169">
        <v>-62367747</v>
      </c>
      <c r="H169">
        <v>-20023451</v>
      </c>
      <c r="I169">
        <v>-69392140</v>
      </c>
      <c r="J169">
        <v>-1944754</v>
      </c>
      <c r="K169">
        <v>52660148</v>
      </c>
      <c r="L169">
        <v>-92183878</v>
      </c>
      <c r="M169">
        <v>8174966</v>
      </c>
      <c r="N169">
        <v>-11404061</v>
      </c>
      <c r="O169">
        <v>-935540</v>
      </c>
      <c r="P169">
        <v>57</v>
      </c>
      <c r="Q169" t="s">
        <v>383</v>
      </c>
    </row>
    <row r="170" spans="1:17" x14ac:dyDescent="0.3">
      <c r="A170" t="s">
        <v>17</v>
      </c>
      <c r="B170" t="str">
        <f>"600195"</f>
        <v>600195</v>
      </c>
      <c r="C170" t="s">
        <v>384</v>
      </c>
      <c r="D170" t="s">
        <v>205</v>
      </c>
      <c r="F170">
        <v>-297367996</v>
      </c>
      <c r="G170">
        <v>-178672630</v>
      </c>
      <c r="H170">
        <v>-582996010</v>
      </c>
      <c r="I170">
        <v>-270379206</v>
      </c>
      <c r="J170">
        <v>-422776859</v>
      </c>
      <c r="K170">
        <v>-328186462</v>
      </c>
      <c r="L170">
        <v>-359936665</v>
      </c>
      <c r="M170">
        <v>-267324224</v>
      </c>
      <c r="N170">
        <v>-554654646</v>
      </c>
      <c r="O170">
        <v>-550906097</v>
      </c>
      <c r="P170">
        <v>371</v>
      </c>
      <c r="Q170" t="s">
        <v>385</v>
      </c>
    </row>
    <row r="171" spans="1:17" x14ac:dyDescent="0.3">
      <c r="A171" t="s">
        <v>17</v>
      </c>
      <c r="B171" t="str">
        <f>"600196"</f>
        <v>600196</v>
      </c>
      <c r="C171" t="s">
        <v>386</v>
      </c>
      <c r="D171" t="s">
        <v>113</v>
      </c>
      <c r="F171">
        <v>-390896545</v>
      </c>
      <c r="G171">
        <v>-811794661</v>
      </c>
      <c r="H171">
        <v>-501178883</v>
      </c>
      <c r="I171">
        <v>-302738355</v>
      </c>
      <c r="J171">
        <v>205501813</v>
      </c>
      <c r="K171">
        <v>361707908</v>
      </c>
      <c r="L171">
        <v>433409979</v>
      </c>
      <c r="M171">
        <v>78903323</v>
      </c>
      <c r="N171">
        <v>-238850838</v>
      </c>
      <c r="O171">
        <v>-414894244</v>
      </c>
      <c r="P171">
        <v>3823</v>
      </c>
      <c r="Q171" t="s">
        <v>387</v>
      </c>
    </row>
    <row r="172" spans="1:17" x14ac:dyDescent="0.3">
      <c r="A172" t="s">
        <v>17</v>
      </c>
      <c r="B172" t="str">
        <f>"600197"</f>
        <v>600197</v>
      </c>
      <c r="C172" t="s">
        <v>388</v>
      </c>
      <c r="D172" t="s">
        <v>123</v>
      </c>
      <c r="F172">
        <v>-205865771</v>
      </c>
      <c r="G172">
        <v>-393234215</v>
      </c>
      <c r="H172">
        <v>-239258701</v>
      </c>
      <c r="I172">
        <v>5775256</v>
      </c>
      <c r="J172">
        <v>34726770</v>
      </c>
      <c r="K172">
        <v>356539104</v>
      </c>
      <c r="L172">
        <v>75978539</v>
      </c>
      <c r="M172">
        <v>86626716</v>
      </c>
      <c r="N172">
        <v>102131564</v>
      </c>
      <c r="O172">
        <v>153767143</v>
      </c>
      <c r="P172">
        <v>1080</v>
      </c>
      <c r="Q172" t="s">
        <v>389</v>
      </c>
    </row>
    <row r="173" spans="1:17" x14ac:dyDescent="0.3">
      <c r="A173" t="s">
        <v>17</v>
      </c>
      <c r="B173" t="str">
        <f>"600198"</f>
        <v>600198</v>
      </c>
      <c r="C173" t="s">
        <v>390</v>
      </c>
      <c r="D173" t="s">
        <v>150</v>
      </c>
      <c r="F173">
        <v>-57137306</v>
      </c>
      <c r="G173">
        <v>307863054</v>
      </c>
      <c r="H173">
        <v>-71419046</v>
      </c>
      <c r="I173">
        <v>303249118</v>
      </c>
      <c r="J173">
        <v>-439067727</v>
      </c>
      <c r="K173">
        <v>-306507574</v>
      </c>
      <c r="L173">
        <v>-395253237</v>
      </c>
      <c r="M173">
        <v>-1394228092</v>
      </c>
      <c r="N173">
        <v>-1125562266</v>
      </c>
      <c r="O173">
        <v>-623533774</v>
      </c>
      <c r="P173">
        <v>286</v>
      </c>
      <c r="Q173" t="s">
        <v>391</v>
      </c>
    </row>
    <row r="174" spans="1:17" x14ac:dyDescent="0.3">
      <c r="A174" t="s">
        <v>17</v>
      </c>
      <c r="B174" t="str">
        <f>"600199"</f>
        <v>600199</v>
      </c>
      <c r="C174" t="s">
        <v>392</v>
      </c>
      <c r="D174" t="s">
        <v>123</v>
      </c>
      <c r="F174">
        <v>-370716132</v>
      </c>
      <c r="G174">
        <v>-200952659</v>
      </c>
      <c r="H174">
        <v>-148789409</v>
      </c>
      <c r="I174">
        <v>-235954240</v>
      </c>
      <c r="J174">
        <v>-344515633</v>
      </c>
      <c r="K174">
        <v>-222390741</v>
      </c>
      <c r="L174">
        <v>307430769</v>
      </c>
      <c r="M174">
        <v>-70327443</v>
      </c>
      <c r="N174">
        <v>101250603</v>
      </c>
      <c r="O174">
        <v>500756005</v>
      </c>
      <c r="P174">
        <v>383</v>
      </c>
      <c r="Q174" t="s">
        <v>393</v>
      </c>
    </row>
    <row r="175" spans="1:17" x14ac:dyDescent="0.3">
      <c r="A175" t="s">
        <v>17</v>
      </c>
      <c r="B175" t="str">
        <f>"600200"</f>
        <v>600200</v>
      </c>
      <c r="C175" t="s">
        <v>394</v>
      </c>
      <c r="D175" t="s">
        <v>113</v>
      </c>
      <c r="F175">
        <v>278173289</v>
      </c>
      <c r="G175">
        <v>-81811338</v>
      </c>
      <c r="H175">
        <v>1167164</v>
      </c>
      <c r="I175">
        <v>100388429</v>
      </c>
      <c r="J175">
        <v>-82812912</v>
      </c>
      <c r="K175">
        <v>631775099</v>
      </c>
      <c r="L175">
        <v>-190554167</v>
      </c>
      <c r="M175">
        <v>-451272179</v>
      </c>
      <c r="N175">
        <v>112974770</v>
      </c>
      <c r="O175">
        <v>303443359</v>
      </c>
      <c r="P175">
        <v>143</v>
      </c>
      <c r="Q175" t="s">
        <v>395</v>
      </c>
    </row>
    <row r="176" spans="1:17" x14ac:dyDescent="0.3">
      <c r="A176" t="s">
        <v>17</v>
      </c>
      <c r="B176" t="str">
        <f>"600201"</f>
        <v>600201</v>
      </c>
      <c r="C176" t="s">
        <v>396</v>
      </c>
      <c r="D176" t="s">
        <v>205</v>
      </c>
      <c r="F176">
        <v>3716206</v>
      </c>
      <c r="G176">
        <v>228805470</v>
      </c>
      <c r="H176">
        <v>-88770239</v>
      </c>
      <c r="I176">
        <v>-210307488</v>
      </c>
      <c r="J176">
        <v>147807073</v>
      </c>
      <c r="K176">
        <v>283527613</v>
      </c>
      <c r="L176">
        <v>-74625813</v>
      </c>
      <c r="M176">
        <v>131318518</v>
      </c>
      <c r="N176">
        <v>23280</v>
      </c>
      <c r="O176">
        <v>-214095068</v>
      </c>
      <c r="P176">
        <v>1766</v>
      </c>
      <c r="Q176" t="s">
        <v>397</v>
      </c>
    </row>
    <row r="177" spans="1:17" x14ac:dyDescent="0.3">
      <c r="A177" t="s">
        <v>17</v>
      </c>
      <c r="B177" t="str">
        <f>"600202"</f>
        <v>600202</v>
      </c>
      <c r="C177" t="s">
        <v>398</v>
      </c>
      <c r="D177" t="s">
        <v>188</v>
      </c>
      <c r="F177">
        <v>-203211971</v>
      </c>
      <c r="G177">
        <v>93577705</v>
      </c>
      <c r="H177">
        <v>-29347632</v>
      </c>
      <c r="I177">
        <v>77269627</v>
      </c>
      <c r="J177">
        <v>107236714</v>
      </c>
      <c r="K177">
        <v>158059939</v>
      </c>
      <c r="L177">
        <v>-57584434</v>
      </c>
      <c r="M177">
        <v>264362343</v>
      </c>
      <c r="N177">
        <v>7377891</v>
      </c>
      <c r="O177">
        <v>-96509721</v>
      </c>
      <c r="P177">
        <v>76</v>
      </c>
      <c r="Q177" t="s">
        <v>399</v>
      </c>
    </row>
    <row r="178" spans="1:17" x14ac:dyDescent="0.3">
      <c r="A178" t="s">
        <v>17</v>
      </c>
      <c r="B178" t="str">
        <f>"600203"</f>
        <v>600203</v>
      </c>
      <c r="C178" t="s">
        <v>400</v>
      </c>
      <c r="D178" t="s">
        <v>150</v>
      </c>
      <c r="F178">
        <v>-524320666</v>
      </c>
      <c r="G178">
        <v>-180596197</v>
      </c>
      <c r="H178">
        <v>199323683</v>
      </c>
      <c r="I178">
        <v>-654263597</v>
      </c>
      <c r="J178">
        <v>-274172328</v>
      </c>
      <c r="K178">
        <v>-7164826</v>
      </c>
      <c r="L178">
        <v>-191179547</v>
      </c>
      <c r="M178">
        <v>-216006474</v>
      </c>
      <c r="N178">
        <v>-44668139</v>
      </c>
      <c r="O178">
        <v>-74711485</v>
      </c>
      <c r="P178">
        <v>143</v>
      </c>
      <c r="Q178" t="s">
        <v>401</v>
      </c>
    </row>
    <row r="179" spans="1:17" x14ac:dyDescent="0.3">
      <c r="A179" t="s">
        <v>17</v>
      </c>
      <c r="B179" t="str">
        <f>"600206"</f>
        <v>600206</v>
      </c>
      <c r="C179" t="s">
        <v>402</v>
      </c>
      <c r="D179" t="s">
        <v>150</v>
      </c>
      <c r="F179">
        <v>-894394431</v>
      </c>
      <c r="G179">
        <v>-859873362</v>
      </c>
      <c r="H179">
        <v>-543826623</v>
      </c>
      <c r="I179">
        <v>-313071666</v>
      </c>
      <c r="J179">
        <v>-361884269</v>
      </c>
      <c r="K179">
        <v>-309826597</v>
      </c>
      <c r="L179">
        <v>-99574347</v>
      </c>
      <c r="M179">
        <v>-304733070</v>
      </c>
      <c r="N179">
        <v>-56246365</v>
      </c>
      <c r="O179">
        <v>-3603130</v>
      </c>
      <c r="P179">
        <v>422</v>
      </c>
      <c r="Q179" t="s">
        <v>403</v>
      </c>
    </row>
    <row r="180" spans="1:17" x14ac:dyDescent="0.3">
      <c r="A180" t="s">
        <v>17</v>
      </c>
      <c r="B180" t="str">
        <f>"600207"</f>
        <v>600207</v>
      </c>
      <c r="C180" t="s">
        <v>404</v>
      </c>
      <c r="D180" t="s">
        <v>188</v>
      </c>
      <c r="F180">
        <v>-668165082</v>
      </c>
      <c r="G180">
        <v>-230951263</v>
      </c>
      <c r="H180">
        <v>-78884328</v>
      </c>
      <c r="I180">
        <v>78274172</v>
      </c>
      <c r="J180">
        <v>-81133922</v>
      </c>
      <c r="K180">
        <v>23504703</v>
      </c>
      <c r="L180">
        <v>-287360064</v>
      </c>
      <c r="M180">
        <v>60522359</v>
      </c>
      <c r="N180">
        <v>-240019999</v>
      </c>
      <c r="O180">
        <v>-249283425</v>
      </c>
      <c r="P180">
        <v>146</v>
      </c>
      <c r="Q180" t="s">
        <v>405</v>
      </c>
    </row>
    <row r="181" spans="1:17" x14ac:dyDescent="0.3">
      <c r="A181" t="s">
        <v>17</v>
      </c>
      <c r="B181" t="str">
        <f>"600208"</f>
        <v>600208</v>
      </c>
      <c r="C181" t="s">
        <v>406</v>
      </c>
      <c r="D181" t="s">
        <v>30</v>
      </c>
      <c r="F181">
        <v>6564814484</v>
      </c>
      <c r="G181">
        <v>-678438571</v>
      </c>
      <c r="H181">
        <v>93792434</v>
      </c>
      <c r="I181">
        <v>-5461299061</v>
      </c>
      <c r="J181">
        <v>1714428663</v>
      </c>
      <c r="K181">
        <v>3474740300</v>
      </c>
      <c r="L181">
        <v>89518022</v>
      </c>
      <c r="M181">
        <v>-3499758469</v>
      </c>
      <c r="N181">
        <v>-483170314</v>
      </c>
      <c r="O181">
        <v>-318127850</v>
      </c>
      <c r="P181">
        <v>331</v>
      </c>
      <c r="Q181" t="s">
        <v>407</v>
      </c>
    </row>
    <row r="182" spans="1:17" x14ac:dyDescent="0.3">
      <c r="A182" t="s">
        <v>17</v>
      </c>
      <c r="B182" t="str">
        <f>"600209"</f>
        <v>600209</v>
      </c>
      <c r="C182" t="s">
        <v>408</v>
      </c>
      <c r="D182" t="s">
        <v>95</v>
      </c>
      <c r="F182">
        <v>-33907894</v>
      </c>
      <c r="G182">
        <v>-97740522</v>
      </c>
      <c r="H182">
        <v>-23888260</v>
      </c>
      <c r="I182">
        <v>-23979081</v>
      </c>
      <c r="J182">
        <v>-11789531</v>
      </c>
      <c r="K182">
        <v>-10896819</v>
      </c>
      <c r="L182">
        <v>-19415190</v>
      </c>
      <c r="M182">
        <v>-164243418</v>
      </c>
      <c r="N182">
        <v>-32222396</v>
      </c>
      <c r="O182">
        <v>50884786</v>
      </c>
      <c r="P182">
        <v>49</v>
      </c>
      <c r="Q182" t="s">
        <v>409</v>
      </c>
    </row>
    <row r="183" spans="1:17" x14ac:dyDescent="0.3">
      <c r="A183" t="s">
        <v>17</v>
      </c>
      <c r="B183" t="str">
        <f>"600210"</f>
        <v>600210</v>
      </c>
      <c r="C183" t="s">
        <v>410</v>
      </c>
      <c r="D183" t="s">
        <v>161</v>
      </c>
      <c r="F183">
        <v>316330388</v>
      </c>
      <c r="G183">
        <v>672539409</v>
      </c>
      <c r="H183">
        <v>532704035</v>
      </c>
      <c r="I183">
        <v>531093802</v>
      </c>
      <c r="J183">
        <v>701619851</v>
      </c>
      <c r="K183">
        <v>584537430</v>
      </c>
      <c r="L183">
        <v>374984516</v>
      </c>
      <c r="M183">
        <v>194010134</v>
      </c>
      <c r="N183">
        <v>510546244</v>
      </c>
      <c r="O183">
        <v>430275151</v>
      </c>
      <c r="P183">
        <v>192</v>
      </c>
      <c r="Q183" t="s">
        <v>411</v>
      </c>
    </row>
    <row r="184" spans="1:17" x14ac:dyDescent="0.3">
      <c r="A184" t="s">
        <v>17</v>
      </c>
      <c r="B184" t="str">
        <f>"600211"</f>
        <v>600211</v>
      </c>
      <c r="C184" t="s">
        <v>412</v>
      </c>
      <c r="D184" t="s">
        <v>113</v>
      </c>
      <c r="F184">
        <v>-58506885</v>
      </c>
      <c r="G184">
        <v>107513886</v>
      </c>
      <c r="H184">
        <v>342948590</v>
      </c>
      <c r="I184">
        <v>280847139</v>
      </c>
      <c r="J184">
        <v>-569818101</v>
      </c>
      <c r="K184">
        <v>-618867357</v>
      </c>
      <c r="L184">
        <v>78025242</v>
      </c>
      <c r="M184">
        <v>-168193101</v>
      </c>
      <c r="N184">
        <v>15865275</v>
      </c>
      <c r="O184">
        <v>50681682</v>
      </c>
      <c r="P184">
        <v>530</v>
      </c>
      <c r="Q184" t="s">
        <v>413</v>
      </c>
    </row>
    <row r="185" spans="1:17" x14ac:dyDescent="0.3">
      <c r="A185" t="s">
        <v>17</v>
      </c>
      <c r="B185" t="str">
        <f>"600212"</f>
        <v>600212</v>
      </c>
      <c r="C185" t="s">
        <v>414</v>
      </c>
      <c r="D185" t="s">
        <v>103</v>
      </c>
      <c r="F185">
        <v>-51120486</v>
      </c>
      <c r="G185">
        <v>-9442594</v>
      </c>
      <c r="H185">
        <v>-25790006</v>
      </c>
      <c r="I185">
        <v>-34589519</v>
      </c>
      <c r="J185">
        <v>77838</v>
      </c>
      <c r="K185">
        <v>4904585</v>
      </c>
      <c r="L185">
        <v>15146424</v>
      </c>
      <c r="M185">
        <v>-106800589</v>
      </c>
      <c r="N185">
        <v>56123341</v>
      </c>
      <c r="O185">
        <v>46086828</v>
      </c>
      <c r="P185">
        <v>56</v>
      </c>
      <c r="Q185" t="s">
        <v>415</v>
      </c>
    </row>
    <row r="186" spans="1:17" x14ac:dyDescent="0.3">
      <c r="A186" t="s">
        <v>17</v>
      </c>
      <c r="B186" t="str">
        <f>"600213"</f>
        <v>600213</v>
      </c>
      <c r="C186" t="s">
        <v>416</v>
      </c>
      <c r="D186" t="s">
        <v>27</v>
      </c>
      <c r="F186">
        <v>510896936</v>
      </c>
      <c r="G186">
        <v>249181716</v>
      </c>
      <c r="H186">
        <v>771288051</v>
      </c>
      <c r="I186">
        <v>-48947045</v>
      </c>
      <c r="J186">
        <v>327554335</v>
      </c>
      <c r="K186">
        <v>-102846262</v>
      </c>
      <c r="L186">
        <v>-20739447</v>
      </c>
      <c r="M186">
        <v>-273408488</v>
      </c>
      <c r="N186">
        <v>-94488069</v>
      </c>
      <c r="O186">
        <v>-95010572</v>
      </c>
      <c r="P186">
        <v>109</v>
      </c>
      <c r="Q186" t="s">
        <v>417</v>
      </c>
    </row>
    <row r="187" spans="1:17" x14ac:dyDescent="0.3">
      <c r="A187" t="s">
        <v>17</v>
      </c>
      <c r="B187" t="str">
        <f>"600215"</f>
        <v>600215</v>
      </c>
      <c r="C187" t="s">
        <v>418</v>
      </c>
      <c r="D187" t="s">
        <v>30</v>
      </c>
      <c r="F187">
        <v>-233884149</v>
      </c>
      <c r="G187">
        <v>116868969</v>
      </c>
      <c r="H187">
        <v>40776891</v>
      </c>
      <c r="I187">
        <v>364107634</v>
      </c>
      <c r="J187">
        <v>165684928</v>
      </c>
      <c r="K187">
        <v>-36986131</v>
      </c>
      <c r="L187">
        <v>-204091918</v>
      </c>
      <c r="M187">
        <v>482631038</v>
      </c>
      <c r="N187">
        <v>-210859959</v>
      </c>
      <c r="O187">
        <v>-225528928</v>
      </c>
      <c r="P187">
        <v>77</v>
      </c>
      <c r="Q187" t="s">
        <v>419</v>
      </c>
    </row>
    <row r="188" spans="1:17" x14ac:dyDescent="0.3">
      <c r="A188" t="s">
        <v>17</v>
      </c>
      <c r="B188" t="str">
        <f>"600216"</f>
        <v>600216</v>
      </c>
      <c r="C188" t="s">
        <v>420</v>
      </c>
      <c r="D188" t="s">
        <v>113</v>
      </c>
      <c r="F188">
        <v>-237106053</v>
      </c>
      <c r="G188">
        <v>399957824</v>
      </c>
      <c r="H188">
        <v>46424226</v>
      </c>
      <c r="I188">
        <v>77951356</v>
      </c>
      <c r="J188">
        <v>-207682220</v>
      </c>
      <c r="K188">
        <v>-197537892</v>
      </c>
      <c r="L188">
        <v>-675542780</v>
      </c>
      <c r="M188">
        <v>-328711525</v>
      </c>
      <c r="N188">
        <v>-488824385</v>
      </c>
      <c r="O188">
        <v>19762514</v>
      </c>
      <c r="P188">
        <v>463</v>
      </c>
      <c r="Q188" t="s">
        <v>421</v>
      </c>
    </row>
    <row r="189" spans="1:17" x14ac:dyDescent="0.3">
      <c r="A189" t="s">
        <v>17</v>
      </c>
      <c r="B189" t="str">
        <f>"600217"</f>
        <v>600217</v>
      </c>
      <c r="C189" t="s">
        <v>422</v>
      </c>
      <c r="D189" t="s">
        <v>33</v>
      </c>
      <c r="F189">
        <v>-149775494</v>
      </c>
      <c r="G189">
        <v>-164199283</v>
      </c>
      <c r="H189">
        <v>-8241159</v>
      </c>
      <c r="I189">
        <v>273597283</v>
      </c>
      <c r="J189">
        <v>-657305718</v>
      </c>
      <c r="K189">
        <v>-644548594</v>
      </c>
      <c r="L189">
        <v>-301065537</v>
      </c>
      <c r="M189">
        <v>-4101334</v>
      </c>
      <c r="N189">
        <v>-55358846</v>
      </c>
      <c r="O189">
        <v>-217712105</v>
      </c>
      <c r="P189">
        <v>439</v>
      </c>
      <c r="Q189" t="s">
        <v>423</v>
      </c>
    </row>
    <row r="190" spans="1:17" x14ac:dyDescent="0.3">
      <c r="A190" t="s">
        <v>17</v>
      </c>
      <c r="B190" t="str">
        <f>"600218"</f>
        <v>600218</v>
      </c>
      <c r="C190" t="s">
        <v>424</v>
      </c>
      <c r="D190" t="s">
        <v>27</v>
      </c>
      <c r="F190">
        <v>-232551454</v>
      </c>
      <c r="G190">
        <v>267849875</v>
      </c>
      <c r="H190">
        <v>-209691396</v>
      </c>
      <c r="I190">
        <v>-186757988</v>
      </c>
      <c r="J190">
        <v>-320690175</v>
      </c>
      <c r="K190">
        <v>30308138</v>
      </c>
      <c r="L190">
        <v>-22596653</v>
      </c>
      <c r="M190">
        <v>29167889</v>
      </c>
      <c r="N190">
        <v>-43792994</v>
      </c>
      <c r="O190">
        <v>-100404076</v>
      </c>
      <c r="P190">
        <v>166</v>
      </c>
      <c r="Q190" t="s">
        <v>425</v>
      </c>
    </row>
    <row r="191" spans="1:17" x14ac:dyDescent="0.3">
      <c r="A191" t="s">
        <v>17</v>
      </c>
      <c r="B191" t="str">
        <f>"600219"</f>
        <v>600219</v>
      </c>
      <c r="C191" t="s">
        <v>426</v>
      </c>
      <c r="D191" t="s">
        <v>234</v>
      </c>
      <c r="F191">
        <v>1979436011</v>
      </c>
      <c r="G191">
        <v>806794107</v>
      </c>
      <c r="H191">
        <v>1543961371</v>
      </c>
      <c r="I191">
        <v>-234806944</v>
      </c>
      <c r="J191">
        <v>182660641</v>
      </c>
      <c r="K191">
        <v>-450787579</v>
      </c>
      <c r="L191">
        <v>-1039549032</v>
      </c>
      <c r="M191">
        <v>-3131639817</v>
      </c>
      <c r="N191">
        <v>-1255398653</v>
      </c>
      <c r="O191">
        <v>-479408691</v>
      </c>
      <c r="P191">
        <v>609</v>
      </c>
      <c r="Q191" t="s">
        <v>427</v>
      </c>
    </row>
    <row r="192" spans="1:17" x14ac:dyDescent="0.3">
      <c r="A192" t="s">
        <v>17</v>
      </c>
      <c r="B192" t="str">
        <f>"600220"</f>
        <v>600220</v>
      </c>
      <c r="C192" t="s">
        <v>428</v>
      </c>
      <c r="D192" t="s">
        <v>227</v>
      </c>
      <c r="F192">
        <v>219885773</v>
      </c>
      <c r="G192">
        <v>-195182095</v>
      </c>
      <c r="H192">
        <v>203166226</v>
      </c>
      <c r="I192">
        <v>-154532961</v>
      </c>
      <c r="J192">
        <v>229342920</v>
      </c>
      <c r="K192">
        <v>-374794330</v>
      </c>
      <c r="L192">
        <v>206552291</v>
      </c>
      <c r="M192">
        <v>91123929</v>
      </c>
      <c r="N192">
        <v>192333476</v>
      </c>
      <c r="O192">
        <v>-31127623</v>
      </c>
      <c r="P192">
        <v>118</v>
      </c>
      <c r="Q192" t="s">
        <v>429</v>
      </c>
    </row>
    <row r="193" spans="1:17" x14ac:dyDescent="0.3">
      <c r="A193" t="s">
        <v>17</v>
      </c>
      <c r="B193" t="str">
        <f>"600221"</f>
        <v>600221</v>
      </c>
      <c r="C193" t="s">
        <v>430</v>
      </c>
      <c r="D193" t="s">
        <v>22</v>
      </c>
      <c r="F193">
        <v>1694609000</v>
      </c>
      <c r="G193">
        <v>-12057770000</v>
      </c>
      <c r="H193">
        <v>6019385000</v>
      </c>
      <c r="I193">
        <v>2736312000</v>
      </c>
      <c r="J193">
        <v>5003884000</v>
      </c>
      <c r="K193">
        <v>9731736000</v>
      </c>
      <c r="L193">
        <v>2200953000</v>
      </c>
      <c r="M193">
        <v>4433428000</v>
      </c>
      <c r="N193">
        <v>2516615000</v>
      </c>
      <c r="O193">
        <v>988532000</v>
      </c>
      <c r="P193">
        <v>427</v>
      </c>
      <c r="Q193" t="s">
        <v>431</v>
      </c>
    </row>
    <row r="194" spans="1:17" x14ac:dyDescent="0.3">
      <c r="A194" t="s">
        <v>17</v>
      </c>
      <c r="B194" t="str">
        <f>"600222"</f>
        <v>600222</v>
      </c>
      <c r="C194" t="s">
        <v>432</v>
      </c>
      <c r="D194" t="s">
        <v>113</v>
      </c>
      <c r="F194">
        <v>34572180</v>
      </c>
      <c r="G194">
        <v>-30289520</v>
      </c>
      <c r="H194">
        <v>-136793104</v>
      </c>
      <c r="I194">
        <v>781116</v>
      </c>
      <c r="J194">
        <v>-43759942</v>
      </c>
      <c r="K194">
        <v>-91528016</v>
      </c>
      <c r="L194">
        <v>-110925378</v>
      </c>
      <c r="M194">
        <v>-49089497</v>
      </c>
      <c r="N194">
        <v>72154295</v>
      </c>
      <c r="O194">
        <v>18310883</v>
      </c>
      <c r="P194">
        <v>132</v>
      </c>
      <c r="Q194" t="s">
        <v>433</v>
      </c>
    </row>
    <row r="195" spans="1:17" x14ac:dyDescent="0.3">
      <c r="A195" t="s">
        <v>17</v>
      </c>
      <c r="B195" t="str">
        <f>"600223"</f>
        <v>600223</v>
      </c>
      <c r="C195" t="s">
        <v>434</v>
      </c>
      <c r="D195" t="s">
        <v>30</v>
      </c>
      <c r="F195">
        <v>4613489568</v>
      </c>
      <c r="G195">
        <v>1431648499</v>
      </c>
      <c r="H195">
        <v>-6616358040</v>
      </c>
      <c r="I195">
        <v>984403627</v>
      </c>
      <c r="J195">
        <v>1423392253</v>
      </c>
      <c r="K195">
        <v>-4253160887</v>
      </c>
      <c r="L195">
        <v>-1276204281</v>
      </c>
      <c r="M195">
        <v>-2642053396</v>
      </c>
      <c r="N195">
        <v>-1279462763</v>
      </c>
      <c r="O195">
        <v>-182774313</v>
      </c>
      <c r="P195">
        <v>361</v>
      </c>
      <c r="Q195" t="s">
        <v>435</v>
      </c>
    </row>
    <row r="196" spans="1:17" x14ac:dyDescent="0.3">
      <c r="A196" t="s">
        <v>17</v>
      </c>
      <c r="B196" t="str">
        <f>"600225"</f>
        <v>600225</v>
      </c>
      <c r="C196" t="s">
        <v>436</v>
      </c>
      <c r="D196" t="s">
        <v>30</v>
      </c>
      <c r="F196">
        <v>-1015628637</v>
      </c>
      <c r="G196">
        <v>-539560114</v>
      </c>
      <c r="H196">
        <v>-51171645</v>
      </c>
      <c r="I196">
        <v>217307628</v>
      </c>
      <c r="J196">
        <v>1015947012</v>
      </c>
      <c r="K196">
        <v>486321007</v>
      </c>
      <c r="L196">
        <v>-676063212</v>
      </c>
      <c r="M196">
        <v>-1455276278</v>
      </c>
      <c r="N196">
        <v>-1852069342</v>
      </c>
      <c r="O196">
        <v>216454962</v>
      </c>
      <c r="P196">
        <v>110</v>
      </c>
      <c r="Q196" t="s">
        <v>437</v>
      </c>
    </row>
    <row r="197" spans="1:17" x14ac:dyDescent="0.3">
      <c r="A197" t="s">
        <v>17</v>
      </c>
      <c r="B197" t="str">
        <f>"600226"</f>
        <v>600226</v>
      </c>
      <c r="C197" t="s">
        <v>438</v>
      </c>
      <c r="D197" t="s">
        <v>89</v>
      </c>
      <c r="F197">
        <v>387060365</v>
      </c>
      <c r="G197">
        <v>46078381</v>
      </c>
      <c r="H197">
        <v>-112659886</v>
      </c>
      <c r="I197">
        <v>-599398345</v>
      </c>
      <c r="J197">
        <v>-117694785</v>
      </c>
      <c r="K197">
        <v>-69779675</v>
      </c>
      <c r="L197">
        <v>28989983</v>
      </c>
      <c r="M197">
        <v>-45337265</v>
      </c>
      <c r="N197">
        <v>-32603392</v>
      </c>
      <c r="O197">
        <v>118998060</v>
      </c>
      <c r="P197">
        <v>109</v>
      </c>
      <c r="Q197" t="s">
        <v>439</v>
      </c>
    </row>
    <row r="198" spans="1:17" x14ac:dyDescent="0.3">
      <c r="A198" t="s">
        <v>17</v>
      </c>
      <c r="B198" t="str">
        <f>"600227"</f>
        <v>600227</v>
      </c>
      <c r="C198" t="s">
        <v>440</v>
      </c>
      <c r="D198" t="s">
        <v>113</v>
      </c>
      <c r="F198">
        <v>72092564</v>
      </c>
      <c r="G198">
        <v>161820059</v>
      </c>
      <c r="H198">
        <v>133093240</v>
      </c>
      <c r="I198">
        <v>273751067</v>
      </c>
      <c r="J198">
        <v>-215356724</v>
      </c>
      <c r="K198">
        <v>-143308431</v>
      </c>
      <c r="L198">
        <v>3293377</v>
      </c>
      <c r="M198">
        <v>229849102</v>
      </c>
      <c r="N198">
        <v>84305272</v>
      </c>
      <c r="O198">
        <v>-340679726</v>
      </c>
      <c r="P198">
        <v>114</v>
      </c>
      <c r="Q198" t="s">
        <v>441</v>
      </c>
    </row>
    <row r="199" spans="1:17" x14ac:dyDescent="0.3">
      <c r="A199" t="s">
        <v>17</v>
      </c>
      <c r="B199" t="str">
        <f>"600228"</f>
        <v>600228</v>
      </c>
      <c r="C199" t="s">
        <v>442</v>
      </c>
      <c r="D199" t="s">
        <v>89</v>
      </c>
      <c r="F199">
        <v>18172967</v>
      </c>
      <c r="G199">
        <v>21514762</v>
      </c>
      <c r="H199">
        <v>-1249726</v>
      </c>
      <c r="I199">
        <v>-12266719</v>
      </c>
      <c r="J199">
        <v>-10283462</v>
      </c>
      <c r="K199">
        <v>2225380</v>
      </c>
      <c r="L199">
        <v>60183726</v>
      </c>
      <c r="M199">
        <v>6718686</v>
      </c>
      <c r="N199">
        <v>-38888919</v>
      </c>
      <c r="O199">
        <v>-77885058</v>
      </c>
      <c r="P199">
        <v>68</v>
      </c>
      <c r="Q199" t="s">
        <v>443</v>
      </c>
    </row>
    <row r="200" spans="1:17" x14ac:dyDescent="0.3">
      <c r="A200" t="s">
        <v>17</v>
      </c>
      <c r="B200" t="str">
        <f>"600229"</f>
        <v>600229</v>
      </c>
      <c r="C200" t="s">
        <v>444</v>
      </c>
      <c r="D200" t="s">
        <v>89</v>
      </c>
      <c r="F200">
        <v>43160680</v>
      </c>
      <c r="G200">
        <v>73611934</v>
      </c>
      <c r="H200">
        <v>-26526051</v>
      </c>
      <c r="I200">
        <v>-152207356</v>
      </c>
      <c r="J200">
        <v>-289882551</v>
      </c>
      <c r="K200">
        <v>-46443778</v>
      </c>
      <c r="L200">
        <v>-6037091</v>
      </c>
      <c r="M200">
        <v>-119439389</v>
      </c>
      <c r="N200">
        <v>224091377</v>
      </c>
      <c r="O200">
        <v>-125031005</v>
      </c>
      <c r="P200">
        <v>174</v>
      </c>
      <c r="Q200" t="s">
        <v>445</v>
      </c>
    </row>
    <row r="201" spans="1:17" x14ac:dyDescent="0.3">
      <c r="A201" t="s">
        <v>17</v>
      </c>
      <c r="B201" t="str">
        <f>"600230"</f>
        <v>600230</v>
      </c>
      <c r="C201" t="s">
        <v>446</v>
      </c>
      <c r="D201" t="s">
        <v>133</v>
      </c>
      <c r="F201">
        <v>-874110876</v>
      </c>
      <c r="G201">
        <v>-870221185</v>
      </c>
      <c r="H201">
        <v>-419658841</v>
      </c>
      <c r="I201">
        <v>1022344964</v>
      </c>
      <c r="J201">
        <v>977522281</v>
      </c>
      <c r="K201">
        <v>378913738</v>
      </c>
      <c r="L201">
        <v>-63587396</v>
      </c>
      <c r="M201">
        <v>-29420461</v>
      </c>
      <c r="N201">
        <v>420517205</v>
      </c>
      <c r="O201">
        <v>106088904</v>
      </c>
      <c r="P201">
        <v>382</v>
      </c>
      <c r="Q201" t="s">
        <v>447</v>
      </c>
    </row>
    <row r="202" spans="1:17" x14ac:dyDescent="0.3">
      <c r="A202" t="s">
        <v>17</v>
      </c>
      <c r="B202" t="str">
        <f>"600231"</f>
        <v>600231</v>
      </c>
      <c r="C202" t="s">
        <v>448</v>
      </c>
      <c r="D202" t="s">
        <v>38</v>
      </c>
      <c r="F202">
        <v>952082475</v>
      </c>
      <c r="G202">
        <v>1359629690</v>
      </c>
      <c r="H202">
        <v>1280269362</v>
      </c>
      <c r="I202">
        <v>1647772182</v>
      </c>
      <c r="J202">
        <v>1504502259</v>
      </c>
      <c r="K202">
        <v>110177801</v>
      </c>
      <c r="L202">
        <v>656784308</v>
      </c>
      <c r="M202">
        <v>1010306636</v>
      </c>
      <c r="N202">
        <v>-75976041</v>
      </c>
      <c r="O202">
        <v>1102898609</v>
      </c>
      <c r="P202">
        <v>187</v>
      </c>
      <c r="Q202" t="s">
        <v>449</v>
      </c>
    </row>
    <row r="203" spans="1:17" x14ac:dyDescent="0.3">
      <c r="A203" t="s">
        <v>17</v>
      </c>
      <c r="B203" t="str">
        <f>"600232"</f>
        <v>600232</v>
      </c>
      <c r="C203" t="s">
        <v>450</v>
      </c>
      <c r="D203" t="s">
        <v>78</v>
      </c>
      <c r="F203">
        <v>26579453</v>
      </c>
      <c r="G203">
        <v>96426588</v>
      </c>
      <c r="H203">
        <v>-193566609</v>
      </c>
      <c r="I203">
        <v>-74534368</v>
      </c>
      <c r="J203">
        <v>-116530372</v>
      </c>
      <c r="K203">
        <v>-3744603</v>
      </c>
      <c r="L203">
        <v>26002805</v>
      </c>
      <c r="M203">
        <v>-7139188</v>
      </c>
      <c r="N203">
        <v>-8788616</v>
      </c>
      <c r="O203">
        <v>-82912861</v>
      </c>
      <c r="P203">
        <v>89</v>
      </c>
      <c r="Q203" t="s">
        <v>451</v>
      </c>
    </row>
    <row r="204" spans="1:17" x14ac:dyDescent="0.3">
      <c r="A204" t="s">
        <v>17</v>
      </c>
      <c r="B204" t="str">
        <f>"600233"</f>
        <v>600233</v>
      </c>
      <c r="C204" t="s">
        <v>452</v>
      </c>
      <c r="D204" t="s">
        <v>22</v>
      </c>
      <c r="F204">
        <v>-2533667440</v>
      </c>
      <c r="G204">
        <v>-1231437877</v>
      </c>
      <c r="H204">
        <v>-587865437</v>
      </c>
      <c r="I204">
        <v>-1251411318</v>
      </c>
      <c r="J204">
        <v>-377206172</v>
      </c>
      <c r="K204">
        <v>23108293</v>
      </c>
      <c r="L204">
        <v>-20371423</v>
      </c>
      <c r="M204">
        <v>-38273220</v>
      </c>
      <c r="N204">
        <v>11074189</v>
      </c>
      <c r="O204">
        <v>12650378</v>
      </c>
      <c r="P204">
        <v>736</v>
      </c>
      <c r="Q204" t="s">
        <v>453</v>
      </c>
    </row>
    <row r="205" spans="1:17" x14ac:dyDescent="0.3">
      <c r="A205" t="s">
        <v>17</v>
      </c>
      <c r="B205" t="str">
        <f>"600234"</f>
        <v>600234</v>
      </c>
      <c r="C205" t="s">
        <v>454</v>
      </c>
      <c r="D205" t="s">
        <v>103</v>
      </c>
      <c r="F205">
        <v>-183698283</v>
      </c>
      <c r="G205">
        <v>-19195601</v>
      </c>
      <c r="H205">
        <v>3783177</v>
      </c>
      <c r="I205">
        <v>2687536</v>
      </c>
      <c r="J205">
        <v>-20963726</v>
      </c>
      <c r="K205">
        <v>5324424</v>
      </c>
      <c r="L205">
        <v>-552847</v>
      </c>
      <c r="M205">
        <v>-28221020</v>
      </c>
      <c r="N205">
        <v>-2233056</v>
      </c>
      <c r="O205">
        <v>-247081</v>
      </c>
      <c r="P205">
        <v>59</v>
      </c>
      <c r="Q205" t="s">
        <v>455</v>
      </c>
    </row>
    <row r="206" spans="1:17" x14ac:dyDescent="0.3">
      <c r="A206" t="s">
        <v>17</v>
      </c>
      <c r="B206" t="str">
        <f>"600235"</f>
        <v>600235</v>
      </c>
      <c r="C206" t="s">
        <v>456</v>
      </c>
      <c r="D206" t="s">
        <v>161</v>
      </c>
      <c r="F206">
        <v>24416841</v>
      </c>
      <c r="G206">
        <v>-12327755</v>
      </c>
      <c r="H206">
        <v>16907593</v>
      </c>
      <c r="I206">
        <v>43988571</v>
      </c>
      <c r="J206">
        <v>-30271089</v>
      </c>
      <c r="K206">
        <v>51495532</v>
      </c>
      <c r="L206">
        <v>-119707273</v>
      </c>
      <c r="M206">
        <v>-88712835</v>
      </c>
      <c r="N206">
        <v>-60818300</v>
      </c>
      <c r="O206">
        <v>-26002600</v>
      </c>
      <c r="P206">
        <v>71</v>
      </c>
      <c r="Q206" t="s">
        <v>457</v>
      </c>
    </row>
    <row r="207" spans="1:17" x14ac:dyDescent="0.3">
      <c r="A207" t="s">
        <v>17</v>
      </c>
      <c r="B207" t="str">
        <f>"600236"</f>
        <v>600236</v>
      </c>
      <c r="C207" t="s">
        <v>458</v>
      </c>
      <c r="D207" t="s">
        <v>41</v>
      </c>
      <c r="F207">
        <v>3027823340</v>
      </c>
      <c r="G207">
        <v>3012532854</v>
      </c>
      <c r="H207">
        <v>4445818246</v>
      </c>
      <c r="I207">
        <v>4701212890</v>
      </c>
      <c r="J207">
        <v>3183016924</v>
      </c>
      <c r="K207">
        <v>4815473907</v>
      </c>
      <c r="L207">
        <v>2543137340</v>
      </c>
      <c r="M207">
        <v>2004048123</v>
      </c>
      <c r="N207">
        <v>1076176993</v>
      </c>
      <c r="O207">
        <v>369561669</v>
      </c>
      <c r="P207">
        <v>651</v>
      </c>
      <c r="Q207" t="s">
        <v>459</v>
      </c>
    </row>
    <row r="208" spans="1:17" x14ac:dyDescent="0.3">
      <c r="A208" t="s">
        <v>17</v>
      </c>
      <c r="B208" t="str">
        <f>"600237"</f>
        <v>600237</v>
      </c>
      <c r="C208" t="s">
        <v>460</v>
      </c>
      <c r="D208" t="s">
        <v>150</v>
      </c>
      <c r="F208">
        <v>76446418</v>
      </c>
      <c r="G208">
        <v>54778678</v>
      </c>
      <c r="H208">
        <v>48405782</v>
      </c>
      <c r="I208">
        <v>-77520152</v>
      </c>
      <c r="J208">
        <v>-58304494</v>
      </c>
      <c r="K208">
        <v>-36383084</v>
      </c>
      <c r="L208">
        <v>-27887868</v>
      </c>
      <c r="M208">
        <v>-193376274</v>
      </c>
      <c r="N208">
        <v>-166976717</v>
      </c>
      <c r="O208">
        <v>-94346980</v>
      </c>
      <c r="P208">
        <v>152</v>
      </c>
      <c r="Q208" t="s">
        <v>461</v>
      </c>
    </row>
    <row r="209" spans="1:17" x14ac:dyDescent="0.3">
      <c r="A209" t="s">
        <v>17</v>
      </c>
      <c r="B209" t="str">
        <f>"600238"</f>
        <v>600238</v>
      </c>
      <c r="C209" t="s">
        <v>462</v>
      </c>
      <c r="D209" t="s">
        <v>123</v>
      </c>
      <c r="F209">
        <v>-178483163</v>
      </c>
      <c r="G209">
        <v>21204526</v>
      </c>
      <c r="H209">
        <v>-168245686</v>
      </c>
      <c r="I209">
        <v>-238020325</v>
      </c>
      <c r="J209">
        <v>-202908323</v>
      </c>
      <c r="K209">
        <v>-73593593</v>
      </c>
      <c r="L209">
        <v>-98371736</v>
      </c>
      <c r="M209">
        <v>-220171330</v>
      </c>
      <c r="N209">
        <v>56392216</v>
      </c>
      <c r="O209">
        <v>-90482793</v>
      </c>
      <c r="P209">
        <v>146</v>
      </c>
      <c r="Q209" t="s">
        <v>463</v>
      </c>
    </row>
    <row r="210" spans="1:17" x14ac:dyDescent="0.3">
      <c r="A210" t="s">
        <v>17</v>
      </c>
      <c r="B210" t="str">
        <f>"600239"</f>
        <v>600239</v>
      </c>
      <c r="C210" t="s">
        <v>464</v>
      </c>
      <c r="D210" t="s">
        <v>30</v>
      </c>
      <c r="F210">
        <v>25561993779</v>
      </c>
      <c r="G210">
        <v>1364772111</v>
      </c>
      <c r="H210">
        <v>-981398331</v>
      </c>
      <c r="I210">
        <v>-680967556</v>
      </c>
      <c r="J210">
        <v>1142915074</v>
      </c>
      <c r="K210">
        <v>-1480156850</v>
      </c>
      <c r="L210">
        <v>-964233628</v>
      </c>
      <c r="M210">
        <v>-3093330873</v>
      </c>
      <c r="N210">
        <v>416763004</v>
      </c>
      <c r="O210">
        <v>-1546005686</v>
      </c>
      <c r="P210">
        <v>128</v>
      </c>
      <c r="Q210" t="s">
        <v>465</v>
      </c>
    </row>
    <row r="211" spans="1:17" x14ac:dyDescent="0.3">
      <c r="A211" t="s">
        <v>17</v>
      </c>
      <c r="B211" t="str">
        <f>"600240"</f>
        <v>600240</v>
      </c>
      <c r="C211" t="s">
        <v>466</v>
      </c>
      <c r="H211">
        <v>168862106</v>
      </c>
      <c r="I211">
        <v>-127603066</v>
      </c>
      <c r="J211">
        <v>-1528175506</v>
      </c>
      <c r="K211">
        <v>223902526</v>
      </c>
      <c r="L211">
        <v>2782937175</v>
      </c>
      <c r="M211">
        <v>-3024858256</v>
      </c>
      <c r="N211">
        <v>913937040</v>
      </c>
      <c r="O211">
        <v>619703171</v>
      </c>
      <c r="P211">
        <v>94</v>
      </c>
      <c r="Q211" t="s">
        <v>467</v>
      </c>
    </row>
    <row r="212" spans="1:17" x14ac:dyDescent="0.3">
      <c r="A212" t="s">
        <v>17</v>
      </c>
      <c r="B212" t="str">
        <f>"600241"</f>
        <v>600241</v>
      </c>
      <c r="C212" t="s">
        <v>468</v>
      </c>
      <c r="D212" t="s">
        <v>188</v>
      </c>
      <c r="F212">
        <v>140017773</v>
      </c>
      <c r="G212">
        <v>-120681982</v>
      </c>
      <c r="H212">
        <v>-42962928</v>
      </c>
      <c r="I212">
        <v>-318572821</v>
      </c>
      <c r="J212">
        <v>-299654417</v>
      </c>
      <c r="K212">
        <v>-134057207</v>
      </c>
      <c r="L212">
        <v>-243620830</v>
      </c>
      <c r="M212">
        <v>-125687488</v>
      </c>
      <c r="N212">
        <v>-39564856</v>
      </c>
      <c r="O212">
        <v>39108940</v>
      </c>
      <c r="P212">
        <v>51</v>
      </c>
      <c r="Q212" t="s">
        <v>469</v>
      </c>
    </row>
    <row r="213" spans="1:17" x14ac:dyDescent="0.3">
      <c r="A213" t="s">
        <v>17</v>
      </c>
      <c r="B213" t="str">
        <f>"600242"</f>
        <v>600242</v>
      </c>
      <c r="C213" t="s">
        <v>470</v>
      </c>
      <c r="D213" t="s">
        <v>89</v>
      </c>
      <c r="F213">
        <v>-129211551</v>
      </c>
      <c r="G213">
        <v>132122579</v>
      </c>
      <c r="H213">
        <v>-62299393</v>
      </c>
      <c r="I213">
        <v>-47679690</v>
      </c>
      <c r="J213">
        <v>33928035</v>
      </c>
      <c r="K213">
        <v>-88938950</v>
      </c>
      <c r="L213">
        <v>2589524</v>
      </c>
      <c r="M213">
        <v>-8401318</v>
      </c>
      <c r="N213">
        <v>42458795</v>
      </c>
      <c r="O213">
        <v>-10291750</v>
      </c>
      <c r="P213">
        <v>84</v>
      </c>
      <c r="Q213" t="s">
        <v>471</v>
      </c>
    </row>
    <row r="214" spans="1:17" x14ac:dyDescent="0.3">
      <c r="A214" t="s">
        <v>17</v>
      </c>
      <c r="B214" t="str">
        <f>"600243"</f>
        <v>600243</v>
      </c>
      <c r="C214" t="s">
        <v>472</v>
      </c>
      <c r="D214" t="s">
        <v>78</v>
      </c>
      <c r="F214">
        <v>-35171419</v>
      </c>
      <c r="G214">
        <v>25559064</v>
      </c>
      <c r="H214">
        <v>-23834603</v>
      </c>
      <c r="I214">
        <v>39993846</v>
      </c>
      <c r="J214">
        <v>5107223</v>
      </c>
      <c r="K214">
        <v>-266170579</v>
      </c>
      <c r="L214">
        <v>-53520986</v>
      </c>
      <c r="M214">
        <v>-105167968</v>
      </c>
      <c r="N214">
        <v>-94249462</v>
      </c>
      <c r="O214">
        <v>-157970829</v>
      </c>
      <c r="P214">
        <v>72</v>
      </c>
      <c r="Q214" t="s">
        <v>473</v>
      </c>
    </row>
    <row r="215" spans="1:17" x14ac:dyDescent="0.3">
      <c r="A215" t="s">
        <v>17</v>
      </c>
      <c r="B215" t="str">
        <f>"600246"</f>
        <v>600246</v>
      </c>
      <c r="C215" t="s">
        <v>474</v>
      </c>
      <c r="D215" t="s">
        <v>30</v>
      </c>
      <c r="F215">
        <v>43165834</v>
      </c>
      <c r="G215">
        <v>324663948</v>
      </c>
      <c r="H215">
        <v>-645099591</v>
      </c>
      <c r="I215">
        <v>274791089</v>
      </c>
      <c r="J215">
        <v>510347156</v>
      </c>
      <c r="K215">
        <v>805469093</v>
      </c>
      <c r="L215">
        <v>-34350127</v>
      </c>
      <c r="M215">
        <v>-1366779845</v>
      </c>
      <c r="N215">
        <v>-278093424</v>
      </c>
      <c r="O215">
        <v>621081966</v>
      </c>
      <c r="P215">
        <v>122</v>
      </c>
      <c r="Q215" t="s">
        <v>475</v>
      </c>
    </row>
    <row r="216" spans="1:17" x14ac:dyDescent="0.3">
      <c r="A216" t="s">
        <v>17</v>
      </c>
      <c r="B216" t="str">
        <f>"600247"</f>
        <v>600247</v>
      </c>
      <c r="C216" t="s">
        <v>476</v>
      </c>
      <c r="G216">
        <v>-659216</v>
      </c>
      <c r="H216">
        <v>-1238</v>
      </c>
      <c r="I216">
        <v>518547299</v>
      </c>
      <c r="J216">
        <v>-1058212</v>
      </c>
      <c r="K216">
        <v>-1164807</v>
      </c>
      <c r="L216">
        <v>4617926</v>
      </c>
      <c r="M216">
        <v>1805477</v>
      </c>
      <c r="N216">
        <v>84922507</v>
      </c>
      <c r="O216">
        <v>-81722816</v>
      </c>
      <c r="P216">
        <v>29</v>
      </c>
      <c r="Q216" t="s">
        <v>477</v>
      </c>
    </row>
    <row r="217" spans="1:17" x14ac:dyDescent="0.3">
      <c r="A217" t="s">
        <v>17</v>
      </c>
      <c r="B217" t="str">
        <f>"600248"</f>
        <v>600248</v>
      </c>
      <c r="C217" t="s">
        <v>478</v>
      </c>
      <c r="D217" t="s">
        <v>95</v>
      </c>
      <c r="F217">
        <v>-5980428172</v>
      </c>
      <c r="G217">
        <v>-373088717</v>
      </c>
      <c r="H217">
        <v>-865800056</v>
      </c>
      <c r="I217">
        <v>-37493580</v>
      </c>
      <c r="J217">
        <v>177355973</v>
      </c>
      <c r="K217">
        <v>105114176</v>
      </c>
      <c r="L217">
        <v>-508078771</v>
      </c>
      <c r="M217">
        <v>48693146</v>
      </c>
      <c r="N217">
        <v>130814917</v>
      </c>
      <c r="O217">
        <v>98858683</v>
      </c>
      <c r="P217">
        <v>143</v>
      </c>
      <c r="Q217" t="s">
        <v>479</v>
      </c>
    </row>
    <row r="218" spans="1:17" x14ac:dyDescent="0.3">
      <c r="A218" t="s">
        <v>17</v>
      </c>
      <c r="B218" t="str">
        <f>"600249"</f>
        <v>600249</v>
      </c>
      <c r="C218" t="s">
        <v>480</v>
      </c>
      <c r="D218" t="s">
        <v>481</v>
      </c>
      <c r="F218">
        <v>-85064254</v>
      </c>
      <c r="G218">
        <v>-30800630</v>
      </c>
      <c r="H218">
        <v>11753907</v>
      </c>
      <c r="I218">
        <v>-35200584</v>
      </c>
      <c r="J218">
        <v>-175296815</v>
      </c>
      <c r="K218">
        <v>-18477097</v>
      </c>
      <c r="L218">
        <v>-417579100</v>
      </c>
      <c r="M218">
        <v>-236785816</v>
      </c>
      <c r="N218">
        <v>-90059685</v>
      </c>
      <c r="O218">
        <v>-248433146</v>
      </c>
      <c r="P218">
        <v>90</v>
      </c>
      <c r="Q218" t="s">
        <v>482</v>
      </c>
    </row>
    <row r="219" spans="1:17" x14ac:dyDescent="0.3">
      <c r="A219" t="s">
        <v>17</v>
      </c>
      <c r="B219" t="str">
        <f>"600250"</f>
        <v>600250</v>
      </c>
      <c r="C219" t="s">
        <v>483</v>
      </c>
      <c r="D219" t="s">
        <v>120</v>
      </c>
      <c r="F219">
        <v>-76028297</v>
      </c>
      <c r="G219">
        <v>57575541</v>
      </c>
      <c r="H219">
        <v>-91300735</v>
      </c>
      <c r="I219">
        <v>-169112128</v>
      </c>
      <c r="J219">
        <v>-98695319</v>
      </c>
      <c r="K219">
        <v>64484508</v>
      </c>
      <c r="L219">
        <v>-340562478</v>
      </c>
      <c r="M219">
        <v>26311435</v>
      </c>
      <c r="N219">
        <v>-122095388</v>
      </c>
      <c r="O219">
        <v>-53295217</v>
      </c>
      <c r="P219">
        <v>70</v>
      </c>
      <c r="Q219" t="s">
        <v>484</v>
      </c>
    </row>
    <row r="220" spans="1:17" x14ac:dyDescent="0.3">
      <c r="A220" t="s">
        <v>17</v>
      </c>
      <c r="B220" t="str">
        <f>"600251"</f>
        <v>600251</v>
      </c>
      <c r="C220" t="s">
        <v>485</v>
      </c>
      <c r="D220" t="s">
        <v>205</v>
      </c>
      <c r="F220">
        <v>2182485870</v>
      </c>
      <c r="G220">
        <v>-101484191</v>
      </c>
      <c r="H220">
        <v>1029286809</v>
      </c>
      <c r="I220">
        <v>1169383128</v>
      </c>
      <c r="J220">
        <v>70730029</v>
      </c>
      <c r="K220">
        <v>254965128</v>
      </c>
      <c r="L220">
        <v>99702300</v>
      </c>
      <c r="M220">
        <v>-39895334</v>
      </c>
      <c r="N220">
        <v>112438960</v>
      </c>
      <c r="O220">
        <v>99110592</v>
      </c>
      <c r="P220">
        <v>148</v>
      </c>
      <c r="Q220" t="s">
        <v>486</v>
      </c>
    </row>
    <row r="221" spans="1:17" x14ac:dyDescent="0.3">
      <c r="A221" t="s">
        <v>17</v>
      </c>
      <c r="B221" t="str">
        <f>"600252"</f>
        <v>600252</v>
      </c>
      <c r="C221" t="s">
        <v>487</v>
      </c>
      <c r="D221" t="s">
        <v>113</v>
      </c>
      <c r="F221">
        <v>329296021</v>
      </c>
      <c r="G221">
        <v>371781333</v>
      </c>
      <c r="H221">
        <v>524596063</v>
      </c>
      <c r="I221">
        <v>505519781</v>
      </c>
      <c r="J221">
        <v>607044463</v>
      </c>
      <c r="K221">
        <v>927408590</v>
      </c>
      <c r="L221">
        <v>-209524276</v>
      </c>
      <c r="M221">
        <v>376624948</v>
      </c>
      <c r="N221">
        <v>258543493</v>
      </c>
      <c r="O221">
        <v>118612670</v>
      </c>
      <c r="P221">
        <v>362</v>
      </c>
      <c r="Q221" t="s">
        <v>488</v>
      </c>
    </row>
    <row r="222" spans="1:17" x14ac:dyDescent="0.3">
      <c r="A222" t="s">
        <v>17</v>
      </c>
      <c r="B222" t="str">
        <f>"600253"</f>
        <v>600253</v>
      </c>
      <c r="C222" t="s">
        <v>489</v>
      </c>
      <c r="O222">
        <v>-60674778.240000002</v>
      </c>
      <c r="P222">
        <v>3</v>
      </c>
      <c r="Q222" t="s">
        <v>490</v>
      </c>
    </row>
    <row r="223" spans="1:17" x14ac:dyDescent="0.3">
      <c r="A223" t="s">
        <v>17</v>
      </c>
      <c r="B223" t="str">
        <f>"600255"</f>
        <v>600255</v>
      </c>
      <c r="C223" t="s">
        <v>491</v>
      </c>
      <c r="D223" t="s">
        <v>234</v>
      </c>
      <c r="F223">
        <v>-163173287</v>
      </c>
      <c r="G223">
        <v>-132711349</v>
      </c>
      <c r="H223">
        <v>199400416</v>
      </c>
      <c r="I223">
        <v>247416561</v>
      </c>
      <c r="J223">
        <v>266342202</v>
      </c>
      <c r="K223">
        <v>-159628853</v>
      </c>
      <c r="L223">
        <v>-381091242</v>
      </c>
      <c r="M223">
        <v>-156581495</v>
      </c>
      <c r="N223">
        <v>-225687770</v>
      </c>
      <c r="O223">
        <v>-144220639</v>
      </c>
      <c r="P223">
        <v>82</v>
      </c>
      <c r="Q223" t="s">
        <v>492</v>
      </c>
    </row>
    <row r="224" spans="1:17" x14ac:dyDescent="0.3">
      <c r="A224" t="s">
        <v>17</v>
      </c>
      <c r="B224" t="str">
        <f>"600256"</f>
        <v>600256</v>
      </c>
      <c r="C224" t="s">
        <v>493</v>
      </c>
      <c r="D224" t="s">
        <v>70</v>
      </c>
      <c r="F224">
        <v>1591792927</v>
      </c>
      <c r="G224">
        <v>993534796</v>
      </c>
      <c r="H224">
        <v>149631781</v>
      </c>
      <c r="I224">
        <v>2137096439</v>
      </c>
      <c r="J224">
        <v>471794176</v>
      </c>
      <c r="K224">
        <v>416540065</v>
      </c>
      <c r="L224">
        <v>-1143328393</v>
      </c>
      <c r="M224">
        <v>-1543900293</v>
      </c>
      <c r="N224">
        <v>-2834843476</v>
      </c>
      <c r="O224">
        <v>-1648420337</v>
      </c>
      <c r="P224">
        <v>496</v>
      </c>
      <c r="Q224" t="s">
        <v>494</v>
      </c>
    </row>
    <row r="225" spans="1:17" x14ac:dyDescent="0.3">
      <c r="A225" t="s">
        <v>17</v>
      </c>
      <c r="B225" t="str">
        <f>"600257"</f>
        <v>600257</v>
      </c>
      <c r="C225" t="s">
        <v>495</v>
      </c>
      <c r="D225" t="s">
        <v>205</v>
      </c>
      <c r="F225">
        <v>8792291</v>
      </c>
      <c r="G225">
        <v>-98478209</v>
      </c>
      <c r="H225">
        <v>-82276150</v>
      </c>
      <c r="I225">
        <v>-96835499</v>
      </c>
      <c r="J225">
        <v>-131473374</v>
      </c>
      <c r="K225">
        <v>-23299401</v>
      </c>
      <c r="L225">
        <v>-55774275</v>
      </c>
      <c r="M225">
        <v>-100608421</v>
      </c>
      <c r="N225">
        <v>-134790656</v>
      </c>
      <c r="O225">
        <v>-48742238</v>
      </c>
      <c r="P225">
        <v>96</v>
      </c>
      <c r="Q225" t="s">
        <v>496</v>
      </c>
    </row>
    <row r="226" spans="1:17" x14ac:dyDescent="0.3">
      <c r="A226" t="s">
        <v>17</v>
      </c>
      <c r="B226" t="str">
        <f>"600258"</f>
        <v>600258</v>
      </c>
      <c r="C226" t="s">
        <v>497</v>
      </c>
      <c r="D226" t="s">
        <v>110</v>
      </c>
      <c r="F226">
        <v>1244482248</v>
      </c>
      <c r="G226">
        <v>-239467001</v>
      </c>
      <c r="H226">
        <v>816279053</v>
      </c>
      <c r="I226">
        <v>995377537</v>
      </c>
      <c r="J226">
        <v>1224917585</v>
      </c>
      <c r="K226">
        <v>806662190</v>
      </c>
      <c r="L226">
        <v>237259594</v>
      </c>
      <c r="M226">
        <v>128265123</v>
      </c>
      <c r="N226">
        <v>127297849</v>
      </c>
      <c r="O226">
        <v>159052651</v>
      </c>
      <c r="P226">
        <v>516</v>
      </c>
      <c r="Q226" t="s">
        <v>498</v>
      </c>
    </row>
    <row r="227" spans="1:17" x14ac:dyDescent="0.3">
      <c r="A227" t="s">
        <v>17</v>
      </c>
      <c r="B227" t="str">
        <f>"600259"</f>
        <v>600259</v>
      </c>
      <c r="C227" t="s">
        <v>499</v>
      </c>
      <c r="D227" t="s">
        <v>234</v>
      </c>
      <c r="F227">
        <v>-820145010</v>
      </c>
      <c r="G227">
        <v>-181436426</v>
      </c>
      <c r="H227">
        <v>137858855</v>
      </c>
      <c r="I227">
        <v>-217428195</v>
      </c>
      <c r="J227">
        <v>-35750726</v>
      </c>
      <c r="K227">
        <v>-264132899</v>
      </c>
      <c r="L227">
        <v>-206870495</v>
      </c>
      <c r="M227">
        <v>-394703143</v>
      </c>
      <c r="N227">
        <v>-281653856</v>
      </c>
      <c r="O227">
        <v>-96973777</v>
      </c>
      <c r="P227">
        <v>221</v>
      </c>
      <c r="Q227" t="s">
        <v>500</v>
      </c>
    </row>
    <row r="228" spans="1:17" x14ac:dyDescent="0.3">
      <c r="A228" t="s">
        <v>17</v>
      </c>
      <c r="B228" t="str">
        <f>"600260"</f>
        <v>600260</v>
      </c>
      <c r="C228" t="s">
        <v>501</v>
      </c>
      <c r="D228" t="s">
        <v>100</v>
      </c>
      <c r="F228">
        <v>-442819148</v>
      </c>
      <c r="G228">
        <v>2112248642</v>
      </c>
      <c r="H228">
        <v>2131217802</v>
      </c>
      <c r="I228">
        <v>1071037679</v>
      </c>
      <c r="J228">
        <v>-1041475527</v>
      </c>
      <c r="K228">
        <v>-1450970045</v>
      </c>
      <c r="L228">
        <v>58754527</v>
      </c>
      <c r="M228">
        <v>-211936150</v>
      </c>
      <c r="N228">
        <v>-118452911</v>
      </c>
      <c r="O228">
        <v>-51505972</v>
      </c>
      <c r="P228">
        <v>467</v>
      </c>
      <c r="Q228" t="s">
        <v>502</v>
      </c>
    </row>
    <row r="229" spans="1:17" x14ac:dyDescent="0.3">
      <c r="A229" t="s">
        <v>17</v>
      </c>
      <c r="B229" t="str">
        <f>"600261"</f>
        <v>600261</v>
      </c>
      <c r="C229" t="s">
        <v>503</v>
      </c>
      <c r="D229" t="s">
        <v>126</v>
      </c>
      <c r="F229">
        <v>58629642</v>
      </c>
      <c r="G229">
        <v>332270412</v>
      </c>
      <c r="H229">
        <v>388134692</v>
      </c>
      <c r="I229">
        <v>29460075</v>
      </c>
      <c r="J229">
        <v>6599719</v>
      </c>
      <c r="K229">
        <v>623677961</v>
      </c>
      <c r="L229">
        <v>226296137</v>
      </c>
      <c r="M229">
        <v>381209441</v>
      </c>
      <c r="N229">
        <v>-12236701</v>
      </c>
      <c r="O229">
        <v>-179476511</v>
      </c>
      <c r="P229">
        <v>440</v>
      </c>
      <c r="Q229" t="s">
        <v>504</v>
      </c>
    </row>
    <row r="230" spans="1:17" x14ac:dyDescent="0.3">
      <c r="A230" t="s">
        <v>17</v>
      </c>
      <c r="B230" t="str">
        <f>"600262"</f>
        <v>600262</v>
      </c>
      <c r="C230" t="s">
        <v>505</v>
      </c>
      <c r="D230" t="s">
        <v>78</v>
      </c>
      <c r="F230">
        <v>12193788</v>
      </c>
      <c r="G230">
        <v>-7357129</v>
      </c>
      <c r="H230">
        <v>-329331107</v>
      </c>
      <c r="I230">
        <v>-192080137</v>
      </c>
      <c r="J230">
        <v>149077589</v>
      </c>
      <c r="K230">
        <v>230943639</v>
      </c>
      <c r="L230">
        <v>106736714</v>
      </c>
      <c r="M230">
        <v>-24648594</v>
      </c>
      <c r="N230">
        <v>-277692275</v>
      </c>
      <c r="O230">
        <v>111824923</v>
      </c>
      <c r="P230">
        <v>75</v>
      </c>
      <c r="Q230" t="s">
        <v>506</v>
      </c>
    </row>
    <row r="231" spans="1:17" x14ac:dyDescent="0.3">
      <c r="A231" t="s">
        <v>17</v>
      </c>
      <c r="B231" t="str">
        <f>"600265"</f>
        <v>600265</v>
      </c>
      <c r="C231" t="s">
        <v>507</v>
      </c>
      <c r="D231" t="s">
        <v>205</v>
      </c>
      <c r="F231">
        <v>-3645061</v>
      </c>
      <c r="G231">
        <v>25360183</v>
      </c>
      <c r="H231">
        <v>-28687106</v>
      </c>
      <c r="I231">
        <v>4188404</v>
      </c>
      <c r="J231">
        <v>-29590759</v>
      </c>
      <c r="K231">
        <v>-15377647</v>
      </c>
      <c r="L231">
        <v>11021061</v>
      </c>
      <c r="M231">
        <v>48216506</v>
      </c>
      <c r="N231">
        <v>13376777</v>
      </c>
      <c r="O231">
        <v>-63383139</v>
      </c>
      <c r="P231">
        <v>46</v>
      </c>
      <c r="Q231" t="s">
        <v>508</v>
      </c>
    </row>
    <row r="232" spans="1:17" x14ac:dyDescent="0.3">
      <c r="A232" t="s">
        <v>17</v>
      </c>
      <c r="B232" t="str">
        <f>"600266"</f>
        <v>600266</v>
      </c>
      <c r="C232" t="s">
        <v>509</v>
      </c>
      <c r="D232" t="s">
        <v>30</v>
      </c>
      <c r="F232">
        <v>-358215426</v>
      </c>
      <c r="G232">
        <v>-4524572755</v>
      </c>
      <c r="H232">
        <v>-2297181456</v>
      </c>
      <c r="I232">
        <v>-4404677059</v>
      </c>
      <c r="J232">
        <v>-12941327354</v>
      </c>
      <c r="K232">
        <v>1101923386</v>
      </c>
      <c r="L232">
        <v>-3230005159</v>
      </c>
      <c r="M232">
        <v>-5210775724</v>
      </c>
      <c r="N232">
        <v>-1860290503</v>
      </c>
      <c r="O232">
        <v>1969142094</v>
      </c>
      <c r="P232">
        <v>338</v>
      </c>
      <c r="Q232" t="s">
        <v>510</v>
      </c>
    </row>
    <row r="233" spans="1:17" x14ac:dyDescent="0.3">
      <c r="A233" t="s">
        <v>17</v>
      </c>
      <c r="B233" t="str">
        <f>"600267"</f>
        <v>600267</v>
      </c>
      <c r="C233" t="s">
        <v>511</v>
      </c>
      <c r="D233" t="s">
        <v>113</v>
      </c>
      <c r="F233">
        <v>864310842</v>
      </c>
      <c r="G233">
        <v>757812118</v>
      </c>
      <c r="H233">
        <v>-331163789</v>
      </c>
      <c r="I233">
        <v>64708664</v>
      </c>
      <c r="J233">
        <v>-417659542</v>
      </c>
      <c r="K233">
        <v>-809188262</v>
      </c>
      <c r="L233">
        <v>-284319247</v>
      </c>
      <c r="M233">
        <v>-1240737409</v>
      </c>
      <c r="N233">
        <v>-961924453</v>
      </c>
      <c r="O233">
        <v>-783792755</v>
      </c>
      <c r="P233">
        <v>532</v>
      </c>
      <c r="Q233" t="s">
        <v>512</v>
      </c>
    </row>
    <row r="234" spans="1:17" x14ac:dyDescent="0.3">
      <c r="A234" t="s">
        <v>17</v>
      </c>
      <c r="B234" t="str">
        <f>"600268"</f>
        <v>600268</v>
      </c>
      <c r="C234" t="s">
        <v>513</v>
      </c>
      <c r="D234" t="s">
        <v>188</v>
      </c>
      <c r="F234">
        <v>-324875850</v>
      </c>
      <c r="G234">
        <v>-186129266</v>
      </c>
      <c r="H234">
        <v>-276197157</v>
      </c>
      <c r="I234">
        <v>-200303387</v>
      </c>
      <c r="J234">
        <v>-723444206</v>
      </c>
      <c r="K234">
        <v>-522681393</v>
      </c>
      <c r="L234">
        <v>-456570192</v>
      </c>
      <c r="M234">
        <v>-619772185</v>
      </c>
      <c r="N234">
        <v>-411068401</v>
      </c>
      <c r="O234">
        <v>-1070815353</v>
      </c>
      <c r="P234">
        <v>245</v>
      </c>
      <c r="Q234" t="s">
        <v>514</v>
      </c>
    </row>
    <row r="235" spans="1:17" x14ac:dyDescent="0.3">
      <c r="A235" t="s">
        <v>17</v>
      </c>
      <c r="B235" t="str">
        <f>"600269"</f>
        <v>600269</v>
      </c>
      <c r="C235" t="s">
        <v>515</v>
      </c>
      <c r="D235" t="s">
        <v>22</v>
      </c>
      <c r="F235">
        <v>2073386892</v>
      </c>
      <c r="G235">
        <v>990872141</v>
      </c>
      <c r="H235">
        <v>17232715</v>
      </c>
      <c r="I235">
        <v>-146980038</v>
      </c>
      <c r="J235">
        <v>921674280</v>
      </c>
      <c r="K235">
        <v>496077283</v>
      </c>
      <c r="L235">
        <v>-24015604</v>
      </c>
      <c r="M235">
        <v>-482765518</v>
      </c>
      <c r="N235">
        <v>-586083086</v>
      </c>
      <c r="O235">
        <v>-475768086</v>
      </c>
      <c r="P235">
        <v>405</v>
      </c>
      <c r="Q235" t="s">
        <v>516</v>
      </c>
    </row>
    <row r="236" spans="1:17" x14ac:dyDescent="0.3">
      <c r="A236" t="s">
        <v>17</v>
      </c>
      <c r="B236" t="str">
        <f>"600270"</f>
        <v>600270</v>
      </c>
      <c r="C236" t="s">
        <v>517</v>
      </c>
      <c r="I236">
        <v>34443274</v>
      </c>
      <c r="J236">
        <v>210477751</v>
      </c>
      <c r="K236">
        <v>-309789967.30000001</v>
      </c>
      <c r="L236">
        <v>-333916836.11000001</v>
      </c>
      <c r="M236">
        <v>-209897525.71000001</v>
      </c>
      <c r="N236">
        <v>-63214410.950000003</v>
      </c>
      <c r="O236">
        <v>-159861528.11000001</v>
      </c>
      <c r="P236">
        <v>101</v>
      </c>
      <c r="Q236" t="s">
        <v>518</v>
      </c>
    </row>
    <row r="237" spans="1:17" x14ac:dyDescent="0.3">
      <c r="A237" t="s">
        <v>17</v>
      </c>
      <c r="B237" t="str">
        <f>"600271"</f>
        <v>600271</v>
      </c>
      <c r="C237" t="s">
        <v>519</v>
      </c>
      <c r="D237" t="s">
        <v>212</v>
      </c>
      <c r="F237">
        <v>-1248888042</v>
      </c>
      <c r="G237">
        <v>122928282</v>
      </c>
      <c r="H237">
        <v>-1667643233</v>
      </c>
      <c r="I237">
        <v>-1211379137</v>
      </c>
      <c r="J237">
        <v>606047006</v>
      </c>
      <c r="K237">
        <v>537586824</v>
      </c>
      <c r="L237">
        <v>232249288</v>
      </c>
      <c r="M237">
        <v>-462385798</v>
      </c>
      <c r="N237">
        <v>178835396</v>
      </c>
      <c r="O237">
        <v>-302716531</v>
      </c>
      <c r="P237">
        <v>16700</v>
      </c>
      <c r="Q237" t="s">
        <v>520</v>
      </c>
    </row>
    <row r="238" spans="1:17" x14ac:dyDescent="0.3">
      <c r="A238" t="s">
        <v>17</v>
      </c>
      <c r="B238" t="str">
        <f>"600272"</f>
        <v>600272</v>
      </c>
      <c r="C238" t="s">
        <v>521</v>
      </c>
      <c r="D238" t="s">
        <v>113</v>
      </c>
      <c r="F238">
        <v>-24997990</v>
      </c>
      <c r="G238">
        <v>17384277</v>
      </c>
      <c r="H238">
        <v>-13159840</v>
      </c>
      <c r="I238">
        <v>-21559299</v>
      </c>
      <c r="J238">
        <v>1282320</v>
      </c>
      <c r="K238">
        <v>-8154565</v>
      </c>
      <c r="L238">
        <v>1131532</v>
      </c>
      <c r="M238">
        <v>-4103176</v>
      </c>
      <c r="N238">
        <v>-4704813</v>
      </c>
      <c r="O238">
        <v>-11435671</v>
      </c>
      <c r="P238">
        <v>66</v>
      </c>
      <c r="Q238" t="s">
        <v>522</v>
      </c>
    </row>
    <row r="239" spans="1:17" x14ac:dyDescent="0.3">
      <c r="A239" t="s">
        <v>17</v>
      </c>
      <c r="B239" t="str">
        <f>"600273"</f>
        <v>600273</v>
      </c>
      <c r="C239" t="s">
        <v>523</v>
      </c>
      <c r="D239" t="s">
        <v>133</v>
      </c>
      <c r="F239">
        <v>727207657</v>
      </c>
      <c r="G239">
        <v>673596257</v>
      </c>
      <c r="H239">
        <v>862370221</v>
      </c>
      <c r="I239">
        <v>535766508</v>
      </c>
      <c r="J239">
        <v>35124465</v>
      </c>
      <c r="K239">
        <v>106262412</v>
      </c>
      <c r="L239">
        <v>252737386</v>
      </c>
      <c r="M239">
        <v>58591005</v>
      </c>
      <c r="N239">
        <v>-84693706</v>
      </c>
      <c r="O239">
        <v>229644592</v>
      </c>
      <c r="P239">
        <v>3524</v>
      </c>
      <c r="Q239" t="s">
        <v>524</v>
      </c>
    </row>
    <row r="240" spans="1:17" x14ac:dyDescent="0.3">
      <c r="A240" t="s">
        <v>17</v>
      </c>
      <c r="B240" t="str">
        <f>"600275"</f>
        <v>600275</v>
      </c>
      <c r="C240" t="s">
        <v>525</v>
      </c>
      <c r="D240" t="s">
        <v>205</v>
      </c>
      <c r="F240">
        <v>-9858714</v>
      </c>
      <c r="G240">
        <v>-6817905</v>
      </c>
      <c r="H240">
        <v>-13358533</v>
      </c>
      <c r="I240">
        <v>-20554070</v>
      </c>
      <c r="J240">
        <v>8792189</v>
      </c>
      <c r="K240">
        <v>13068604</v>
      </c>
      <c r="L240">
        <v>-18781413</v>
      </c>
      <c r="M240">
        <v>446476</v>
      </c>
      <c r="N240">
        <v>-16710720</v>
      </c>
      <c r="O240">
        <v>-27382680</v>
      </c>
      <c r="P240">
        <v>47</v>
      </c>
      <c r="Q240" t="s">
        <v>526</v>
      </c>
    </row>
    <row r="241" spans="1:17" x14ac:dyDescent="0.3">
      <c r="A241" t="s">
        <v>17</v>
      </c>
      <c r="B241" t="str">
        <f>"600276"</f>
        <v>600276</v>
      </c>
      <c r="C241" t="s">
        <v>527</v>
      </c>
      <c r="D241" t="s">
        <v>113</v>
      </c>
      <c r="F241">
        <v>2184802443</v>
      </c>
      <c r="G241">
        <v>3625221167</v>
      </c>
      <c r="H241">
        <v>2306865206</v>
      </c>
      <c r="I241">
        <v>1720437628</v>
      </c>
      <c r="J241">
        <v>1690400114</v>
      </c>
      <c r="K241">
        <v>1256533060</v>
      </c>
      <c r="L241">
        <v>1332372272</v>
      </c>
      <c r="M241">
        <v>932037433</v>
      </c>
      <c r="N241">
        <v>551416437</v>
      </c>
      <c r="O241">
        <v>399224675</v>
      </c>
      <c r="P241">
        <v>70857</v>
      </c>
      <c r="Q241" t="s">
        <v>528</v>
      </c>
    </row>
    <row r="242" spans="1:17" x14ac:dyDescent="0.3">
      <c r="A242" t="s">
        <v>17</v>
      </c>
      <c r="B242" t="str">
        <f>"600277"</f>
        <v>600277</v>
      </c>
      <c r="C242" t="s">
        <v>529</v>
      </c>
      <c r="D242" t="s">
        <v>133</v>
      </c>
      <c r="F242">
        <v>1286298249</v>
      </c>
      <c r="G242">
        <v>966944093</v>
      </c>
      <c r="H242">
        <v>1441288735</v>
      </c>
      <c r="I242">
        <v>1694152347</v>
      </c>
      <c r="J242">
        <v>2275492412</v>
      </c>
      <c r="K242">
        <v>428973680</v>
      </c>
      <c r="L242">
        <v>788903768</v>
      </c>
      <c r="M242">
        <v>890165259</v>
      </c>
      <c r="N242">
        <v>-479661385</v>
      </c>
      <c r="O242">
        <v>-175607806</v>
      </c>
      <c r="P242">
        <v>187</v>
      </c>
      <c r="Q242" t="s">
        <v>530</v>
      </c>
    </row>
    <row r="243" spans="1:17" x14ac:dyDescent="0.3">
      <c r="A243" t="s">
        <v>17</v>
      </c>
      <c r="B243" t="str">
        <f>"600278"</f>
        <v>600278</v>
      </c>
      <c r="C243" t="s">
        <v>531</v>
      </c>
      <c r="D243" t="s">
        <v>120</v>
      </c>
      <c r="F243">
        <v>-792004654</v>
      </c>
      <c r="G243">
        <v>-228424234</v>
      </c>
      <c r="H243">
        <v>-7117770</v>
      </c>
      <c r="I243">
        <v>-451702951</v>
      </c>
      <c r="J243">
        <v>-318788216</v>
      </c>
      <c r="K243">
        <v>401865404</v>
      </c>
      <c r="L243">
        <v>91123655</v>
      </c>
      <c r="M243">
        <v>-278430597</v>
      </c>
      <c r="N243">
        <v>144805637</v>
      </c>
      <c r="O243">
        <v>-94015723</v>
      </c>
      <c r="P243">
        <v>90</v>
      </c>
      <c r="Q243" t="s">
        <v>532</v>
      </c>
    </row>
    <row r="244" spans="1:17" x14ac:dyDescent="0.3">
      <c r="A244" t="s">
        <v>17</v>
      </c>
      <c r="B244" t="str">
        <f>"600279"</f>
        <v>600279</v>
      </c>
      <c r="C244" t="s">
        <v>533</v>
      </c>
      <c r="D244" t="s">
        <v>22</v>
      </c>
      <c r="F244">
        <v>120818964</v>
      </c>
      <c r="G244">
        <v>400247785</v>
      </c>
      <c r="H244">
        <v>102091250</v>
      </c>
      <c r="I244">
        <v>208011322</v>
      </c>
      <c r="J244">
        <v>-195590346</v>
      </c>
      <c r="K244">
        <v>-97611540</v>
      </c>
      <c r="L244">
        <v>-216876371</v>
      </c>
      <c r="M244">
        <v>120980837</v>
      </c>
      <c r="N244">
        <v>284633742</v>
      </c>
      <c r="O244">
        <v>-32670417</v>
      </c>
      <c r="P244">
        <v>125</v>
      </c>
      <c r="Q244" t="s">
        <v>534</v>
      </c>
    </row>
    <row r="245" spans="1:17" x14ac:dyDescent="0.3">
      <c r="A245" t="s">
        <v>17</v>
      </c>
      <c r="B245" t="str">
        <f>"600280"</f>
        <v>600280</v>
      </c>
      <c r="C245" t="s">
        <v>535</v>
      </c>
      <c r="D245" t="s">
        <v>120</v>
      </c>
      <c r="F245">
        <v>201048146</v>
      </c>
      <c r="G245">
        <v>-273565692</v>
      </c>
      <c r="H245">
        <v>213585915</v>
      </c>
      <c r="I245">
        <v>-219470168</v>
      </c>
      <c r="J245">
        <v>-185423522</v>
      </c>
      <c r="K245">
        <v>-72083038</v>
      </c>
      <c r="L245">
        <v>-736283813</v>
      </c>
      <c r="M245">
        <v>-575316498</v>
      </c>
      <c r="N245">
        <v>-685104244</v>
      </c>
      <c r="O245">
        <v>-382694190</v>
      </c>
      <c r="P245">
        <v>81</v>
      </c>
      <c r="Q245" t="s">
        <v>536</v>
      </c>
    </row>
    <row r="246" spans="1:17" x14ac:dyDescent="0.3">
      <c r="A246" t="s">
        <v>17</v>
      </c>
      <c r="B246" t="str">
        <f>"600281"</f>
        <v>600281</v>
      </c>
      <c r="C246" t="s">
        <v>537</v>
      </c>
      <c r="D246" t="s">
        <v>234</v>
      </c>
      <c r="F246">
        <v>-77033874</v>
      </c>
      <c r="G246">
        <v>21951637</v>
      </c>
      <c r="H246">
        <v>-199230874</v>
      </c>
      <c r="I246">
        <v>-20292610</v>
      </c>
      <c r="J246">
        <v>-97667234</v>
      </c>
      <c r="K246">
        <v>-76620626</v>
      </c>
      <c r="L246">
        <v>-8081518</v>
      </c>
      <c r="M246">
        <v>22868736</v>
      </c>
      <c r="N246">
        <v>-125054414</v>
      </c>
      <c r="O246">
        <v>3006404</v>
      </c>
      <c r="P246">
        <v>68</v>
      </c>
      <c r="Q246" t="s">
        <v>538</v>
      </c>
    </row>
    <row r="247" spans="1:17" x14ac:dyDescent="0.3">
      <c r="A247" t="s">
        <v>17</v>
      </c>
      <c r="B247" t="str">
        <f>"600282"</f>
        <v>600282</v>
      </c>
      <c r="C247" t="s">
        <v>539</v>
      </c>
      <c r="D247" t="s">
        <v>38</v>
      </c>
      <c r="F247">
        <v>2134773934</v>
      </c>
      <c r="G247">
        <v>602148813</v>
      </c>
      <c r="H247">
        <v>1680699545</v>
      </c>
      <c r="I247">
        <v>3540554531</v>
      </c>
      <c r="J247">
        <v>1510098145</v>
      </c>
      <c r="K247">
        <v>2268514485</v>
      </c>
      <c r="L247">
        <v>-1126862805</v>
      </c>
      <c r="M247">
        <v>1866049638</v>
      </c>
      <c r="N247">
        <v>-755573145</v>
      </c>
      <c r="O247">
        <v>-600669528</v>
      </c>
      <c r="P247">
        <v>1310</v>
      </c>
      <c r="Q247" t="s">
        <v>540</v>
      </c>
    </row>
    <row r="248" spans="1:17" x14ac:dyDescent="0.3">
      <c r="A248" t="s">
        <v>17</v>
      </c>
      <c r="B248" t="str">
        <f>"600283"</f>
        <v>600283</v>
      </c>
      <c r="C248" t="s">
        <v>541</v>
      </c>
      <c r="D248" t="s">
        <v>33</v>
      </c>
      <c r="F248">
        <v>21085610</v>
      </c>
      <c r="G248">
        <v>-35789502</v>
      </c>
      <c r="H248">
        <v>70144109</v>
      </c>
      <c r="I248">
        <v>158904993</v>
      </c>
      <c r="J248">
        <v>88309328</v>
      </c>
      <c r="K248">
        <v>-95898430</v>
      </c>
      <c r="L248">
        <v>-181943592</v>
      </c>
      <c r="M248">
        <v>-346192279</v>
      </c>
      <c r="N248">
        <v>-147716845</v>
      </c>
      <c r="O248">
        <v>-20627946</v>
      </c>
      <c r="P248">
        <v>122</v>
      </c>
      <c r="Q248" t="s">
        <v>542</v>
      </c>
    </row>
    <row r="249" spans="1:17" x14ac:dyDescent="0.3">
      <c r="A249" t="s">
        <v>17</v>
      </c>
      <c r="B249" t="str">
        <f>"600284"</f>
        <v>600284</v>
      </c>
      <c r="C249" t="s">
        <v>543</v>
      </c>
      <c r="D249" t="s">
        <v>95</v>
      </c>
      <c r="F249">
        <v>-954675172</v>
      </c>
      <c r="G249">
        <v>-1467381595</v>
      </c>
      <c r="H249">
        <v>547531115</v>
      </c>
      <c r="I249">
        <v>-148569265</v>
      </c>
      <c r="J249">
        <v>91082065</v>
      </c>
      <c r="K249">
        <v>-451621695</v>
      </c>
      <c r="L249">
        <v>-760622419</v>
      </c>
      <c r="M249">
        <v>-701609399</v>
      </c>
      <c r="N249">
        <v>-447285926</v>
      </c>
      <c r="O249">
        <v>-365252681</v>
      </c>
      <c r="P249">
        <v>172</v>
      </c>
      <c r="Q249" t="s">
        <v>544</v>
      </c>
    </row>
    <row r="250" spans="1:17" x14ac:dyDescent="0.3">
      <c r="A250" t="s">
        <v>17</v>
      </c>
      <c r="B250" t="str">
        <f>"600285"</f>
        <v>600285</v>
      </c>
      <c r="C250" t="s">
        <v>545</v>
      </c>
      <c r="D250" t="s">
        <v>113</v>
      </c>
      <c r="F250">
        <v>573867746</v>
      </c>
      <c r="G250">
        <v>288949051</v>
      </c>
      <c r="H250">
        <v>313841567</v>
      </c>
      <c r="I250">
        <v>260113654</v>
      </c>
      <c r="J250">
        <v>-215630292</v>
      </c>
      <c r="K250">
        <v>-100242104</v>
      </c>
      <c r="L250">
        <v>64873463</v>
      </c>
      <c r="M250">
        <v>-165641417</v>
      </c>
      <c r="N250">
        <v>-95350779</v>
      </c>
      <c r="O250">
        <v>-56408590</v>
      </c>
      <c r="P250">
        <v>606</v>
      </c>
      <c r="Q250" t="s">
        <v>546</v>
      </c>
    </row>
    <row r="251" spans="1:17" x14ac:dyDescent="0.3">
      <c r="A251" t="s">
        <v>17</v>
      </c>
      <c r="B251" t="str">
        <f>"600286"</f>
        <v>600286</v>
      </c>
      <c r="C251" t="s">
        <v>547</v>
      </c>
      <c r="K251">
        <v>-5000293.6900000004</v>
      </c>
      <c r="P251">
        <v>18</v>
      </c>
      <c r="Q251" t="s">
        <v>548</v>
      </c>
    </row>
    <row r="252" spans="1:17" x14ac:dyDescent="0.3">
      <c r="A252" t="s">
        <v>17</v>
      </c>
      <c r="B252" t="str">
        <f>"600287"</f>
        <v>600287</v>
      </c>
      <c r="C252" t="s">
        <v>549</v>
      </c>
      <c r="D252" t="s">
        <v>120</v>
      </c>
      <c r="F252">
        <v>-712272453</v>
      </c>
      <c r="G252">
        <v>-322135819</v>
      </c>
      <c r="H252">
        <v>71428248</v>
      </c>
      <c r="I252">
        <v>42756500</v>
      </c>
      <c r="J252">
        <v>-128930652</v>
      </c>
      <c r="K252">
        <v>78549158</v>
      </c>
      <c r="L252">
        <v>198531873</v>
      </c>
      <c r="M252">
        <v>8253775</v>
      </c>
      <c r="N252">
        <v>809792196</v>
      </c>
      <c r="O252">
        <v>-207152421</v>
      </c>
      <c r="P252">
        <v>72</v>
      </c>
      <c r="Q252" t="s">
        <v>550</v>
      </c>
    </row>
    <row r="253" spans="1:17" x14ac:dyDescent="0.3">
      <c r="A253" t="s">
        <v>17</v>
      </c>
      <c r="B253" t="str">
        <f>"600288"</f>
        <v>600288</v>
      </c>
      <c r="C253" t="s">
        <v>551</v>
      </c>
      <c r="D253" t="s">
        <v>150</v>
      </c>
      <c r="F253">
        <v>-219937207</v>
      </c>
      <c r="G253">
        <v>-64601511</v>
      </c>
      <c r="H253">
        <v>-193564986</v>
      </c>
      <c r="I253">
        <v>-170734323</v>
      </c>
      <c r="J253">
        <v>-131492909</v>
      </c>
      <c r="K253">
        <v>-234399931</v>
      </c>
      <c r="L253">
        <v>-54799229</v>
      </c>
      <c r="M253">
        <v>-94480366</v>
      </c>
      <c r="N253">
        <v>-269160459</v>
      </c>
      <c r="O253">
        <v>-282059343</v>
      </c>
      <c r="P253">
        <v>95</v>
      </c>
      <c r="Q253" t="s">
        <v>552</v>
      </c>
    </row>
    <row r="254" spans="1:17" x14ac:dyDescent="0.3">
      <c r="A254" t="s">
        <v>17</v>
      </c>
      <c r="B254" t="str">
        <f>"600289"</f>
        <v>600289</v>
      </c>
      <c r="C254" t="s">
        <v>553</v>
      </c>
      <c r="D254" t="s">
        <v>100</v>
      </c>
      <c r="F254">
        <v>-147962632</v>
      </c>
      <c r="G254">
        <v>-90385517</v>
      </c>
      <c r="H254">
        <v>-165416931</v>
      </c>
      <c r="I254">
        <v>-192954161</v>
      </c>
      <c r="J254">
        <v>-608826431</v>
      </c>
      <c r="K254">
        <v>-384008008</v>
      </c>
      <c r="L254">
        <v>-119339929</v>
      </c>
      <c r="M254">
        <v>-95781632</v>
      </c>
      <c r="N254">
        <v>-176516153</v>
      </c>
      <c r="O254">
        <v>-80548083</v>
      </c>
      <c r="P254">
        <v>74</v>
      </c>
      <c r="Q254" t="s">
        <v>554</v>
      </c>
    </row>
    <row r="255" spans="1:17" x14ac:dyDescent="0.3">
      <c r="A255" t="s">
        <v>17</v>
      </c>
      <c r="B255" t="str">
        <f>"600290"</f>
        <v>600290</v>
      </c>
      <c r="C255" t="s">
        <v>555</v>
      </c>
      <c r="D255" t="s">
        <v>188</v>
      </c>
      <c r="F255">
        <v>-2686714</v>
      </c>
      <c r="G255">
        <v>-251334629</v>
      </c>
      <c r="H255">
        <v>89119628</v>
      </c>
      <c r="I255">
        <v>339181201</v>
      </c>
      <c r="J255">
        <v>-500468228</v>
      </c>
      <c r="K255">
        <v>-512793637</v>
      </c>
      <c r="L255">
        <v>-64913317</v>
      </c>
      <c r="M255">
        <v>-156011824</v>
      </c>
      <c r="N255">
        <v>1728595</v>
      </c>
      <c r="O255">
        <v>-156841883</v>
      </c>
      <c r="P255">
        <v>68</v>
      </c>
      <c r="Q255" t="s">
        <v>556</v>
      </c>
    </row>
    <row r="256" spans="1:17" x14ac:dyDescent="0.3">
      <c r="A256" t="s">
        <v>17</v>
      </c>
      <c r="B256" t="str">
        <f>"600291"</f>
        <v>600291</v>
      </c>
      <c r="C256" t="s">
        <v>557</v>
      </c>
      <c r="D256" t="s">
        <v>75</v>
      </c>
      <c r="F256">
        <v>38889628</v>
      </c>
      <c r="G256">
        <v>-1333283171</v>
      </c>
      <c r="H256">
        <v>-49008749462</v>
      </c>
      <c r="I256">
        <v>-104646321449</v>
      </c>
      <c r="J256">
        <v>-79174614981</v>
      </c>
      <c r="K256">
        <v>100729638496</v>
      </c>
      <c r="L256">
        <v>80513950257</v>
      </c>
      <c r="M256">
        <v>13983980301.120001</v>
      </c>
      <c r="N256">
        <v>891413236.19000006</v>
      </c>
      <c r="O256">
        <v>103029950.09999999</v>
      </c>
      <c r="P256">
        <v>276</v>
      </c>
      <c r="Q256" t="s">
        <v>558</v>
      </c>
    </row>
    <row r="257" spans="1:17" x14ac:dyDescent="0.3">
      <c r="A257" t="s">
        <v>17</v>
      </c>
      <c r="B257" t="str">
        <f>"600292"</f>
        <v>600292</v>
      </c>
      <c r="C257" t="s">
        <v>559</v>
      </c>
      <c r="D257" t="s">
        <v>33</v>
      </c>
      <c r="F257">
        <v>-15010671</v>
      </c>
      <c r="G257">
        <v>-843767253</v>
      </c>
      <c r="H257">
        <v>-236000464</v>
      </c>
      <c r="I257">
        <v>-63367530</v>
      </c>
      <c r="J257">
        <v>-167955230</v>
      </c>
      <c r="K257">
        <v>32475961</v>
      </c>
      <c r="L257">
        <v>153398215</v>
      </c>
      <c r="M257">
        <v>-539335471</v>
      </c>
      <c r="N257">
        <v>143515118</v>
      </c>
      <c r="O257">
        <v>-298163700</v>
      </c>
      <c r="P257">
        <v>144</v>
      </c>
      <c r="Q257" t="s">
        <v>560</v>
      </c>
    </row>
    <row r="258" spans="1:17" x14ac:dyDescent="0.3">
      <c r="A258" t="s">
        <v>17</v>
      </c>
      <c r="B258" t="str">
        <f>"600293"</f>
        <v>600293</v>
      </c>
      <c r="C258" t="s">
        <v>561</v>
      </c>
      <c r="D258" t="s">
        <v>350</v>
      </c>
      <c r="F258">
        <v>222782213</v>
      </c>
      <c r="G258">
        <v>38033506</v>
      </c>
      <c r="H258">
        <v>91599246</v>
      </c>
      <c r="I258">
        <v>105166940</v>
      </c>
      <c r="J258">
        <v>285045428</v>
      </c>
      <c r="K258">
        <v>12846260</v>
      </c>
      <c r="L258">
        <v>3471046</v>
      </c>
      <c r="M258">
        <v>98367572</v>
      </c>
      <c r="N258">
        <v>57959449</v>
      </c>
      <c r="O258">
        <v>60000756</v>
      </c>
      <c r="P258">
        <v>126</v>
      </c>
      <c r="Q258" t="s">
        <v>562</v>
      </c>
    </row>
    <row r="259" spans="1:17" x14ac:dyDescent="0.3">
      <c r="A259" t="s">
        <v>17</v>
      </c>
      <c r="B259" t="str">
        <f>"600295"</f>
        <v>600295</v>
      </c>
      <c r="C259" t="s">
        <v>563</v>
      </c>
      <c r="D259" t="s">
        <v>38</v>
      </c>
      <c r="F259">
        <v>8854967912</v>
      </c>
      <c r="G259">
        <v>3901211097</v>
      </c>
      <c r="H259">
        <v>2020279101</v>
      </c>
      <c r="I259">
        <v>5705482950</v>
      </c>
      <c r="J259">
        <v>1889285450</v>
      </c>
      <c r="K259">
        <v>3516019759</v>
      </c>
      <c r="L259">
        <v>1747886306</v>
      </c>
      <c r="M259">
        <v>1917361941</v>
      </c>
      <c r="N259">
        <v>-775174501</v>
      </c>
      <c r="O259">
        <v>-1381733131</v>
      </c>
      <c r="P259">
        <v>435</v>
      </c>
      <c r="Q259" t="s">
        <v>564</v>
      </c>
    </row>
    <row r="260" spans="1:17" x14ac:dyDescent="0.3">
      <c r="A260" t="s">
        <v>17</v>
      </c>
      <c r="B260" t="str">
        <f>"600297"</f>
        <v>600297</v>
      </c>
      <c r="C260" t="s">
        <v>565</v>
      </c>
      <c r="D260" t="s">
        <v>27</v>
      </c>
      <c r="F260">
        <v>-7958441952</v>
      </c>
      <c r="G260">
        <v>-8111194234</v>
      </c>
      <c r="H260">
        <v>-5777868762</v>
      </c>
      <c r="I260">
        <v>-10030605449</v>
      </c>
      <c r="J260">
        <v>-2792565161</v>
      </c>
      <c r="K260">
        <v>-2240082303</v>
      </c>
      <c r="L260">
        <v>-2011848735</v>
      </c>
      <c r="M260">
        <v>20798687</v>
      </c>
      <c r="N260">
        <v>46359362</v>
      </c>
      <c r="O260">
        <v>-1170079</v>
      </c>
      <c r="P260">
        <v>469</v>
      </c>
      <c r="Q260" t="s">
        <v>566</v>
      </c>
    </row>
    <row r="261" spans="1:17" x14ac:dyDescent="0.3">
      <c r="A261" t="s">
        <v>17</v>
      </c>
      <c r="B261" t="str">
        <f>"600298"</f>
        <v>600298</v>
      </c>
      <c r="C261" t="s">
        <v>567</v>
      </c>
      <c r="D261" t="s">
        <v>123</v>
      </c>
      <c r="F261">
        <v>-727070643</v>
      </c>
      <c r="G261">
        <v>991993292</v>
      </c>
      <c r="H261">
        <v>309644394</v>
      </c>
      <c r="I261">
        <v>-17730686</v>
      </c>
      <c r="J261">
        <v>59022623</v>
      </c>
      <c r="K261">
        <v>-46629627</v>
      </c>
      <c r="L261">
        <v>144634656</v>
      </c>
      <c r="M261">
        <v>284446140</v>
      </c>
      <c r="N261">
        <v>-412025070</v>
      </c>
      <c r="O261">
        <v>-819868878</v>
      </c>
      <c r="P261">
        <v>4516</v>
      </c>
      <c r="Q261" t="s">
        <v>568</v>
      </c>
    </row>
    <row r="262" spans="1:17" x14ac:dyDescent="0.3">
      <c r="A262" t="s">
        <v>17</v>
      </c>
      <c r="B262" t="str">
        <f>"600299"</f>
        <v>600299</v>
      </c>
      <c r="C262" t="s">
        <v>569</v>
      </c>
      <c r="D262" t="s">
        <v>133</v>
      </c>
      <c r="F262">
        <v>-109745312</v>
      </c>
      <c r="G262">
        <v>1437962565</v>
      </c>
      <c r="H262">
        <v>893941735</v>
      </c>
      <c r="I262">
        <v>-176719571</v>
      </c>
      <c r="J262">
        <v>831467117</v>
      </c>
      <c r="K262">
        <v>1783844330</v>
      </c>
      <c r="L262">
        <v>2247477841</v>
      </c>
      <c r="M262">
        <v>65628242</v>
      </c>
      <c r="N262">
        <v>-612341645</v>
      </c>
      <c r="O262">
        <v>-972680493</v>
      </c>
      <c r="P262">
        <v>497</v>
      </c>
      <c r="Q262" t="s">
        <v>570</v>
      </c>
    </row>
    <row r="263" spans="1:17" x14ac:dyDescent="0.3">
      <c r="A263" t="s">
        <v>17</v>
      </c>
      <c r="B263" t="str">
        <f>"600300"</f>
        <v>600300</v>
      </c>
      <c r="C263" t="s">
        <v>571</v>
      </c>
      <c r="D263" t="s">
        <v>123</v>
      </c>
      <c r="F263">
        <v>-323915143</v>
      </c>
      <c r="G263">
        <v>93575809</v>
      </c>
      <c r="H263">
        <v>-345317128</v>
      </c>
      <c r="I263">
        <v>-433088683</v>
      </c>
      <c r="J263">
        <v>-558772948</v>
      </c>
      <c r="K263">
        <v>-129817928</v>
      </c>
      <c r="L263">
        <v>-39558967</v>
      </c>
      <c r="M263">
        <v>-157840689</v>
      </c>
      <c r="N263">
        <v>-577264552</v>
      </c>
      <c r="O263">
        <v>-406486853</v>
      </c>
      <c r="P263">
        <v>209</v>
      </c>
      <c r="Q263" t="s">
        <v>572</v>
      </c>
    </row>
    <row r="264" spans="1:17" x14ac:dyDescent="0.3">
      <c r="A264" t="s">
        <v>17</v>
      </c>
      <c r="B264" t="str">
        <f>"600301"</f>
        <v>600301</v>
      </c>
      <c r="C264" t="s">
        <v>573</v>
      </c>
      <c r="D264" t="s">
        <v>120</v>
      </c>
      <c r="F264">
        <v>-88291093</v>
      </c>
      <c r="G264">
        <v>-25618928</v>
      </c>
      <c r="H264">
        <v>-34934432</v>
      </c>
      <c r="I264">
        <v>-124599179</v>
      </c>
      <c r="J264">
        <v>65930624</v>
      </c>
      <c r="K264">
        <v>-38170463</v>
      </c>
      <c r="L264">
        <v>-76130363</v>
      </c>
      <c r="M264">
        <v>-124015772</v>
      </c>
      <c r="N264">
        <v>-162335593</v>
      </c>
      <c r="O264">
        <v>-130935915</v>
      </c>
      <c r="P264">
        <v>53</v>
      </c>
      <c r="Q264" t="s">
        <v>574</v>
      </c>
    </row>
    <row r="265" spans="1:17" x14ac:dyDescent="0.3">
      <c r="A265" t="s">
        <v>17</v>
      </c>
      <c r="B265" t="str">
        <f>"600302"</f>
        <v>600302</v>
      </c>
      <c r="C265" t="s">
        <v>575</v>
      </c>
      <c r="D265" t="s">
        <v>78</v>
      </c>
      <c r="F265">
        <v>71466467</v>
      </c>
      <c r="G265">
        <v>-308299700</v>
      </c>
      <c r="H265">
        <v>-107348407</v>
      </c>
      <c r="I265">
        <v>-132105521</v>
      </c>
      <c r="J265">
        <v>-74724602</v>
      </c>
      <c r="K265">
        <v>-74304675</v>
      </c>
      <c r="L265">
        <v>-85389603</v>
      </c>
      <c r="M265">
        <v>-46331582</v>
      </c>
      <c r="N265">
        <v>21078481</v>
      </c>
      <c r="O265">
        <v>-26171371</v>
      </c>
      <c r="P265">
        <v>51</v>
      </c>
      <c r="Q265" t="s">
        <v>576</v>
      </c>
    </row>
    <row r="266" spans="1:17" x14ac:dyDescent="0.3">
      <c r="A266" t="s">
        <v>17</v>
      </c>
      <c r="B266" t="str">
        <f>"600303"</f>
        <v>600303</v>
      </c>
      <c r="C266" t="s">
        <v>577</v>
      </c>
      <c r="D266" t="s">
        <v>27</v>
      </c>
      <c r="F266">
        <v>-460812069</v>
      </c>
      <c r="G266">
        <v>519326061</v>
      </c>
      <c r="H266">
        <v>-98671510</v>
      </c>
      <c r="I266">
        <v>92828648</v>
      </c>
      <c r="J266">
        <v>310023263</v>
      </c>
      <c r="K266">
        <v>-741250725</v>
      </c>
      <c r="L266">
        <v>-688638758</v>
      </c>
      <c r="M266">
        <v>-233019625</v>
      </c>
      <c r="N266">
        <v>-464800119</v>
      </c>
      <c r="O266">
        <v>-130351771</v>
      </c>
      <c r="P266">
        <v>131</v>
      </c>
      <c r="Q266" t="s">
        <v>578</v>
      </c>
    </row>
    <row r="267" spans="1:17" x14ac:dyDescent="0.3">
      <c r="A267" t="s">
        <v>17</v>
      </c>
      <c r="B267" t="str">
        <f>"600305"</f>
        <v>600305</v>
      </c>
      <c r="C267" t="s">
        <v>579</v>
      </c>
      <c r="D267" t="s">
        <v>123</v>
      </c>
      <c r="F267">
        <v>-3399586</v>
      </c>
      <c r="G267">
        <v>191519037</v>
      </c>
      <c r="H267">
        <v>199288028</v>
      </c>
      <c r="I267">
        <v>226211482</v>
      </c>
      <c r="J267">
        <v>195179926</v>
      </c>
      <c r="K267">
        <v>120103444</v>
      </c>
      <c r="L267">
        <v>35152365</v>
      </c>
      <c r="M267">
        <v>118259569</v>
      </c>
      <c r="N267">
        <v>212484579</v>
      </c>
      <c r="O267">
        <v>46098563</v>
      </c>
      <c r="P267">
        <v>2155</v>
      </c>
      <c r="Q267" t="s">
        <v>580</v>
      </c>
    </row>
    <row r="268" spans="1:17" x14ac:dyDescent="0.3">
      <c r="A268" t="s">
        <v>17</v>
      </c>
      <c r="B268" t="str">
        <f>"600306"</f>
        <v>600306</v>
      </c>
      <c r="C268" t="s">
        <v>581</v>
      </c>
      <c r="D268" t="s">
        <v>120</v>
      </c>
      <c r="F268">
        <v>-2072842</v>
      </c>
      <c r="G268">
        <v>-39260494</v>
      </c>
      <c r="H268">
        <v>15453219</v>
      </c>
      <c r="I268">
        <v>-27689650</v>
      </c>
      <c r="J268">
        <v>27338450</v>
      </c>
      <c r="K268">
        <v>-8135607</v>
      </c>
      <c r="L268">
        <v>-430802964</v>
      </c>
      <c r="M268">
        <v>-179701121</v>
      </c>
      <c r="N268">
        <v>428303968</v>
      </c>
      <c r="O268">
        <v>-431938774</v>
      </c>
      <c r="P268">
        <v>71</v>
      </c>
      <c r="Q268" t="s">
        <v>582</v>
      </c>
    </row>
    <row r="269" spans="1:17" x14ac:dyDescent="0.3">
      <c r="A269" t="s">
        <v>17</v>
      </c>
      <c r="B269" t="str">
        <f>"600307"</f>
        <v>600307</v>
      </c>
      <c r="C269" t="s">
        <v>583</v>
      </c>
      <c r="D269" t="s">
        <v>38</v>
      </c>
      <c r="F269">
        <v>5046771802</v>
      </c>
      <c r="G269">
        <v>1229943223</v>
      </c>
      <c r="H269">
        <v>2165181341</v>
      </c>
      <c r="I269">
        <v>2551205892</v>
      </c>
      <c r="J269">
        <v>1231448176</v>
      </c>
      <c r="K269">
        <v>1669211649</v>
      </c>
      <c r="L269">
        <v>-1357794707</v>
      </c>
      <c r="M269">
        <v>4624131794</v>
      </c>
      <c r="N269">
        <v>-3090416402</v>
      </c>
      <c r="O269">
        <v>-3471509193</v>
      </c>
      <c r="P269">
        <v>211</v>
      </c>
      <c r="Q269" t="s">
        <v>584</v>
      </c>
    </row>
    <row r="270" spans="1:17" x14ac:dyDescent="0.3">
      <c r="A270" t="s">
        <v>17</v>
      </c>
      <c r="B270" t="str">
        <f>"600308"</f>
        <v>600308</v>
      </c>
      <c r="C270" t="s">
        <v>585</v>
      </c>
      <c r="D270" t="s">
        <v>161</v>
      </c>
      <c r="F270">
        <v>613475164</v>
      </c>
      <c r="G270">
        <v>1110453423</v>
      </c>
      <c r="H270">
        <v>624501416</v>
      </c>
      <c r="I270">
        <v>731474761</v>
      </c>
      <c r="J270">
        <v>1994388847</v>
      </c>
      <c r="K270">
        <v>755490593</v>
      </c>
      <c r="L270">
        <v>1095613598</v>
      </c>
      <c r="M270">
        <v>457426886</v>
      </c>
      <c r="N270">
        <v>-110813877</v>
      </c>
      <c r="O270">
        <v>274550032</v>
      </c>
      <c r="P270">
        <v>644</v>
      </c>
      <c r="Q270" t="s">
        <v>586</v>
      </c>
    </row>
    <row r="271" spans="1:17" x14ac:dyDescent="0.3">
      <c r="A271" t="s">
        <v>17</v>
      </c>
      <c r="B271" t="str">
        <f>"600309"</f>
        <v>600309</v>
      </c>
      <c r="C271" t="s">
        <v>587</v>
      </c>
      <c r="D271" t="s">
        <v>133</v>
      </c>
      <c r="F271">
        <v>-1438317374</v>
      </c>
      <c r="G271">
        <v>-9415508860</v>
      </c>
      <c r="H271">
        <v>-260738231</v>
      </c>
      <c r="I271">
        <v>8411537899</v>
      </c>
      <c r="J271">
        <v>1703734466</v>
      </c>
      <c r="K271">
        <v>2363481921</v>
      </c>
      <c r="L271">
        <v>-1111084616</v>
      </c>
      <c r="M271">
        <v>-3987648654</v>
      </c>
      <c r="N271">
        <v>-1887749520</v>
      </c>
      <c r="O271">
        <v>-269593253</v>
      </c>
      <c r="P271">
        <v>7477</v>
      </c>
      <c r="Q271" t="s">
        <v>588</v>
      </c>
    </row>
    <row r="272" spans="1:17" x14ac:dyDescent="0.3">
      <c r="A272" t="s">
        <v>17</v>
      </c>
      <c r="B272" t="str">
        <f>"600310"</f>
        <v>600310</v>
      </c>
      <c r="C272" t="s">
        <v>589</v>
      </c>
      <c r="D272" t="s">
        <v>41</v>
      </c>
      <c r="F272">
        <v>-227989629</v>
      </c>
      <c r="G272">
        <v>-1114821853</v>
      </c>
      <c r="H272">
        <v>-386239118</v>
      </c>
      <c r="I272">
        <v>-939448381</v>
      </c>
      <c r="J272">
        <v>-1424380487</v>
      </c>
      <c r="K272">
        <v>-720671230</v>
      </c>
      <c r="L272">
        <v>34730045</v>
      </c>
      <c r="M272">
        <v>-85344576</v>
      </c>
      <c r="N272">
        <v>29627772</v>
      </c>
      <c r="O272">
        <v>18471517</v>
      </c>
      <c r="P272">
        <v>115</v>
      </c>
      <c r="Q272" t="s">
        <v>590</v>
      </c>
    </row>
    <row r="273" spans="1:17" x14ac:dyDescent="0.3">
      <c r="A273" t="s">
        <v>17</v>
      </c>
      <c r="B273" t="str">
        <f>"600311"</f>
        <v>600311</v>
      </c>
      <c r="C273" t="s">
        <v>591</v>
      </c>
      <c r="D273" t="s">
        <v>234</v>
      </c>
      <c r="F273">
        <v>-31208135</v>
      </c>
      <c r="G273">
        <v>-61760446</v>
      </c>
      <c r="H273">
        <v>-135364458</v>
      </c>
      <c r="I273">
        <v>275906</v>
      </c>
      <c r="J273">
        <v>-19080475</v>
      </c>
      <c r="K273">
        <v>-47054192</v>
      </c>
      <c r="L273">
        <v>124143842</v>
      </c>
      <c r="M273">
        <v>17348626</v>
      </c>
      <c r="N273">
        <v>-35605359</v>
      </c>
      <c r="O273">
        <v>156093670</v>
      </c>
      <c r="P273">
        <v>53</v>
      </c>
      <c r="Q273" t="s">
        <v>592</v>
      </c>
    </row>
    <row r="274" spans="1:17" x14ac:dyDescent="0.3">
      <c r="A274" t="s">
        <v>17</v>
      </c>
      <c r="B274" t="str">
        <f>"600312"</f>
        <v>600312</v>
      </c>
      <c r="C274" t="s">
        <v>593</v>
      </c>
      <c r="D274" t="s">
        <v>188</v>
      </c>
      <c r="F274">
        <v>-121106428</v>
      </c>
      <c r="G274">
        <v>-3674593</v>
      </c>
      <c r="H274">
        <v>-96455800</v>
      </c>
      <c r="I274">
        <v>-649715059</v>
      </c>
      <c r="J274">
        <v>-2155210757</v>
      </c>
      <c r="K274">
        <v>16562760</v>
      </c>
      <c r="L274">
        <v>-563801696</v>
      </c>
      <c r="M274">
        <v>-543671937</v>
      </c>
      <c r="N274">
        <v>-581349873</v>
      </c>
      <c r="O274">
        <v>12422271</v>
      </c>
      <c r="P274">
        <v>634</v>
      </c>
      <c r="Q274" t="s">
        <v>594</v>
      </c>
    </row>
    <row r="275" spans="1:17" x14ac:dyDescent="0.3">
      <c r="A275" t="s">
        <v>17</v>
      </c>
      <c r="B275" t="str">
        <f>"600313"</f>
        <v>600313</v>
      </c>
      <c r="C275" t="s">
        <v>595</v>
      </c>
      <c r="D275" t="s">
        <v>205</v>
      </c>
      <c r="F275">
        <v>-342456509</v>
      </c>
      <c r="G275">
        <v>-42497748</v>
      </c>
      <c r="H275">
        <v>-93953097</v>
      </c>
      <c r="I275">
        <v>-155810573</v>
      </c>
      <c r="J275">
        <v>-132918510</v>
      </c>
      <c r="K275">
        <v>-5900483</v>
      </c>
      <c r="L275">
        <v>-150093921</v>
      </c>
      <c r="M275">
        <v>-334875260</v>
      </c>
      <c r="N275">
        <v>-65824226</v>
      </c>
      <c r="O275">
        <v>-22449995</v>
      </c>
      <c r="P275">
        <v>173</v>
      </c>
      <c r="Q275" t="s">
        <v>596</v>
      </c>
    </row>
    <row r="276" spans="1:17" x14ac:dyDescent="0.3">
      <c r="A276" t="s">
        <v>17</v>
      </c>
      <c r="B276" t="str">
        <f>"600315"</f>
        <v>600315</v>
      </c>
      <c r="C276" t="s">
        <v>597</v>
      </c>
      <c r="D276" t="s">
        <v>481</v>
      </c>
      <c r="F276">
        <v>880774166</v>
      </c>
      <c r="G276">
        <v>547741502</v>
      </c>
      <c r="H276">
        <v>738170345</v>
      </c>
      <c r="I276">
        <v>435745821</v>
      </c>
      <c r="J276">
        <v>293074244</v>
      </c>
      <c r="K276">
        <v>-235701434</v>
      </c>
      <c r="L276">
        <v>-34326166</v>
      </c>
      <c r="M276">
        <v>827354871</v>
      </c>
      <c r="N276">
        <v>727173160</v>
      </c>
      <c r="O276">
        <v>678093163</v>
      </c>
      <c r="P276">
        <v>1244</v>
      </c>
      <c r="Q276" t="s">
        <v>598</v>
      </c>
    </row>
    <row r="277" spans="1:17" x14ac:dyDescent="0.3">
      <c r="A277" t="s">
        <v>17</v>
      </c>
      <c r="B277" t="str">
        <f>"600316"</f>
        <v>600316</v>
      </c>
      <c r="C277" t="s">
        <v>599</v>
      </c>
      <c r="D277" t="s">
        <v>92</v>
      </c>
      <c r="F277">
        <v>-6922713</v>
      </c>
      <c r="G277">
        <v>-926160247</v>
      </c>
      <c r="H277">
        <v>-374038653</v>
      </c>
      <c r="I277">
        <v>16570020</v>
      </c>
      <c r="J277">
        <v>-489508600</v>
      </c>
      <c r="K277">
        <v>-1309994239</v>
      </c>
      <c r="L277">
        <v>-921897571</v>
      </c>
      <c r="M277">
        <v>-1158581515</v>
      </c>
      <c r="N277">
        <v>-573503932</v>
      </c>
      <c r="O277">
        <v>-678106226</v>
      </c>
      <c r="P277">
        <v>387</v>
      </c>
      <c r="Q277" t="s">
        <v>600</v>
      </c>
    </row>
    <row r="278" spans="1:17" x14ac:dyDescent="0.3">
      <c r="A278" t="s">
        <v>17</v>
      </c>
      <c r="B278" t="str">
        <f>"600317"</f>
        <v>600317</v>
      </c>
      <c r="C278" t="s">
        <v>601</v>
      </c>
      <c r="G278">
        <v>1047558549</v>
      </c>
      <c r="H278">
        <v>1362414265</v>
      </c>
      <c r="I278">
        <v>1171412527</v>
      </c>
      <c r="J278">
        <v>1219617210</v>
      </c>
      <c r="K278">
        <v>560296431.76999998</v>
      </c>
      <c r="L278">
        <v>1091753208.3199999</v>
      </c>
      <c r="M278">
        <v>805032528.87</v>
      </c>
      <c r="N278">
        <v>759641070.88999999</v>
      </c>
      <c r="O278">
        <v>852215474.79999995</v>
      </c>
      <c r="P278">
        <v>92</v>
      </c>
      <c r="Q278" t="s">
        <v>602</v>
      </c>
    </row>
    <row r="279" spans="1:17" x14ac:dyDescent="0.3">
      <c r="A279" t="s">
        <v>17</v>
      </c>
      <c r="B279" t="str">
        <f>"600318"</f>
        <v>600318</v>
      </c>
      <c r="C279" t="s">
        <v>603</v>
      </c>
      <c r="D279" t="s">
        <v>75</v>
      </c>
      <c r="F279">
        <v>149947138</v>
      </c>
      <c r="G279">
        <v>344825133</v>
      </c>
      <c r="H279">
        <v>327993271</v>
      </c>
      <c r="I279">
        <v>594676603</v>
      </c>
      <c r="J279">
        <v>365729093</v>
      </c>
      <c r="K279">
        <v>-182717600</v>
      </c>
      <c r="L279">
        <v>-685338038</v>
      </c>
      <c r="M279">
        <v>392886168</v>
      </c>
      <c r="N279">
        <v>59206972</v>
      </c>
      <c r="O279">
        <v>50454810</v>
      </c>
      <c r="P279">
        <v>104</v>
      </c>
      <c r="Q279" t="s">
        <v>604</v>
      </c>
    </row>
    <row r="280" spans="1:17" x14ac:dyDescent="0.3">
      <c r="A280" t="s">
        <v>17</v>
      </c>
      <c r="B280" t="str">
        <f>"600319"</f>
        <v>600319</v>
      </c>
      <c r="C280" t="s">
        <v>605</v>
      </c>
      <c r="D280" t="s">
        <v>133</v>
      </c>
      <c r="F280">
        <v>135813428</v>
      </c>
      <c r="G280">
        <v>132133209</v>
      </c>
      <c r="H280">
        <v>122672040</v>
      </c>
      <c r="I280">
        <v>43041037</v>
      </c>
      <c r="J280">
        <v>10257980</v>
      </c>
      <c r="K280">
        <v>2529883</v>
      </c>
      <c r="L280">
        <v>-78953755</v>
      </c>
      <c r="M280">
        <v>-802032</v>
      </c>
      <c r="N280">
        <v>-35915454</v>
      </c>
      <c r="O280">
        <v>253321953</v>
      </c>
      <c r="P280">
        <v>57</v>
      </c>
      <c r="Q280" t="s">
        <v>606</v>
      </c>
    </row>
    <row r="281" spans="1:17" x14ac:dyDescent="0.3">
      <c r="A281" t="s">
        <v>17</v>
      </c>
      <c r="B281" t="str">
        <f>"600320"</f>
        <v>600320</v>
      </c>
      <c r="C281" t="s">
        <v>607</v>
      </c>
      <c r="D281" t="s">
        <v>78</v>
      </c>
      <c r="F281">
        <v>-1089231353</v>
      </c>
      <c r="G281">
        <v>-1821527982</v>
      </c>
      <c r="H281">
        <v>-2346907737</v>
      </c>
      <c r="I281">
        <v>-2059345387</v>
      </c>
      <c r="J281">
        <v>-614026829</v>
      </c>
      <c r="K281">
        <v>-602748195</v>
      </c>
      <c r="L281">
        <v>-3222677397</v>
      </c>
      <c r="M281">
        <v>-2082117089</v>
      </c>
      <c r="N281">
        <v>552694397</v>
      </c>
      <c r="O281">
        <v>1515669802</v>
      </c>
      <c r="P281">
        <v>190</v>
      </c>
      <c r="Q281" t="s">
        <v>608</v>
      </c>
    </row>
    <row r="282" spans="1:17" x14ac:dyDescent="0.3">
      <c r="A282" t="s">
        <v>17</v>
      </c>
      <c r="B282" t="str">
        <f>"600321"</f>
        <v>600321</v>
      </c>
      <c r="C282" t="s">
        <v>609</v>
      </c>
      <c r="D282" t="s">
        <v>350</v>
      </c>
      <c r="F282">
        <v>209499318</v>
      </c>
      <c r="G282">
        <v>-776461498</v>
      </c>
      <c r="H282">
        <v>-63588599</v>
      </c>
      <c r="I282">
        <v>77833315</v>
      </c>
      <c r="J282">
        <v>-78471</v>
      </c>
      <c r="K282">
        <v>-46856752</v>
      </c>
      <c r="L282">
        <v>-26762548</v>
      </c>
      <c r="M282">
        <v>62965835</v>
      </c>
      <c r="N282">
        <v>43558796</v>
      </c>
      <c r="O282">
        <v>-157411486</v>
      </c>
      <c r="P282">
        <v>74</v>
      </c>
      <c r="Q282" t="s">
        <v>610</v>
      </c>
    </row>
    <row r="283" spans="1:17" x14ac:dyDescent="0.3">
      <c r="A283" t="s">
        <v>17</v>
      </c>
      <c r="B283" t="str">
        <f>"600322"</f>
        <v>600322</v>
      </c>
      <c r="C283" t="s">
        <v>611</v>
      </c>
      <c r="D283" t="s">
        <v>30</v>
      </c>
      <c r="F283">
        <v>1734201915</v>
      </c>
      <c r="G283">
        <v>3092543496</v>
      </c>
      <c r="H283">
        <v>613670319</v>
      </c>
      <c r="I283">
        <v>4675410064</v>
      </c>
      <c r="J283">
        <v>1265274922</v>
      </c>
      <c r="K283">
        <v>-474674098</v>
      </c>
      <c r="L283">
        <v>-2282623073</v>
      </c>
      <c r="M283">
        <v>-3324207787</v>
      </c>
      <c r="N283">
        <v>-1659335857</v>
      </c>
      <c r="O283">
        <v>182793030</v>
      </c>
      <c r="P283">
        <v>84</v>
      </c>
      <c r="Q283" t="s">
        <v>612</v>
      </c>
    </row>
    <row r="284" spans="1:17" x14ac:dyDescent="0.3">
      <c r="A284" t="s">
        <v>17</v>
      </c>
      <c r="B284" t="str">
        <f>"600323"</f>
        <v>600323</v>
      </c>
      <c r="C284" t="s">
        <v>613</v>
      </c>
      <c r="D284" t="s">
        <v>33</v>
      </c>
      <c r="F284">
        <v>-818817742</v>
      </c>
      <c r="G284">
        <v>-1426380694</v>
      </c>
      <c r="H284">
        <v>-1982165828</v>
      </c>
      <c r="I284">
        <v>-234805567</v>
      </c>
      <c r="J284">
        <v>418490936</v>
      </c>
      <c r="K284">
        <v>171773598</v>
      </c>
      <c r="L284">
        <v>60315643</v>
      </c>
      <c r="M284">
        <v>-188275395</v>
      </c>
      <c r="N284">
        <v>-80345520</v>
      </c>
      <c r="O284">
        <v>105515481</v>
      </c>
      <c r="P284">
        <v>1149</v>
      </c>
      <c r="Q284" t="s">
        <v>614</v>
      </c>
    </row>
    <row r="285" spans="1:17" x14ac:dyDescent="0.3">
      <c r="A285" t="s">
        <v>17</v>
      </c>
      <c r="B285" t="str">
        <f>"600325"</f>
        <v>600325</v>
      </c>
      <c r="C285" t="s">
        <v>615</v>
      </c>
      <c r="D285" t="s">
        <v>30</v>
      </c>
      <c r="F285">
        <v>9475347427</v>
      </c>
      <c r="G285">
        <v>-11256806681</v>
      </c>
      <c r="H285">
        <v>6163120402</v>
      </c>
      <c r="I285">
        <v>-1271364373</v>
      </c>
      <c r="J285">
        <v>-4756254694</v>
      </c>
      <c r="K285">
        <v>7956584315</v>
      </c>
      <c r="L285">
        <v>-3489747556</v>
      </c>
      <c r="M285">
        <v>-11921752417</v>
      </c>
      <c r="N285">
        <v>-1265487803</v>
      </c>
      <c r="O285">
        <v>-2290916282</v>
      </c>
      <c r="P285">
        <v>1185</v>
      </c>
      <c r="Q285" t="s">
        <v>616</v>
      </c>
    </row>
    <row r="286" spans="1:17" x14ac:dyDescent="0.3">
      <c r="A286" t="s">
        <v>17</v>
      </c>
      <c r="B286" t="str">
        <f>"600326"</f>
        <v>600326</v>
      </c>
      <c r="C286" t="s">
        <v>617</v>
      </c>
      <c r="D286" t="s">
        <v>350</v>
      </c>
      <c r="F286">
        <v>-1012239019</v>
      </c>
      <c r="G286">
        <v>-11310166</v>
      </c>
      <c r="H286">
        <v>59835472</v>
      </c>
      <c r="I286">
        <v>509088486</v>
      </c>
      <c r="J286">
        <v>-88424375</v>
      </c>
      <c r="K286">
        <v>-512767653</v>
      </c>
      <c r="L286">
        <v>-190522190</v>
      </c>
      <c r="M286">
        <v>-176720435</v>
      </c>
      <c r="N286">
        <v>-193363696</v>
      </c>
      <c r="O286">
        <v>-151657612</v>
      </c>
      <c r="P286">
        <v>275</v>
      </c>
      <c r="Q286" t="s">
        <v>618</v>
      </c>
    </row>
    <row r="287" spans="1:17" x14ac:dyDescent="0.3">
      <c r="A287" t="s">
        <v>17</v>
      </c>
      <c r="B287" t="str">
        <f>"600327"</f>
        <v>600327</v>
      </c>
      <c r="C287" t="s">
        <v>619</v>
      </c>
      <c r="D287" t="s">
        <v>27</v>
      </c>
      <c r="F287">
        <v>430648237</v>
      </c>
      <c r="G287">
        <v>-97224763</v>
      </c>
      <c r="H287">
        <v>223980475</v>
      </c>
      <c r="I287">
        <v>34749761</v>
      </c>
      <c r="J287">
        <v>63708924</v>
      </c>
      <c r="K287">
        <v>112249052</v>
      </c>
      <c r="L287">
        <v>201441181</v>
      </c>
      <c r="M287">
        <v>-97125275</v>
      </c>
      <c r="N287">
        <v>-137584667</v>
      </c>
      <c r="O287">
        <v>-106340990</v>
      </c>
      <c r="P287">
        <v>221</v>
      </c>
      <c r="Q287" t="s">
        <v>620</v>
      </c>
    </row>
    <row r="288" spans="1:17" x14ac:dyDescent="0.3">
      <c r="A288" t="s">
        <v>17</v>
      </c>
      <c r="B288" t="str">
        <f>"600328"</f>
        <v>600328</v>
      </c>
      <c r="C288" t="s">
        <v>621</v>
      </c>
      <c r="D288" t="s">
        <v>133</v>
      </c>
      <c r="F288">
        <v>3036340573</v>
      </c>
      <c r="G288">
        <v>981500598</v>
      </c>
      <c r="H288">
        <v>606032076</v>
      </c>
      <c r="I288">
        <v>572409887</v>
      </c>
      <c r="J288">
        <v>234168284</v>
      </c>
      <c r="K288">
        <v>-12463374</v>
      </c>
      <c r="L288">
        <v>306455564</v>
      </c>
      <c r="M288">
        <v>96343407</v>
      </c>
      <c r="N288">
        <v>-91559260</v>
      </c>
      <c r="O288">
        <v>-110078166</v>
      </c>
      <c r="P288">
        <v>263</v>
      </c>
      <c r="Q288" t="s">
        <v>622</v>
      </c>
    </row>
    <row r="289" spans="1:17" x14ac:dyDescent="0.3">
      <c r="A289" t="s">
        <v>17</v>
      </c>
      <c r="B289" t="str">
        <f>"600329"</f>
        <v>600329</v>
      </c>
      <c r="C289" t="s">
        <v>623</v>
      </c>
      <c r="D289" t="s">
        <v>113</v>
      </c>
      <c r="F289">
        <v>588890140</v>
      </c>
      <c r="G289">
        <v>276739528</v>
      </c>
      <c r="H289">
        <v>175341219</v>
      </c>
      <c r="I289">
        <v>192814389</v>
      </c>
      <c r="J289">
        <v>-80950231</v>
      </c>
      <c r="K289">
        <v>113402057</v>
      </c>
      <c r="L289">
        <v>106809901</v>
      </c>
      <c r="M289">
        <v>210066285</v>
      </c>
      <c r="N289">
        <v>19577811</v>
      </c>
      <c r="O289">
        <v>64440788</v>
      </c>
      <c r="P289">
        <v>555</v>
      </c>
      <c r="Q289" t="s">
        <v>624</v>
      </c>
    </row>
    <row r="290" spans="1:17" x14ac:dyDescent="0.3">
      <c r="A290" t="s">
        <v>17</v>
      </c>
      <c r="B290" t="str">
        <f>"600330"</f>
        <v>600330</v>
      </c>
      <c r="C290" t="s">
        <v>625</v>
      </c>
      <c r="D290" t="s">
        <v>78</v>
      </c>
      <c r="F290">
        <v>-62032658</v>
      </c>
      <c r="G290">
        <v>-195420428</v>
      </c>
      <c r="H290">
        <v>-345390947</v>
      </c>
      <c r="I290">
        <v>-321258691</v>
      </c>
      <c r="J290">
        <v>-22346543</v>
      </c>
      <c r="K290">
        <v>-135408610</v>
      </c>
      <c r="L290">
        <v>-317688795</v>
      </c>
      <c r="M290">
        <v>-262930426</v>
      </c>
      <c r="N290">
        <v>-66208821</v>
      </c>
      <c r="O290">
        <v>-199252085</v>
      </c>
      <c r="P290">
        <v>3158</v>
      </c>
      <c r="Q290" t="s">
        <v>626</v>
      </c>
    </row>
    <row r="291" spans="1:17" x14ac:dyDescent="0.3">
      <c r="A291" t="s">
        <v>17</v>
      </c>
      <c r="B291" t="str">
        <f>"600331"</f>
        <v>600331</v>
      </c>
      <c r="C291" t="s">
        <v>627</v>
      </c>
      <c r="D291" t="s">
        <v>234</v>
      </c>
      <c r="F291">
        <v>85986065</v>
      </c>
      <c r="G291">
        <v>39984002</v>
      </c>
      <c r="H291">
        <v>44607946</v>
      </c>
      <c r="I291">
        <v>219194733</v>
      </c>
      <c r="J291">
        <v>-274910499</v>
      </c>
      <c r="K291">
        <v>426337976</v>
      </c>
      <c r="L291">
        <v>660176352</v>
      </c>
      <c r="M291">
        <v>-1239949059</v>
      </c>
      <c r="N291">
        <v>-84065333</v>
      </c>
      <c r="O291">
        <v>635947931</v>
      </c>
      <c r="P291">
        <v>117</v>
      </c>
      <c r="Q291" t="s">
        <v>628</v>
      </c>
    </row>
    <row r="292" spans="1:17" x14ac:dyDescent="0.3">
      <c r="A292" t="s">
        <v>17</v>
      </c>
      <c r="B292" t="str">
        <f>"600332"</f>
        <v>600332</v>
      </c>
      <c r="C292" t="s">
        <v>629</v>
      </c>
      <c r="D292" t="s">
        <v>113</v>
      </c>
      <c r="F292">
        <v>5021651068</v>
      </c>
      <c r="G292">
        <v>-132252871</v>
      </c>
      <c r="H292">
        <v>-1040919567</v>
      </c>
      <c r="I292">
        <v>3133883352</v>
      </c>
      <c r="J292">
        <v>1693943509</v>
      </c>
      <c r="K292">
        <v>2262387859</v>
      </c>
      <c r="L292">
        <v>1229328639</v>
      </c>
      <c r="M292">
        <v>1568588545</v>
      </c>
      <c r="N292">
        <v>974827630</v>
      </c>
      <c r="O292">
        <v>550445906</v>
      </c>
      <c r="P292">
        <v>2235</v>
      </c>
      <c r="Q292" t="s">
        <v>630</v>
      </c>
    </row>
    <row r="293" spans="1:17" x14ac:dyDescent="0.3">
      <c r="A293" t="s">
        <v>17</v>
      </c>
      <c r="B293" t="str">
        <f>"600333"</f>
        <v>600333</v>
      </c>
      <c r="C293" t="s">
        <v>631</v>
      </c>
      <c r="D293" t="s">
        <v>41</v>
      </c>
      <c r="F293">
        <v>-64915822</v>
      </c>
      <c r="G293">
        <v>-230713460</v>
      </c>
      <c r="H293">
        <v>-88784613</v>
      </c>
      <c r="I293">
        <v>-230494256</v>
      </c>
      <c r="J293">
        <v>-312768178</v>
      </c>
      <c r="K293">
        <v>-326337104</v>
      </c>
      <c r="L293">
        <v>-495681217</v>
      </c>
      <c r="M293">
        <v>-340276160</v>
      </c>
      <c r="N293">
        <v>-192820847</v>
      </c>
      <c r="O293">
        <v>-53368042</v>
      </c>
      <c r="P293">
        <v>103</v>
      </c>
      <c r="Q293" t="s">
        <v>632</v>
      </c>
    </row>
    <row r="294" spans="1:17" x14ac:dyDescent="0.3">
      <c r="A294" t="s">
        <v>17</v>
      </c>
      <c r="B294" t="str">
        <f>"600335"</f>
        <v>600335</v>
      </c>
      <c r="C294" t="s">
        <v>633</v>
      </c>
      <c r="D294" t="s">
        <v>27</v>
      </c>
      <c r="F294">
        <v>1880000811</v>
      </c>
      <c r="G294">
        <v>-1557916770</v>
      </c>
      <c r="H294">
        <v>329066147</v>
      </c>
      <c r="I294">
        <v>287932642</v>
      </c>
      <c r="J294">
        <v>-5025564165</v>
      </c>
      <c r="K294">
        <v>6762235982</v>
      </c>
      <c r="L294">
        <v>4710568613</v>
      </c>
      <c r="M294">
        <v>1300896802</v>
      </c>
      <c r="N294">
        <v>-2040610817</v>
      </c>
      <c r="O294">
        <v>-6992216853</v>
      </c>
      <c r="P294">
        <v>150</v>
      </c>
      <c r="Q294" t="s">
        <v>634</v>
      </c>
    </row>
    <row r="295" spans="1:17" x14ac:dyDescent="0.3">
      <c r="A295" t="s">
        <v>17</v>
      </c>
      <c r="B295" t="str">
        <f>"600336"</f>
        <v>600336</v>
      </c>
      <c r="C295" t="s">
        <v>635</v>
      </c>
      <c r="D295" t="s">
        <v>126</v>
      </c>
      <c r="F295">
        <v>202214775</v>
      </c>
      <c r="G295">
        <v>-117212958</v>
      </c>
      <c r="H295">
        <v>1040311747</v>
      </c>
      <c r="I295">
        <v>42137962</v>
      </c>
      <c r="J295">
        <v>-233614150</v>
      </c>
      <c r="K295">
        <v>94066347</v>
      </c>
      <c r="L295">
        <v>306137124</v>
      </c>
      <c r="M295">
        <v>-92907851</v>
      </c>
      <c r="N295">
        <v>435680610</v>
      </c>
      <c r="O295">
        <v>213421144</v>
      </c>
      <c r="P295">
        <v>223</v>
      </c>
      <c r="Q295" t="s">
        <v>636</v>
      </c>
    </row>
    <row r="296" spans="1:17" x14ac:dyDescent="0.3">
      <c r="A296" t="s">
        <v>17</v>
      </c>
      <c r="B296" t="str">
        <f>"600337"</f>
        <v>600337</v>
      </c>
      <c r="C296" t="s">
        <v>637</v>
      </c>
      <c r="D296" t="s">
        <v>161</v>
      </c>
      <c r="F296">
        <v>51161303</v>
      </c>
      <c r="G296">
        <v>319983084</v>
      </c>
      <c r="H296">
        <v>175408495</v>
      </c>
      <c r="I296">
        <v>-633898130</v>
      </c>
      <c r="J296">
        <v>-11557588</v>
      </c>
      <c r="K296">
        <v>-9855462</v>
      </c>
      <c r="L296">
        <v>-64651242</v>
      </c>
      <c r="M296">
        <v>-175670986</v>
      </c>
      <c r="N296">
        <v>49857079</v>
      </c>
      <c r="O296">
        <v>59557356</v>
      </c>
      <c r="P296">
        <v>226</v>
      </c>
      <c r="Q296" t="s">
        <v>638</v>
      </c>
    </row>
    <row r="297" spans="1:17" x14ac:dyDescent="0.3">
      <c r="A297" t="s">
        <v>17</v>
      </c>
      <c r="B297" t="str">
        <f>"600338"</f>
        <v>600338</v>
      </c>
      <c r="C297" t="s">
        <v>639</v>
      </c>
      <c r="D297" t="s">
        <v>234</v>
      </c>
      <c r="F297">
        <v>234643108</v>
      </c>
      <c r="G297">
        <v>56269804</v>
      </c>
      <c r="H297">
        <v>372620630</v>
      </c>
      <c r="I297">
        <v>352544089</v>
      </c>
      <c r="J297">
        <v>445913871</v>
      </c>
      <c r="K297">
        <v>-23448093</v>
      </c>
      <c r="L297">
        <v>-136959210</v>
      </c>
      <c r="M297">
        <v>112111411</v>
      </c>
      <c r="N297">
        <v>-11855550</v>
      </c>
      <c r="O297">
        <v>-30041553</v>
      </c>
      <c r="P297">
        <v>4533</v>
      </c>
      <c r="Q297" t="s">
        <v>640</v>
      </c>
    </row>
    <row r="298" spans="1:17" x14ac:dyDescent="0.3">
      <c r="A298" t="s">
        <v>17</v>
      </c>
      <c r="B298" t="str">
        <f>"600339"</f>
        <v>600339</v>
      </c>
      <c r="C298" t="s">
        <v>641</v>
      </c>
      <c r="D298" t="s">
        <v>70</v>
      </c>
      <c r="F298">
        <v>-5037362359</v>
      </c>
      <c r="G298">
        <v>-7376271918</v>
      </c>
      <c r="H298">
        <v>-11917359921</v>
      </c>
      <c r="I298">
        <v>4392799350</v>
      </c>
      <c r="J298">
        <v>-3982476525</v>
      </c>
      <c r="K298">
        <v>144464356</v>
      </c>
      <c r="L298">
        <v>202026125</v>
      </c>
      <c r="M298">
        <v>-163038135</v>
      </c>
      <c r="N298">
        <v>225065736</v>
      </c>
      <c r="O298">
        <v>335958290</v>
      </c>
      <c r="P298">
        <v>232</v>
      </c>
      <c r="Q298" t="s">
        <v>642</v>
      </c>
    </row>
    <row r="299" spans="1:17" x14ac:dyDescent="0.3">
      <c r="A299" t="s">
        <v>17</v>
      </c>
      <c r="B299" t="str">
        <f>"600340"</f>
        <v>600340</v>
      </c>
      <c r="C299" t="s">
        <v>643</v>
      </c>
      <c r="D299" t="s">
        <v>30</v>
      </c>
      <c r="F299">
        <v>-5493300449</v>
      </c>
      <c r="G299">
        <v>-28616778214</v>
      </c>
      <c r="H299">
        <v>-42786647110</v>
      </c>
      <c r="I299">
        <v>-9862483579</v>
      </c>
      <c r="J299">
        <v>-24701693988</v>
      </c>
      <c r="K299">
        <v>-2176981405</v>
      </c>
      <c r="L299">
        <v>1499801499</v>
      </c>
      <c r="M299">
        <v>-4082510301</v>
      </c>
      <c r="N299">
        <v>-676620721</v>
      </c>
      <c r="O299">
        <v>16357913</v>
      </c>
      <c r="P299">
        <v>22449</v>
      </c>
      <c r="Q299" t="s">
        <v>644</v>
      </c>
    </row>
    <row r="300" spans="1:17" x14ac:dyDescent="0.3">
      <c r="A300" t="s">
        <v>17</v>
      </c>
      <c r="B300" t="str">
        <f>"600343"</f>
        <v>600343</v>
      </c>
      <c r="C300" t="s">
        <v>645</v>
      </c>
      <c r="D300" t="s">
        <v>92</v>
      </c>
      <c r="F300">
        <v>-85245445</v>
      </c>
      <c r="G300">
        <v>-251552970</v>
      </c>
      <c r="H300">
        <v>-425794439</v>
      </c>
      <c r="I300">
        <v>-309593877</v>
      </c>
      <c r="J300">
        <v>-358090209</v>
      </c>
      <c r="K300">
        <v>-385744020</v>
      </c>
      <c r="L300">
        <v>-308053010</v>
      </c>
      <c r="M300">
        <v>-160889872</v>
      </c>
      <c r="N300">
        <v>-175980122</v>
      </c>
      <c r="O300">
        <v>-221378105</v>
      </c>
      <c r="P300">
        <v>128</v>
      </c>
      <c r="Q300" t="s">
        <v>646</v>
      </c>
    </row>
    <row r="301" spans="1:17" x14ac:dyDescent="0.3">
      <c r="A301" t="s">
        <v>17</v>
      </c>
      <c r="B301" t="str">
        <f>"600345"</f>
        <v>600345</v>
      </c>
      <c r="C301" t="s">
        <v>647</v>
      </c>
      <c r="D301" t="s">
        <v>100</v>
      </c>
      <c r="F301">
        <v>-59007544</v>
      </c>
      <c r="G301">
        <v>-16932613</v>
      </c>
      <c r="H301">
        <v>-39160760</v>
      </c>
      <c r="I301">
        <v>-36504219</v>
      </c>
      <c r="J301">
        <v>-88845074</v>
      </c>
      <c r="K301">
        <v>-80433580</v>
      </c>
      <c r="L301">
        <v>-126647979</v>
      </c>
      <c r="M301">
        <v>-92062582</v>
      </c>
      <c r="N301">
        <v>-180417649</v>
      </c>
      <c r="O301">
        <v>-58591396</v>
      </c>
      <c r="P301">
        <v>208</v>
      </c>
      <c r="Q301" t="s">
        <v>648</v>
      </c>
    </row>
    <row r="302" spans="1:17" x14ac:dyDescent="0.3">
      <c r="A302" t="s">
        <v>17</v>
      </c>
      <c r="B302" t="str">
        <f>"600346"</f>
        <v>600346</v>
      </c>
      <c r="C302" t="s">
        <v>649</v>
      </c>
      <c r="D302" t="s">
        <v>70</v>
      </c>
      <c r="F302">
        <v>9149870239</v>
      </c>
      <c r="G302">
        <v>-291096730</v>
      </c>
      <c r="H302">
        <v>-8728480060</v>
      </c>
      <c r="I302">
        <v>-22165345082</v>
      </c>
      <c r="J302">
        <v>-437202191</v>
      </c>
      <c r="K302">
        <v>-680630712</v>
      </c>
      <c r="L302">
        <v>-31528381</v>
      </c>
      <c r="M302">
        <v>-20421445</v>
      </c>
      <c r="N302">
        <v>-73293241</v>
      </c>
      <c r="O302">
        <v>-263625740</v>
      </c>
      <c r="P302">
        <v>1653</v>
      </c>
      <c r="Q302" t="s">
        <v>650</v>
      </c>
    </row>
    <row r="303" spans="1:17" x14ac:dyDescent="0.3">
      <c r="A303" t="s">
        <v>17</v>
      </c>
      <c r="B303" t="str">
        <f>"600348"</f>
        <v>600348</v>
      </c>
      <c r="C303" t="s">
        <v>651</v>
      </c>
      <c r="D303" t="s">
        <v>257</v>
      </c>
      <c r="F303">
        <v>3366287547</v>
      </c>
      <c r="G303">
        <v>1192579972</v>
      </c>
      <c r="H303">
        <v>-551381409</v>
      </c>
      <c r="I303">
        <v>-6065431</v>
      </c>
      <c r="J303">
        <v>-415399255</v>
      </c>
      <c r="K303">
        <v>-1091645193</v>
      </c>
      <c r="L303">
        <v>-1518273458</v>
      </c>
      <c r="M303">
        <v>-2471945204</v>
      </c>
      <c r="N303">
        <v>-355276749</v>
      </c>
      <c r="O303">
        <v>647775477</v>
      </c>
      <c r="P303">
        <v>1285</v>
      </c>
      <c r="Q303" t="s">
        <v>652</v>
      </c>
    </row>
    <row r="304" spans="1:17" x14ac:dyDescent="0.3">
      <c r="A304" t="s">
        <v>17</v>
      </c>
      <c r="B304" t="str">
        <f>"600350"</f>
        <v>600350</v>
      </c>
      <c r="C304" t="s">
        <v>653</v>
      </c>
      <c r="D304" t="s">
        <v>22</v>
      </c>
      <c r="F304">
        <v>308649659</v>
      </c>
      <c r="G304">
        <v>-1051405526</v>
      </c>
      <c r="H304">
        <v>-2652393468</v>
      </c>
      <c r="I304">
        <v>-2744367864</v>
      </c>
      <c r="J304">
        <v>-1127851071</v>
      </c>
      <c r="K304">
        <v>689819878</v>
      </c>
      <c r="L304">
        <v>907769145</v>
      </c>
      <c r="M304">
        <v>-516345328</v>
      </c>
      <c r="N304">
        <v>895348452</v>
      </c>
      <c r="O304">
        <v>1389157800</v>
      </c>
      <c r="P304">
        <v>1230</v>
      </c>
      <c r="Q304" t="s">
        <v>654</v>
      </c>
    </row>
    <row r="305" spans="1:17" x14ac:dyDescent="0.3">
      <c r="A305" t="s">
        <v>17</v>
      </c>
      <c r="B305" t="str">
        <f>"600351"</f>
        <v>600351</v>
      </c>
      <c r="C305" t="s">
        <v>655</v>
      </c>
      <c r="D305" t="s">
        <v>113</v>
      </c>
      <c r="F305">
        <v>206010341</v>
      </c>
      <c r="G305">
        <v>195359659</v>
      </c>
      <c r="H305">
        <v>163996330</v>
      </c>
      <c r="I305">
        <v>304850424</v>
      </c>
      <c r="J305">
        <v>6740844</v>
      </c>
      <c r="K305">
        <v>266668132</v>
      </c>
      <c r="L305">
        <v>123133962</v>
      </c>
      <c r="M305">
        <v>27063511</v>
      </c>
      <c r="N305">
        <v>22805873</v>
      </c>
      <c r="O305">
        <v>-123767242</v>
      </c>
      <c r="P305">
        <v>234</v>
      </c>
      <c r="Q305" t="s">
        <v>656</v>
      </c>
    </row>
    <row r="306" spans="1:17" x14ac:dyDescent="0.3">
      <c r="A306" t="s">
        <v>17</v>
      </c>
      <c r="B306" t="str">
        <f>"600352"</f>
        <v>600352</v>
      </c>
      <c r="C306" t="s">
        <v>657</v>
      </c>
      <c r="D306" t="s">
        <v>133</v>
      </c>
      <c r="F306">
        <v>3161516325</v>
      </c>
      <c r="G306">
        <v>1481624191</v>
      </c>
      <c r="H306">
        <v>3052935525</v>
      </c>
      <c r="I306">
        <v>-571469819</v>
      </c>
      <c r="J306">
        <v>-2446054609</v>
      </c>
      <c r="K306">
        <v>-5448932542</v>
      </c>
      <c r="L306">
        <v>206763463</v>
      </c>
      <c r="M306">
        <v>-139445847</v>
      </c>
      <c r="N306">
        <v>-269228309</v>
      </c>
      <c r="O306">
        <v>58125836</v>
      </c>
      <c r="P306">
        <v>1666</v>
      </c>
      <c r="Q306" t="s">
        <v>658</v>
      </c>
    </row>
    <row r="307" spans="1:17" x14ac:dyDescent="0.3">
      <c r="A307" t="s">
        <v>17</v>
      </c>
      <c r="B307" t="str">
        <f>"600353"</f>
        <v>600353</v>
      </c>
      <c r="C307" t="s">
        <v>659</v>
      </c>
      <c r="D307" t="s">
        <v>150</v>
      </c>
      <c r="F307">
        <v>-58537539</v>
      </c>
      <c r="G307">
        <v>-29969448</v>
      </c>
      <c r="H307">
        <v>-718250</v>
      </c>
      <c r="I307">
        <v>48717607</v>
      </c>
      <c r="J307">
        <v>-10558406</v>
      </c>
      <c r="K307">
        <v>-37521555</v>
      </c>
      <c r="L307">
        <v>-23705831</v>
      </c>
      <c r="M307">
        <v>-6300947</v>
      </c>
      <c r="N307">
        <v>-30729503</v>
      </c>
      <c r="O307">
        <v>-36617421</v>
      </c>
      <c r="P307">
        <v>141</v>
      </c>
      <c r="Q307" t="s">
        <v>660</v>
      </c>
    </row>
    <row r="308" spans="1:17" x14ac:dyDescent="0.3">
      <c r="A308" t="s">
        <v>17</v>
      </c>
      <c r="B308" t="str">
        <f>"600354"</f>
        <v>600354</v>
      </c>
      <c r="C308" t="s">
        <v>661</v>
      </c>
      <c r="D308" t="s">
        <v>205</v>
      </c>
      <c r="F308">
        <v>50614027</v>
      </c>
      <c r="G308">
        <v>84991544</v>
      </c>
      <c r="H308">
        <v>-95509246</v>
      </c>
      <c r="I308">
        <v>-166835015</v>
      </c>
      <c r="J308">
        <v>-375913510</v>
      </c>
      <c r="K308">
        <v>-377330796</v>
      </c>
      <c r="L308">
        <v>-6117233</v>
      </c>
      <c r="M308">
        <v>141560677</v>
      </c>
      <c r="N308">
        <v>-79958724</v>
      </c>
      <c r="O308">
        <v>334400075</v>
      </c>
      <c r="P308">
        <v>121</v>
      </c>
      <c r="Q308" t="s">
        <v>662</v>
      </c>
    </row>
    <row r="309" spans="1:17" x14ac:dyDescent="0.3">
      <c r="A309" t="s">
        <v>17</v>
      </c>
      <c r="B309" t="str">
        <f>"600355"</f>
        <v>600355</v>
      </c>
      <c r="C309" t="s">
        <v>663</v>
      </c>
      <c r="D309" t="s">
        <v>100</v>
      </c>
      <c r="F309">
        <v>2256304</v>
      </c>
      <c r="G309">
        <v>-36028509</v>
      </c>
      <c r="H309">
        <v>-14344692</v>
      </c>
      <c r="I309">
        <v>-20473707</v>
      </c>
      <c r="J309">
        <v>-59876322</v>
      </c>
      <c r="K309">
        <v>-61094365</v>
      </c>
      <c r="L309">
        <v>8244176</v>
      </c>
      <c r="M309">
        <v>-17198932</v>
      </c>
      <c r="N309">
        <v>-41658571</v>
      </c>
      <c r="O309">
        <v>-45129537</v>
      </c>
      <c r="P309">
        <v>109</v>
      </c>
      <c r="Q309" t="s">
        <v>664</v>
      </c>
    </row>
    <row r="310" spans="1:17" x14ac:dyDescent="0.3">
      <c r="A310" t="s">
        <v>17</v>
      </c>
      <c r="B310" t="str">
        <f>"600356"</f>
        <v>600356</v>
      </c>
      <c r="C310" t="s">
        <v>665</v>
      </c>
      <c r="D310" t="s">
        <v>161</v>
      </c>
      <c r="F310">
        <v>25073032</v>
      </c>
      <c r="G310">
        <v>-78769604</v>
      </c>
      <c r="H310">
        <v>-57617952</v>
      </c>
      <c r="I310">
        <v>-285943639</v>
      </c>
      <c r="J310">
        <v>60053338</v>
      </c>
      <c r="K310">
        <v>-48233884</v>
      </c>
      <c r="L310">
        <v>168502118</v>
      </c>
      <c r="M310">
        <v>172067589</v>
      </c>
      <c r="N310">
        <v>-69614165</v>
      </c>
      <c r="O310">
        <v>-272754222</v>
      </c>
      <c r="P310">
        <v>116</v>
      </c>
      <c r="Q310" t="s">
        <v>666</v>
      </c>
    </row>
    <row r="311" spans="1:17" x14ac:dyDescent="0.3">
      <c r="A311" t="s">
        <v>17</v>
      </c>
      <c r="B311" t="str">
        <f>"600358"</f>
        <v>600358</v>
      </c>
      <c r="C311" t="s">
        <v>667</v>
      </c>
      <c r="D311" t="s">
        <v>89</v>
      </c>
      <c r="F311">
        <v>-62955387</v>
      </c>
      <c r="G311">
        <v>-102446024</v>
      </c>
      <c r="H311">
        <v>-81971443</v>
      </c>
      <c r="I311">
        <v>-35637328</v>
      </c>
      <c r="J311">
        <v>-32513112</v>
      </c>
      <c r="K311">
        <v>-45527795</v>
      </c>
      <c r="L311">
        <v>-30162304</v>
      </c>
      <c r="M311">
        <v>-33657798</v>
      </c>
      <c r="N311">
        <v>-50440158</v>
      </c>
      <c r="O311">
        <v>-96791388</v>
      </c>
      <c r="P311">
        <v>64</v>
      </c>
      <c r="Q311" t="s">
        <v>668</v>
      </c>
    </row>
    <row r="312" spans="1:17" x14ac:dyDescent="0.3">
      <c r="A312" t="s">
        <v>17</v>
      </c>
      <c r="B312" t="str">
        <f>"600359"</f>
        <v>600359</v>
      </c>
      <c r="C312" t="s">
        <v>669</v>
      </c>
      <c r="D312" t="s">
        <v>205</v>
      </c>
      <c r="F312">
        <v>68349602</v>
      </c>
      <c r="G312">
        <v>65285625</v>
      </c>
      <c r="H312">
        <v>285992247</v>
      </c>
      <c r="I312">
        <v>48399860</v>
      </c>
      <c r="J312">
        <v>64136492</v>
      </c>
      <c r="K312">
        <v>-129811788</v>
      </c>
      <c r="L312">
        <v>-64322417</v>
      </c>
      <c r="M312">
        <v>-103595092</v>
      </c>
      <c r="N312">
        <v>-286578709</v>
      </c>
      <c r="O312">
        <v>-17755</v>
      </c>
      <c r="P312">
        <v>111</v>
      </c>
      <c r="Q312" t="s">
        <v>670</v>
      </c>
    </row>
    <row r="313" spans="1:17" x14ac:dyDescent="0.3">
      <c r="A313" t="s">
        <v>17</v>
      </c>
      <c r="B313" t="str">
        <f>"600360"</f>
        <v>600360</v>
      </c>
      <c r="C313" t="s">
        <v>671</v>
      </c>
      <c r="D313" t="s">
        <v>150</v>
      </c>
      <c r="F313">
        <v>-514922477</v>
      </c>
      <c r="G313">
        <v>-37667090</v>
      </c>
      <c r="H313">
        <v>-176999938</v>
      </c>
      <c r="I313">
        <v>123400095</v>
      </c>
      <c r="J313">
        <v>122542543</v>
      </c>
      <c r="K313">
        <v>-55922925</v>
      </c>
      <c r="L313">
        <v>85401435</v>
      </c>
      <c r="M313">
        <v>98471590</v>
      </c>
      <c r="N313">
        <v>63596211</v>
      </c>
      <c r="O313">
        <v>62038262</v>
      </c>
      <c r="P313">
        <v>318</v>
      </c>
      <c r="Q313" t="s">
        <v>672</v>
      </c>
    </row>
    <row r="314" spans="1:17" x14ac:dyDescent="0.3">
      <c r="A314" t="s">
        <v>17</v>
      </c>
      <c r="B314" t="str">
        <f>"600361"</f>
        <v>600361</v>
      </c>
      <c r="C314" t="s">
        <v>673</v>
      </c>
      <c r="D314" t="s">
        <v>120</v>
      </c>
      <c r="F314">
        <v>126729096</v>
      </c>
      <c r="G314">
        <v>349664297</v>
      </c>
      <c r="H314">
        <v>584537898</v>
      </c>
      <c r="I314">
        <v>251508569</v>
      </c>
      <c r="J314">
        <v>81594669</v>
      </c>
      <c r="K314">
        <v>-550719997</v>
      </c>
      <c r="L314">
        <v>-212737630</v>
      </c>
      <c r="M314">
        <v>292540014</v>
      </c>
      <c r="N314">
        <v>-43056928</v>
      </c>
      <c r="O314">
        <v>209273401</v>
      </c>
      <c r="P314">
        <v>134</v>
      </c>
      <c r="Q314" t="s">
        <v>674</v>
      </c>
    </row>
    <row r="315" spans="1:17" x14ac:dyDescent="0.3">
      <c r="A315" t="s">
        <v>17</v>
      </c>
      <c r="B315" t="str">
        <f>"600362"</f>
        <v>600362</v>
      </c>
      <c r="C315" t="s">
        <v>675</v>
      </c>
      <c r="D315" t="s">
        <v>234</v>
      </c>
      <c r="F315">
        <v>7206244021</v>
      </c>
      <c r="G315">
        <v>4454822933</v>
      </c>
      <c r="H315">
        <v>7000215729</v>
      </c>
      <c r="I315">
        <v>2813258997</v>
      </c>
      <c r="J315">
        <v>-343427491</v>
      </c>
      <c r="K315">
        <v>289279261</v>
      </c>
      <c r="L315">
        <v>4202520100</v>
      </c>
      <c r="M315">
        <v>2669590968</v>
      </c>
      <c r="N315">
        <v>1813151972</v>
      </c>
      <c r="O315">
        <v>170737268</v>
      </c>
      <c r="P315">
        <v>911</v>
      </c>
      <c r="Q315" t="s">
        <v>676</v>
      </c>
    </row>
    <row r="316" spans="1:17" x14ac:dyDescent="0.3">
      <c r="A316" t="s">
        <v>17</v>
      </c>
      <c r="B316" t="str">
        <f>"600363"</f>
        <v>600363</v>
      </c>
      <c r="C316" t="s">
        <v>677</v>
      </c>
      <c r="D316" t="s">
        <v>150</v>
      </c>
      <c r="F316">
        <v>-87224385</v>
      </c>
      <c r="G316">
        <v>-142090540</v>
      </c>
      <c r="H316">
        <v>-181124521</v>
      </c>
      <c r="I316">
        <v>60799446</v>
      </c>
      <c r="J316">
        <v>-153989425</v>
      </c>
      <c r="K316">
        <v>-91496181</v>
      </c>
      <c r="L316">
        <v>-154670777</v>
      </c>
      <c r="M316">
        <v>-91430327</v>
      </c>
      <c r="N316">
        <v>-103362217</v>
      </c>
      <c r="O316">
        <v>-28102229</v>
      </c>
      <c r="P316">
        <v>202</v>
      </c>
      <c r="Q316" t="s">
        <v>678</v>
      </c>
    </row>
    <row r="317" spans="1:17" x14ac:dyDescent="0.3">
      <c r="A317" t="s">
        <v>17</v>
      </c>
      <c r="B317" t="str">
        <f>"600365"</f>
        <v>600365</v>
      </c>
      <c r="C317" t="s">
        <v>679</v>
      </c>
      <c r="D317" t="s">
        <v>123</v>
      </c>
      <c r="F317">
        <v>-137634009</v>
      </c>
      <c r="G317">
        <v>93666672</v>
      </c>
      <c r="H317">
        <v>-629981933</v>
      </c>
      <c r="I317">
        <v>-437596425</v>
      </c>
      <c r="J317">
        <v>-57198025</v>
      </c>
      <c r="K317">
        <v>-136241867</v>
      </c>
      <c r="L317">
        <v>-5951909</v>
      </c>
      <c r="M317">
        <v>-129598125</v>
      </c>
      <c r="N317">
        <v>-76623137</v>
      </c>
      <c r="O317">
        <v>-18161451</v>
      </c>
      <c r="P317">
        <v>90</v>
      </c>
      <c r="Q317" t="s">
        <v>680</v>
      </c>
    </row>
    <row r="318" spans="1:17" x14ac:dyDescent="0.3">
      <c r="A318" t="s">
        <v>17</v>
      </c>
      <c r="B318" t="str">
        <f>"600366"</f>
        <v>600366</v>
      </c>
      <c r="C318" t="s">
        <v>681</v>
      </c>
      <c r="D318" t="s">
        <v>234</v>
      </c>
      <c r="F318">
        <v>-779091707</v>
      </c>
      <c r="G318">
        <v>-225871790</v>
      </c>
      <c r="H318">
        <v>44863859</v>
      </c>
      <c r="I318">
        <v>-140277713</v>
      </c>
      <c r="J318">
        <v>-206286991</v>
      </c>
      <c r="K318">
        <v>-28038526</v>
      </c>
      <c r="L318">
        <v>80004879</v>
      </c>
      <c r="M318">
        <v>123314721</v>
      </c>
      <c r="N318">
        <v>214984172</v>
      </c>
      <c r="O318">
        <v>274400879</v>
      </c>
      <c r="P318">
        <v>237</v>
      </c>
      <c r="Q318" t="s">
        <v>682</v>
      </c>
    </row>
    <row r="319" spans="1:17" x14ac:dyDescent="0.3">
      <c r="A319" t="s">
        <v>17</v>
      </c>
      <c r="B319" t="str">
        <f>"600367"</f>
        <v>600367</v>
      </c>
      <c r="C319" t="s">
        <v>683</v>
      </c>
      <c r="D319" t="s">
        <v>133</v>
      </c>
      <c r="F319">
        <v>114264552</v>
      </c>
      <c r="G319">
        <v>-37805057</v>
      </c>
      <c r="H319">
        <v>63902974</v>
      </c>
      <c r="I319">
        <v>39020919</v>
      </c>
      <c r="J319">
        <v>70950548</v>
      </c>
      <c r="K319">
        <v>83698493</v>
      </c>
      <c r="L319">
        <v>49673312</v>
      </c>
      <c r="M319">
        <v>-66145350</v>
      </c>
      <c r="N319">
        <v>-106019583</v>
      </c>
      <c r="O319">
        <v>-59691800</v>
      </c>
      <c r="P319">
        <v>115</v>
      </c>
      <c r="Q319" t="s">
        <v>684</v>
      </c>
    </row>
    <row r="320" spans="1:17" x14ac:dyDescent="0.3">
      <c r="A320" t="s">
        <v>17</v>
      </c>
      <c r="B320" t="str">
        <f>"600368"</f>
        <v>600368</v>
      </c>
      <c r="C320" t="s">
        <v>685</v>
      </c>
      <c r="D320" t="s">
        <v>22</v>
      </c>
      <c r="F320">
        <v>1215923959</v>
      </c>
      <c r="G320">
        <v>487736005</v>
      </c>
      <c r="H320">
        <v>482252107</v>
      </c>
      <c r="I320">
        <v>804049781</v>
      </c>
      <c r="J320">
        <v>840769606</v>
      </c>
      <c r="K320">
        <v>803658815</v>
      </c>
      <c r="L320">
        <v>971272715</v>
      </c>
      <c r="M320">
        <v>-44268157</v>
      </c>
      <c r="N320">
        <v>-1493733008</v>
      </c>
      <c r="O320">
        <v>-697145172</v>
      </c>
      <c r="P320">
        <v>302</v>
      </c>
      <c r="Q320" t="s">
        <v>686</v>
      </c>
    </row>
    <row r="321" spans="1:17" x14ac:dyDescent="0.3">
      <c r="A321" t="s">
        <v>17</v>
      </c>
      <c r="B321" t="str">
        <f>"600369"</f>
        <v>600369</v>
      </c>
      <c r="C321" t="s">
        <v>687</v>
      </c>
      <c r="D321" t="s">
        <v>75</v>
      </c>
      <c r="F321">
        <v>1024549261</v>
      </c>
      <c r="G321">
        <v>-2383109634</v>
      </c>
      <c r="H321">
        <v>445381622</v>
      </c>
      <c r="I321">
        <v>2357953655</v>
      </c>
      <c r="J321">
        <v>-1689890279</v>
      </c>
      <c r="K321">
        <v>-13359594476</v>
      </c>
      <c r="L321">
        <v>15523569962</v>
      </c>
      <c r="M321">
        <v>3324960045</v>
      </c>
      <c r="N321">
        <v>-229255649</v>
      </c>
      <c r="O321">
        <v>-904240236</v>
      </c>
      <c r="P321">
        <v>930</v>
      </c>
      <c r="Q321" t="s">
        <v>688</v>
      </c>
    </row>
    <row r="322" spans="1:17" x14ac:dyDescent="0.3">
      <c r="A322" t="s">
        <v>17</v>
      </c>
      <c r="B322" t="str">
        <f>"600370"</f>
        <v>600370</v>
      </c>
      <c r="C322" t="s">
        <v>689</v>
      </c>
      <c r="D322" t="s">
        <v>227</v>
      </c>
      <c r="F322">
        <v>-1057004004</v>
      </c>
      <c r="G322">
        <v>-525282978</v>
      </c>
      <c r="H322">
        <v>161771592</v>
      </c>
      <c r="I322">
        <v>46748481</v>
      </c>
      <c r="J322">
        <v>29242344</v>
      </c>
      <c r="K322">
        <v>101892783</v>
      </c>
      <c r="L322">
        <v>130821196</v>
      </c>
      <c r="M322">
        <v>40998069</v>
      </c>
      <c r="N322">
        <v>8917773</v>
      </c>
      <c r="O322">
        <v>114883187</v>
      </c>
      <c r="P322">
        <v>101</v>
      </c>
      <c r="Q322" t="s">
        <v>690</v>
      </c>
    </row>
    <row r="323" spans="1:17" x14ac:dyDescent="0.3">
      <c r="A323" t="s">
        <v>17</v>
      </c>
      <c r="B323" t="str">
        <f>"600371"</f>
        <v>600371</v>
      </c>
      <c r="C323" t="s">
        <v>691</v>
      </c>
      <c r="D323" t="s">
        <v>205</v>
      </c>
      <c r="F323">
        <v>108175545</v>
      </c>
      <c r="G323">
        <v>49282390</v>
      </c>
      <c r="H323">
        <v>103030512</v>
      </c>
      <c r="I323">
        <v>113262352</v>
      </c>
      <c r="J323">
        <v>89273173</v>
      </c>
      <c r="K323">
        <v>212913382</v>
      </c>
      <c r="L323">
        <v>110077473</v>
      </c>
      <c r="M323">
        <v>41698035</v>
      </c>
      <c r="N323">
        <v>29865240</v>
      </c>
      <c r="O323">
        <v>35768051</v>
      </c>
      <c r="P323">
        <v>174</v>
      </c>
      <c r="Q323" t="s">
        <v>692</v>
      </c>
    </row>
    <row r="324" spans="1:17" x14ac:dyDescent="0.3">
      <c r="A324" t="s">
        <v>17</v>
      </c>
      <c r="B324" t="str">
        <f>"600372"</f>
        <v>600372</v>
      </c>
      <c r="C324" t="s">
        <v>693</v>
      </c>
      <c r="D324" t="s">
        <v>92</v>
      </c>
      <c r="F324">
        <v>-94546404</v>
      </c>
      <c r="G324">
        <v>-1136960278</v>
      </c>
      <c r="H324">
        <v>-1157695119</v>
      </c>
      <c r="I324">
        <v>-972456076</v>
      </c>
      <c r="J324">
        <v>-1417206249</v>
      </c>
      <c r="K324">
        <v>-1574887851</v>
      </c>
      <c r="L324">
        <v>-1140962751</v>
      </c>
      <c r="M324">
        <v>-1056499312</v>
      </c>
      <c r="N324">
        <v>-804414493</v>
      </c>
      <c r="O324">
        <v>-851328159</v>
      </c>
      <c r="P324">
        <v>433</v>
      </c>
      <c r="Q324" t="s">
        <v>694</v>
      </c>
    </row>
    <row r="325" spans="1:17" x14ac:dyDescent="0.3">
      <c r="A325" t="s">
        <v>17</v>
      </c>
      <c r="B325" t="str">
        <f>"600373"</f>
        <v>600373</v>
      </c>
      <c r="C325" t="s">
        <v>695</v>
      </c>
      <c r="D325" t="s">
        <v>89</v>
      </c>
      <c r="F325">
        <v>171817456</v>
      </c>
      <c r="G325">
        <v>268949870</v>
      </c>
      <c r="H325">
        <v>83696347</v>
      </c>
      <c r="I325">
        <v>-145301921</v>
      </c>
      <c r="J325">
        <v>-71772141</v>
      </c>
      <c r="K325">
        <v>582813236</v>
      </c>
      <c r="L325">
        <v>542923999</v>
      </c>
      <c r="M325">
        <v>-8682389</v>
      </c>
      <c r="N325">
        <v>109748309</v>
      </c>
      <c r="O325">
        <v>696602020</v>
      </c>
      <c r="P325">
        <v>776</v>
      </c>
      <c r="Q325" t="s">
        <v>696</v>
      </c>
    </row>
    <row r="326" spans="1:17" x14ac:dyDescent="0.3">
      <c r="A326" t="s">
        <v>17</v>
      </c>
      <c r="B326" t="str">
        <f>"600375"</f>
        <v>600375</v>
      </c>
      <c r="C326" t="s">
        <v>697</v>
      </c>
      <c r="D326" t="s">
        <v>78</v>
      </c>
      <c r="F326">
        <v>20667058</v>
      </c>
      <c r="G326">
        <v>-358581553</v>
      </c>
      <c r="H326">
        <v>415588886</v>
      </c>
      <c r="I326">
        <v>603852276</v>
      </c>
      <c r="J326">
        <v>-252332868</v>
      </c>
      <c r="K326">
        <v>387279442</v>
      </c>
      <c r="L326">
        <v>-250657826</v>
      </c>
      <c r="M326">
        <v>-217072606</v>
      </c>
      <c r="N326">
        <v>-316919331</v>
      </c>
      <c r="O326">
        <v>-104828895</v>
      </c>
      <c r="P326">
        <v>87</v>
      </c>
      <c r="Q326" t="s">
        <v>698</v>
      </c>
    </row>
    <row r="327" spans="1:17" x14ac:dyDescent="0.3">
      <c r="A327" t="s">
        <v>17</v>
      </c>
      <c r="B327" t="str">
        <f>"600376"</f>
        <v>600376</v>
      </c>
      <c r="C327" t="s">
        <v>699</v>
      </c>
      <c r="D327" t="s">
        <v>30</v>
      </c>
      <c r="F327">
        <v>9117192820</v>
      </c>
      <c r="G327">
        <v>-4043911360</v>
      </c>
      <c r="H327">
        <v>-1832769678</v>
      </c>
      <c r="I327">
        <v>1843080596</v>
      </c>
      <c r="J327">
        <v>-14813312301</v>
      </c>
      <c r="K327">
        <v>-5440655585</v>
      </c>
      <c r="L327">
        <v>-3751606060</v>
      </c>
      <c r="M327">
        <v>930605265</v>
      </c>
      <c r="N327">
        <v>-3329806241</v>
      </c>
      <c r="O327">
        <v>1668051010</v>
      </c>
      <c r="P327">
        <v>1101</v>
      </c>
      <c r="Q327" t="s">
        <v>700</v>
      </c>
    </row>
    <row r="328" spans="1:17" x14ac:dyDescent="0.3">
      <c r="A328" t="s">
        <v>17</v>
      </c>
      <c r="B328" t="str">
        <f>"600377"</f>
        <v>600377</v>
      </c>
      <c r="C328" t="s">
        <v>701</v>
      </c>
      <c r="D328" t="s">
        <v>22</v>
      </c>
      <c r="F328">
        <v>1809786604</v>
      </c>
      <c r="G328">
        <v>-1326823601</v>
      </c>
      <c r="H328">
        <v>1961246702</v>
      </c>
      <c r="I328">
        <v>1972071342</v>
      </c>
      <c r="J328">
        <v>-1591263489</v>
      </c>
      <c r="K328">
        <v>4338284534</v>
      </c>
      <c r="L328">
        <v>2721448531</v>
      </c>
      <c r="M328">
        <v>2063538283</v>
      </c>
      <c r="N328">
        <v>2382775264</v>
      </c>
      <c r="O328">
        <v>2179020088</v>
      </c>
      <c r="P328">
        <v>1723</v>
      </c>
      <c r="Q328" t="s">
        <v>702</v>
      </c>
    </row>
    <row r="329" spans="1:17" x14ac:dyDescent="0.3">
      <c r="A329" t="s">
        <v>17</v>
      </c>
      <c r="B329" t="str">
        <f>"600378"</f>
        <v>600378</v>
      </c>
      <c r="C329" t="s">
        <v>703</v>
      </c>
      <c r="D329" t="s">
        <v>133</v>
      </c>
      <c r="F329">
        <v>-88682227</v>
      </c>
      <c r="G329">
        <v>-154594528</v>
      </c>
      <c r="H329">
        <v>161720352</v>
      </c>
      <c r="I329">
        <v>-12320330</v>
      </c>
      <c r="J329">
        <v>-20565269</v>
      </c>
      <c r="K329">
        <v>-36720936</v>
      </c>
      <c r="L329">
        <v>-30479790</v>
      </c>
      <c r="M329">
        <v>-3482746</v>
      </c>
      <c r="N329">
        <v>10246301</v>
      </c>
      <c r="O329">
        <v>51896142</v>
      </c>
      <c r="P329">
        <v>228</v>
      </c>
      <c r="Q329" t="s">
        <v>704</v>
      </c>
    </row>
    <row r="330" spans="1:17" x14ac:dyDescent="0.3">
      <c r="A330" t="s">
        <v>17</v>
      </c>
      <c r="B330" t="str">
        <f>"600379"</f>
        <v>600379</v>
      </c>
      <c r="C330" t="s">
        <v>705</v>
      </c>
      <c r="D330" t="s">
        <v>188</v>
      </c>
      <c r="F330">
        <v>160224682</v>
      </c>
      <c r="G330">
        <v>39455726</v>
      </c>
      <c r="H330">
        <v>26197475</v>
      </c>
      <c r="I330">
        <v>31568909</v>
      </c>
      <c r="J330">
        <v>-17767191</v>
      </c>
      <c r="K330">
        <v>39104468</v>
      </c>
      <c r="L330">
        <v>126434053</v>
      </c>
      <c r="M330">
        <v>-38952268</v>
      </c>
      <c r="N330">
        <v>-2648127</v>
      </c>
      <c r="O330">
        <v>-54482672</v>
      </c>
      <c r="P330">
        <v>85</v>
      </c>
      <c r="Q330" t="s">
        <v>706</v>
      </c>
    </row>
    <row r="331" spans="1:17" x14ac:dyDescent="0.3">
      <c r="A331" t="s">
        <v>17</v>
      </c>
      <c r="B331" t="str">
        <f>"600380"</f>
        <v>600380</v>
      </c>
      <c r="C331" t="s">
        <v>707</v>
      </c>
      <c r="D331" t="s">
        <v>113</v>
      </c>
      <c r="F331">
        <v>669174823</v>
      </c>
      <c r="G331">
        <v>1469804112</v>
      </c>
      <c r="H331">
        <v>1265245861</v>
      </c>
      <c r="I331">
        <v>487238451</v>
      </c>
      <c r="J331">
        <v>938814920</v>
      </c>
      <c r="K331">
        <v>872312870</v>
      </c>
      <c r="L331">
        <v>370564989</v>
      </c>
      <c r="M331">
        <v>-15903088</v>
      </c>
      <c r="N331">
        <v>-201404518</v>
      </c>
      <c r="O331">
        <v>-60502968</v>
      </c>
      <c r="P331">
        <v>966</v>
      </c>
      <c r="Q331" t="s">
        <v>708</v>
      </c>
    </row>
    <row r="332" spans="1:17" x14ac:dyDescent="0.3">
      <c r="A332" t="s">
        <v>17</v>
      </c>
      <c r="B332" t="str">
        <f>"600381"</f>
        <v>600381</v>
      </c>
      <c r="C332" t="s">
        <v>709</v>
      </c>
      <c r="D332" t="s">
        <v>123</v>
      </c>
      <c r="F332">
        <v>-197548689</v>
      </c>
      <c r="G332">
        <v>-164327921</v>
      </c>
      <c r="H332">
        <v>-227672028</v>
      </c>
      <c r="I332">
        <v>-153218441</v>
      </c>
      <c r="J332">
        <v>29830940</v>
      </c>
      <c r="K332">
        <v>-32623291</v>
      </c>
      <c r="L332">
        <v>422473828</v>
      </c>
      <c r="M332">
        <v>-134019467</v>
      </c>
      <c r="N332">
        <v>-1193838</v>
      </c>
      <c r="O332">
        <v>-944859125</v>
      </c>
      <c r="P332">
        <v>131</v>
      </c>
      <c r="Q332" t="s">
        <v>710</v>
      </c>
    </row>
    <row r="333" spans="1:17" x14ac:dyDescent="0.3">
      <c r="A333" t="s">
        <v>17</v>
      </c>
      <c r="B333" t="str">
        <f>"600382"</f>
        <v>600382</v>
      </c>
      <c r="C333" t="s">
        <v>711</v>
      </c>
      <c r="D333" t="s">
        <v>103</v>
      </c>
      <c r="F333">
        <v>-165733607</v>
      </c>
      <c r="G333">
        <v>-371352408</v>
      </c>
      <c r="H333">
        <v>251734793</v>
      </c>
      <c r="I333">
        <v>-1482115425</v>
      </c>
      <c r="J333">
        <v>-1389872228</v>
      </c>
      <c r="K333">
        <v>-288279852</v>
      </c>
      <c r="L333">
        <v>-1130330624</v>
      </c>
      <c r="M333">
        <v>787073365</v>
      </c>
      <c r="N333">
        <v>1194920</v>
      </c>
      <c r="O333">
        <v>5675106</v>
      </c>
      <c r="P333">
        <v>156</v>
      </c>
      <c r="Q333" t="s">
        <v>712</v>
      </c>
    </row>
    <row r="334" spans="1:17" x14ac:dyDescent="0.3">
      <c r="A334" t="s">
        <v>17</v>
      </c>
      <c r="B334" t="str">
        <f>"600383"</f>
        <v>600383</v>
      </c>
      <c r="C334" t="s">
        <v>713</v>
      </c>
      <c r="D334" t="s">
        <v>30</v>
      </c>
      <c r="F334">
        <v>-1170210772</v>
      </c>
      <c r="G334">
        <v>502026504</v>
      </c>
      <c r="H334">
        <v>-724441640</v>
      </c>
      <c r="I334">
        <v>-9792113143</v>
      </c>
      <c r="J334">
        <v>-620184008</v>
      </c>
      <c r="K334">
        <v>9990836081</v>
      </c>
      <c r="L334">
        <v>1412091576</v>
      </c>
      <c r="M334">
        <v>-2509504019</v>
      </c>
      <c r="N334">
        <v>-4838135252</v>
      </c>
      <c r="O334">
        <v>1234179224</v>
      </c>
      <c r="P334">
        <v>2481</v>
      </c>
      <c r="Q334" t="s">
        <v>714</v>
      </c>
    </row>
    <row r="335" spans="1:17" x14ac:dyDescent="0.3">
      <c r="A335" t="s">
        <v>17</v>
      </c>
      <c r="B335" t="str">
        <f>"600385"</f>
        <v>600385</v>
      </c>
      <c r="C335" t="s">
        <v>715</v>
      </c>
      <c r="D335" t="s">
        <v>113</v>
      </c>
      <c r="F335">
        <v>6327196</v>
      </c>
      <c r="G335">
        <v>7665279</v>
      </c>
      <c r="H335">
        <v>-2431562</v>
      </c>
      <c r="I335">
        <v>-4531175</v>
      </c>
      <c r="J335">
        <v>2958334</v>
      </c>
      <c r="K335">
        <v>-30473858</v>
      </c>
      <c r="L335">
        <v>92418712</v>
      </c>
      <c r="M335">
        <v>21747941</v>
      </c>
      <c r="N335">
        <v>-973722</v>
      </c>
      <c r="O335">
        <v>4883254</v>
      </c>
      <c r="P335">
        <v>51</v>
      </c>
      <c r="Q335" t="s">
        <v>716</v>
      </c>
    </row>
    <row r="336" spans="1:17" x14ac:dyDescent="0.3">
      <c r="A336" t="s">
        <v>17</v>
      </c>
      <c r="B336" t="str">
        <f>"600386"</f>
        <v>600386</v>
      </c>
      <c r="C336" t="s">
        <v>717</v>
      </c>
      <c r="D336" t="s">
        <v>27</v>
      </c>
      <c r="F336">
        <v>220276492</v>
      </c>
      <c r="G336">
        <v>187758487</v>
      </c>
      <c r="H336">
        <v>-14206825</v>
      </c>
      <c r="I336">
        <v>50067048</v>
      </c>
      <c r="J336">
        <v>12570565</v>
      </c>
      <c r="K336">
        <v>-34698525</v>
      </c>
      <c r="L336">
        <v>239752602</v>
      </c>
      <c r="M336">
        <v>157468401</v>
      </c>
      <c r="N336">
        <v>41329632</v>
      </c>
      <c r="O336">
        <v>144546461</v>
      </c>
      <c r="P336">
        <v>96</v>
      </c>
      <c r="Q336" t="s">
        <v>718</v>
      </c>
    </row>
    <row r="337" spans="1:17" x14ac:dyDescent="0.3">
      <c r="A337" t="s">
        <v>17</v>
      </c>
      <c r="B337" t="str">
        <f>"600387"</f>
        <v>600387</v>
      </c>
      <c r="C337" t="s">
        <v>719</v>
      </c>
      <c r="D337" t="s">
        <v>70</v>
      </c>
      <c r="F337">
        <v>-943367983</v>
      </c>
      <c r="G337">
        <v>-149661640</v>
      </c>
      <c r="H337">
        <v>173512970</v>
      </c>
      <c r="I337">
        <v>716667043</v>
      </c>
      <c r="J337">
        <v>-90305168</v>
      </c>
      <c r="K337">
        <v>89206643</v>
      </c>
      <c r="L337">
        <v>-213531807</v>
      </c>
      <c r="M337">
        <v>-1881174480</v>
      </c>
      <c r="N337">
        <v>-2022177377</v>
      </c>
      <c r="O337">
        <v>-335778085</v>
      </c>
      <c r="P337">
        <v>116</v>
      </c>
      <c r="Q337" t="s">
        <v>720</v>
      </c>
    </row>
    <row r="338" spans="1:17" x14ac:dyDescent="0.3">
      <c r="A338" t="s">
        <v>17</v>
      </c>
      <c r="B338" t="str">
        <f>"600388"</f>
        <v>600388</v>
      </c>
      <c r="C338" t="s">
        <v>721</v>
      </c>
      <c r="D338" t="s">
        <v>33</v>
      </c>
      <c r="F338">
        <v>-1555159512</v>
      </c>
      <c r="G338">
        <v>34838454</v>
      </c>
      <c r="H338">
        <v>-739652383</v>
      </c>
      <c r="I338">
        <v>-289780989</v>
      </c>
      <c r="J338">
        <v>-364761790</v>
      </c>
      <c r="K338">
        <v>102604352</v>
      </c>
      <c r="L338">
        <v>69625908</v>
      </c>
      <c r="M338">
        <v>-88347457</v>
      </c>
      <c r="N338">
        <v>-321762795</v>
      </c>
      <c r="O338">
        <v>-10807427</v>
      </c>
      <c r="P338">
        <v>815</v>
      </c>
      <c r="Q338" t="s">
        <v>722</v>
      </c>
    </row>
    <row r="339" spans="1:17" x14ac:dyDescent="0.3">
      <c r="A339" t="s">
        <v>17</v>
      </c>
      <c r="B339" t="str">
        <f>"600389"</f>
        <v>600389</v>
      </c>
      <c r="C339" t="s">
        <v>723</v>
      </c>
      <c r="D339" t="s">
        <v>133</v>
      </c>
      <c r="F339">
        <v>410639145</v>
      </c>
      <c r="G339">
        <v>178695328</v>
      </c>
      <c r="H339">
        <v>-6792182</v>
      </c>
      <c r="I339">
        <v>72378921</v>
      </c>
      <c r="J339">
        <v>-88714710</v>
      </c>
      <c r="K339">
        <v>188314324</v>
      </c>
      <c r="L339">
        <v>-39323433</v>
      </c>
      <c r="M339">
        <v>187868905</v>
      </c>
      <c r="N339">
        <v>393270958</v>
      </c>
      <c r="O339">
        <v>88136816</v>
      </c>
      <c r="P339">
        <v>428</v>
      </c>
      <c r="Q339" t="s">
        <v>724</v>
      </c>
    </row>
    <row r="340" spans="1:17" x14ac:dyDescent="0.3">
      <c r="A340" t="s">
        <v>17</v>
      </c>
      <c r="B340" t="str">
        <f>"600390"</f>
        <v>600390</v>
      </c>
      <c r="C340" t="s">
        <v>725</v>
      </c>
      <c r="D340" t="s">
        <v>75</v>
      </c>
      <c r="F340">
        <v>7386358290</v>
      </c>
      <c r="G340">
        <v>5066595842</v>
      </c>
      <c r="H340">
        <v>1640184318</v>
      </c>
      <c r="I340">
        <v>-1516227041</v>
      </c>
      <c r="J340">
        <v>-8201437130</v>
      </c>
      <c r="K340">
        <v>-131601078</v>
      </c>
      <c r="L340">
        <v>-330387779</v>
      </c>
      <c r="M340">
        <v>-292681278</v>
      </c>
      <c r="N340">
        <v>-156555062</v>
      </c>
      <c r="O340">
        <v>-120655482</v>
      </c>
      <c r="P340">
        <v>300</v>
      </c>
      <c r="Q340" t="s">
        <v>726</v>
      </c>
    </row>
    <row r="341" spans="1:17" x14ac:dyDescent="0.3">
      <c r="A341" t="s">
        <v>17</v>
      </c>
      <c r="B341" t="str">
        <f>"600391"</f>
        <v>600391</v>
      </c>
      <c r="C341" t="s">
        <v>727</v>
      </c>
      <c r="D341" t="s">
        <v>92</v>
      </c>
      <c r="F341">
        <v>-306571639</v>
      </c>
      <c r="G341">
        <v>188739360</v>
      </c>
      <c r="H341">
        <v>18762541</v>
      </c>
      <c r="I341">
        <v>-99864139</v>
      </c>
      <c r="J341">
        <v>14007231</v>
      </c>
      <c r="K341">
        <v>-239874313</v>
      </c>
      <c r="L341">
        <v>-134329466</v>
      </c>
      <c r="M341">
        <v>-118693561</v>
      </c>
      <c r="N341">
        <v>-464028341</v>
      </c>
      <c r="O341">
        <v>-325569578</v>
      </c>
      <c r="P341">
        <v>233</v>
      </c>
      <c r="Q341" t="s">
        <v>728</v>
      </c>
    </row>
    <row r="342" spans="1:17" x14ac:dyDescent="0.3">
      <c r="A342" t="s">
        <v>17</v>
      </c>
      <c r="B342" t="str">
        <f>"600392"</f>
        <v>600392</v>
      </c>
      <c r="C342" t="s">
        <v>729</v>
      </c>
      <c r="D342" t="s">
        <v>234</v>
      </c>
      <c r="F342">
        <v>168644680</v>
      </c>
      <c r="G342">
        <v>-42689615</v>
      </c>
      <c r="H342">
        <v>275413491</v>
      </c>
      <c r="I342">
        <v>49321687</v>
      </c>
      <c r="J342">
        <v>-481234477</v>
      </c>
      <c r="K342">
        <v>-176930920</v>
      </c>
      <c r="L342">
        <v>-229502344</v>
      </c>
      <c r="M342">
        <v>-193692395</v>
      </c>
      <c r="N342">
        <v>-215661213</v>
      </c>
      <c r="O342">
        <v>71335974</v>
      </c>
      <c r="P342">
        <v>439</v>
      </c>
      <c r="Q342" t="s">
        <v>730</v>
      </c>
    </row>
    <row r="343" spans="1:17" x14ac:dyDescent="0.3">
      <c r="A343" t="s">
        <v>17</v>
      </c>
      <c r="B343" t="str">
        <f>"600393"</f>
        <v>600393</v>
      </c>
      <c r="C343" t="s">
        <v>731</v>
      </c>
      <c r="D343" t="s">
        <v>30</v>
      </c>
      <c r="F343">
        <v>-107741518</v>
      </c>
      <c r="G343">
        <v>51236939</v>
      </c>
      <c r="H343">
        <v>2912178984</v>
      </c>
      <c r="I343">
        <v>879623652</v>
      </c>
      <c r="J343">
        <v>-186471013</v>
      </c>
      <c r="K343">
        <v>-901430821</v>
      </c>
      <c r="L343">
        <v>-215656262</v>
      </c>
      <c r="M343">
        <v>11518007</v>
      </c>
      <c r="N343">
        <v>-153446302</v>
      </c>
      <c r="O343">
        <v>-243578214</v>
      </c>
      <c r="P343">
        <v>131</v>
      </c>
      <c r="Q343" t="s">
        <v>732</v>
      </c>
    </row>
    <row r="344" spans="1:17" x14ac:dyDescent="0.3">
      <c r="A344" t="s">
        <v>17</v>
      </c>
      <c r="B344" t="str">
        <f>"600395"</f>
        <v>600395</v>
      </c>
      <c r="C344" t="s">
        <v>733</v>
      </c>
      <c r="D344" t="s">
        <v>257</v>
      </c>
      <c r="F344">
        <v>-32447097</v>
      </c>
      <c r="G344">
        <v>-215634912</v>
      </c>
      <c r="H344">
        <v>748883582</v>
      </c>
      <c r="I344">
        <v>508062200</v>
      </c>
      <c r="J344">
        <v>666122700</v>
      </c>
      <c r="K344">
        <v>-278915400</v>
      </c>
      <c r="L344">
        <v>399845178</v>
      </c>
      <c r="M344">
        <v>702404794</v>
      </c>
      <c r="N344">
        <v>513817642</v>
      </c>
      <c r="O344">
        <v>954249772</v>
      </c>
      <c r="P344">
        <v>517</v>
      </c>
      <c r="Q344" t="s">
        <v>734</v>
      </c>
    </row>
    <row r="345" spans="1:17" x14ac:dyDescent="0.3">
      <c r="A345" t="s">
        <v>17</v>
      </c>
      <c r="B345" t="str">
        <f>"600396"</f>
        <v>600396</v>
      </c>
      <c r="C345" t="s">
        <v>735</v>
      </c>
      <c r="D345" t="s">
        <v>41</v>
      </c>
      <c r="F345">
        <v>-61795370</v>
      </c>
      <c r="G345">
        <v>-201687352</v>
      </c>
      <c r="H345">
        <v>775836581</v>
      </c>
      <c r="I345">
        <v>15414681</v>
      </c>
      <c r="J345">
        <v>-151923596</v>
      </c>
      <c r="K345">
        <v>741575194</v>
      </c>
      <c r="L345">
        <v>623801894</v>
      </c>
      <c r="M345">
        <v>742110730</v>
      </c>
      <c r="N345">
        <v>595188727</v>
      </c>
      <c r="O345">
        <v>-23194328</v>
      </c>
      <c r="P345">
        <v>107</v>
      </c>
      <c r="Q345" t="s">
        <v>736</v>
      </c>
    </row>
    <row r="346" spans="1:17" x14ac:dyDescent="0.3">
      <c r="A346" t="s">
        <v>17</v>
      </c>
      <c r="B346" t="str">
        <f>"600397"</f>
        <v>600397</v>
      </c>
      <c r="C346" t="s">
        <v>737</v>
      </c>
      <c r="D346" t="s">
        <v>257</v>
      </c>
      <c r="F346">
        <v>-66514184</v>
      </c>
      <c r="G346">
        <v>-96769980</v>
      </c>
      <c r="H346">
        <v>-31751426</v>
      </c>
      <c r="I346">
        <v>-312843276</v>
      </c>
      <c r="J346">
        <v>-301231366</v>
      </c>
      <c r="K346">
        <v>-530338842</v>
      </c>
      <c r="L346">
        <v>-180746692</v>
      </c>
      <c r="M346">
        <v>221688648</v>
      </c>
      <c r="N346">
        <v>-279657787</v>
      </c>
      <c r="O346">
        <v>148647215</v>
      </c>
      <c r="P346">
        <v>91</v>
      </c>
      <c r="Q346" t="s">
        <v>738</v>
      </c>
    </row>
    <row r="347" spans="1:17" x14ac:dyDescent="0.3">
      <c r="A347" t="s">
        <v>17</v>
      </c>
      <c r="B347" t="str">
        <f>"600398"</f>
        <v>600398</v>
      </c>
      <c r="C347" t="s">
        <v>739</v>
      </c>
      <c r="D347" t="s">
        <v>227</v>
      </c>
      <c r="F347">
        <v>1880646740</v>
      </c>
      <c r="G347">
        <v>-300888390</v>
      </c>
      <c r="H347">
        <v>-199235902</v>
      </c>
      <c r="I347">
        <v>-262340574</v>
      </c>
      <c r="J347">
        <v>-461760498</v>
      </c>
      <c r="K347">
        <v>158411637</v>
      </c>
      <c r="L347">
        <v>585308399</v>
      </c>
      <c r="M347">
        <v>-420803114</v>
      </c>
      <c r="N347">
        <v>25145245</v>
      </c>
      <c r="O347">
        <v>46609273</v>
      </c>
      <c r="P347">
        <v>2673</v>
      </c>
      <c r="Q347" t="s">
        <v>740</v>
      </c>
    </row>
    <row r="348" spans="1:17" x14ac:dyDescent="0.3">
      <c r="A348" t="s">
        <v>17</v>
      </c>
      <c r="B348" t="str">
        <f>"600399"</f>
        <v>600399</v>
      </c>
      <c r="C348" t="s">
        <v>741</v>
      </c>
      <c r="D348" t="s">
        <v>38</v>
      </c>
      <c r="F348">
        <v>-124299629</v>
      </c>
      <c r="G348">
        <v>-42571505</v>
      </c>
      <c r="H348">
        <v>612476602</v>
      </c>
      <c r="I348">
        <v>25263860</v>
      </c>
      <c r="J348">
        <v>-75834537</v>
      </c>
      <c r="K348">
        <v>-115006895</v>
      </c>
      <c r="L348">
        <v>26851799</v>
      </c>
      <c r="M348">
        <v>-308389715</v>
      </c>
      <c r="N348">
        <v>-336452719</v>
      </c>
      <c r="O348">
        <v>6381137</v>
      </c>
      <c r="P348">
        <v>255</v>
      </c>
      <c r="Q348" t="s">
        <v>742</v>
      </c>
    </row>
    <row r="349" spans="1:17" x14ac:dyDescent="0.3">
      <c r="A349" t="s">
        <v>17</v>
      </c>
      <c r="B349" t="str">
        <f>"600400"</f>
        <v>600400</v>
      </c>
      <c r="C349" t="s">
        <v>743</v>
      </c>
      <c r="D349" t="s">
        <v>227</v>
      </c>
      <c r="F349">
        <v>-311573307</v>
      </c>
      <c r="G349">
        <v>14827688</v>
      </c>
      <c r="H349">
        <v>-244966015</v>
      </c>
      <c r="I349">
        <v>-347123481</v>
      </c>
      <c r="J349">
        <v>-1798514574</v>
      </c>
      <c r="K349">
        <v>337963500</v>
      </c>
      <c r="L349">
        <v>360319365</v>
      </c>
      <c r="M349">
        <v>-58296022</v>
      </c>
      <c r="N349">
        <v>507306778</v>
      </c>
      <c r="O349">
        <v>-74520049</v>
      </c>
      <c r="P349">
        <v>165</v>
      </c>
      <c r="Q349" t="s">
        <v>744</v>
      </c>
    </row>
    <row r="350" spans="1:17" x14ac:dyDescent="0.3">
      <c r="A350" t="s">
        <v>17</v>
      </c>
      <c r="B350" t="str">
        <f>"600401"</f>
        <v>600401</v>
      </c>
      <c r="C350" t="s">
        <v>745</v>
      </c>
      <c r="H350">
        <v>34804516</v>
      </c>
      <c r="I350">
        <v>228573489</v>
      </c>
      <c r="J350">
        <v>-121386510</v>
      </c>
      <c r="K350">
        <v>-1272180932.3399999</v>
      </c>
      <c r="L350">
        <v>-127143847.41</v>
      </c>
      <c r="M350">
        <v>-849882931.94000006</v>
      </c>
      <c r="N350">
        <v>576908127.26999998</v>
      </c>
      <c r="O350">
        <v>-1132046755.9400001</v>
      </c>
      <c r="P350">
        <v>22</v>
      </c>
      <c r="Q350" t="s">
        <v>746</v>
      </c>
    </row>
    <row r="351" spans="1:17" x14ac:dyDescent="0.3">
      <c r="A351" t="s">
        <v>17</v>
      </c>
      <c r="B351" t="str">
        <f>"600403"</f>
        <v>600403</v>
      </c>
      <c r="C351" t="s">
        <v>747</v>
      </c>
      <c r="D351" t="s">
        <v>257</v>
      </c>
      <c r="F351">
        <v>4278600604</v>
      </c>
      <c r="G351">
        <v>1822675619</v>
      </c>
      <c r="H351">
        <v>249574109</v>
      </c>
      <c r="I351">
        <v>1069628297</v>
      </c>
      <c r="J351">
        <v>484858094</v>
      </c>
      <c r="K351">
        <v>-310939616</v>
      </c>
      <c r="L351">
        <v>-1128501925</v>
      </c>
      <c r="M351">
        <v>-494819138</v>
      </c>
      <c r="N351">
        <v>36490595</v>
      </c>
      <c r="O351">
        <v>-403779329</v>
      </c>
      <c r="P351">
        <v>221</v>
      </c>
      <c r="Q351" t="s">
        <v>748</v>
      </c>
    </row>
    <row r="352" spans="1:17" x14ac:dyDescent="0.3">
      <c r="A352" t="s">
        <v>17</v>
      </c>
      <c r="B352" t="str">
        <f>"600405"</f>
        <v>600405</v>
      </c>
      <c r="C352" t="s">
        <v>749</v>
      </c>
      <c r="D352" t="s">
        <v>188</v>
      </c>
      <c r="F352">
        <v>-91939113</v>
      </c>
      <c r="G352">
        <v>123981844</v>
      </c>
      <c r="H352">
        <v>6197524</v>
      </c>
      <c r="I352">
        <v>-229245859</v>
      </c>
      <c r="J352">
        <v>-219783654</v>
      </c>
      <c r="K352">
        <v>-65788767</v>
      </c>
      <c r="L352">
        <v>-85428796</v>
      </c>
      <c r="M352">
        <v>-88471910</v>
      </c>
      <c r="N352">
        <v>-154486532</v>
      </c>
      <c r="O352">
        <v>-47494071</v>
      </c>
      <c r="P352">
        <v>255</v>
      </c>
      <c r="Q352" t="s">
        <v>750</v>
      </c>
    </row>
    <row r="353" spans="1:17" x14ac:dyDescent="0.3">
      <c r="A353" t="s">
        <v>17</v>
      </c>
      <c r="B353" t="str">
        <f>"600406"</f>
        <v>600406</v>
      </c>
      <c r="C353" t="s">
        <v>751</v>
      </c>
      <c r="D353" t="s">
        <v>188</v>
      </c>
      <c r="F353">
        <v>-3090138983</v>
      </c>
      <c r="G353">
        <v>-2712466930</v>
      </c>
      <c r="H353">
        <v>-2319087261</v>
      </c>
      <c r="I353">
        <v>-2321394042</v>
      </c>
      <c r="J353">
        <v>-401950947</v>
      </c>
      <c r="K353">
        <v>-757469639</v>
      </c>
      <c r="L353">
        <v>-305726177</v>
      </c>
      <c r="M353">
        <v>-367184038</v>
      </c>
      <c r="N353">
        <v>-319262792</v>
      </c>
      <c r="O353">
        <v>-218656493</v>
      </c>
      <c r="P353">
        <v>2125</v>
      </c>
      <c r="Q353" t="s">
        <v>752</v>
      </c>
    </row>
    <row r="354" spans="1:17" x14ac:dyDescent="0.3">
      <c r="A354" t="s">
        <v>17</v>
      </c>
      <c r="B354" t="str">
        <f>"600408"</f>
        <v>600408</v>
      </c>
      <c r="C354" t="s">
        <v>753</v>
      </c>
      <c r="D354" t="s">
        <v>257</v>
      </c>
      <c r="F354">
        <v>184113868</v>
      </c>
      <c r="G354">
        <v>523043495</v>
      </c>
      <c r="H354">
        <v>92910140</v>
      </c>
      <c r="I354">
        <v>282679839</v>
      </c>
      <c r="J354">
        <v>525568675</v>
      </c>
      <c r="K354">
        <v>-123045520</v>
      </c>
      <c r="L354">
        <v>-175722369</v>
      </c>
      <c r="M354">
        <v>-209022129</v>
      </c>
      <c r="N354">
        <v>337005716</v>
      </c>
      <c r="O354">
        <v>-178131789</v>
      </c>
      <c r="P354">
        <v>93</v>
      </c>
      <c r="Q354" t="s">
        <v>754</v>
      </c>
    </row>
    <row r="355" spans="1:17" x14ac:dyDescent="0.3">
      <c r="A355" t="s">
        <v>17</v>
      </c>
      <c r="B355" t="str">
        <f>"600409"</f>
        <v>600409</v>
      </c>
      <c r="C355" t="s">
        <v>755</v>
      </c>
      <c r="D355" t="s">
        <v>133</v>
      </c>
      <c r="F355">
        <v>970833411</v>
      </c>
      <c r="G355">
        <v>1389784224</v>
      </c>
      <c r="H355">
        <v>72542732</v>
      </c>
      <c r="I355">
        <v>938167288</v>
      </c>
      <c r="J355">
        <v>364709699</v>
      </c>
      <c r="K355">
        <v>788520327</v>
      </c>
      <c r="L355">
        <v>611253354</v>
      </c>
      <c r="M355">
        <v>143676954</v>
      </c>
      <c r="N355">
        <v>-1461063275</v>
      </c>
      <c r="O355">
        <v>-2472232724</v>
      </c>
      <c r="P355">
        <v>734</v>
      </c>
      <c r="Q355" t="s">
        <v>756</v>
      </c>
    </row>
    <row r="356" spans="1:17" x14ac:dyDescent="0.3">
      <c r="A356" t="s">
        <v>17</v>
      </c>
      <c r="B356" t="str">
        <f>"600410"</f>
        <v>600410</v>
      </c>
      <c r="C356" t="s">
        <v>757</v>
      </c>
      <c r="D356" t="s">
        <v>212</v>
      </c>
      <c r="F356">
        <v>-230978155</v>
      </c>
      <c r="G356">
        <v>-47002146</v>
      </c>
      <c r="H356">
        <v>-208985231</v>
      </c>
      <c r="I356">
        <v>202718800</v>
      </c>
      <c r="J356">
        <v>-437709109</v>
      </c>
      <c r="K356">
        <v>-533512637</v>
      </c>
      <c r="L356">
        <v>-249087168</v>
      </c>
      <c r="M356">
        <v>-463360782</v>
      </c>
      <c r="N356">
        <v>-588255053</v>
      </c>
      <c r="O356">
        <v>-252513021</v>
      </c>
      <c r="P356">
        <v>514</v>
      </c>
      <c r="Q356" t="s">
        <v>758</v>
      </c>
    </row>
    <row r="357" spans="1:17" x14ac:dyDescent="0.3">
      <c r="A357" t="s">
        <v>17</v>
      </c>
      <c r="B357" t="str">
        <f>"600415"</f>
        <v>600415</v>
      </c>
      <c r="C357" t="s">
        <v>759</v>
      </c>
      <c r="D357" t="s">
        <v>120</v>
      </c>
      <c r="F357">
        <v>-405841163</v>
      </c>
      <c r="G357">
        <v>-4457915692</v>
      </c>
      <c r="H357">
        <v>-1728095294</v>
      </c>
      <c r="I357">
        <v>-815586729</v>
      </c>
      <c r="J357">
        <v>88977574</v>
      </c>
      <c r="K357">
        <v>-859052273</v>
      </c>
      <c r="L357">
        <v>2296083446</v>
      </c>
      <c r="M357">
        <v>-1139319294</v>
      </c>
      <c r="N357">
        <v>-414150811</v>
      </c>
      <c r="O357">
        <v>-810796407</v>
      </c>
      <c r="P357">
        <v>327</v>
      </c>
      <c r="Q357" t="s">
        <v>760</v>
      </c>
    </row>
    <row r="358" spans="1:17" x14ac:dyDescent="0.3">
      <c r="A358" t="s">
        <v>17</v>
      </c>
      <c r="B358" t="str">
        <f>"600416"</f>
        <v>600416</v>
      </c>
      <c r="C358" t="s">
        <v>761</v>
      </c>
      <c r="D358" t="s">
        <v>188</v>
      </c>
      <c r="F358">
        <v>44169959</v>
      </c>
      <c r="G358">
        <v>71545877</v>
      </c>
      <c r="H358">
        <v>-334447408</v>
      </c>
      <c r="I358">
        <v>-429641716</v>
      </c>
      <c r="J358">
        <v>-980376688</v>
      </c>
      <c r="K358">
        <v>-997122171</v>
      </c>
      <c r="L358">
        <v>-436227152</v>
      </c>
      <c r="M358">
        <v>-339791740</v>
      </c>
      <c r="N358">
        <v>-431940033</v>
      </c>
      <c r="O358">
        <v>-1776099004</v>
      </c>
      <c r="P358">
        <v>149</v>
      </c>
      <c r="Q358" t="s">
        <v>762</v>
      </c>
    </row>
    <row r="359" spans="1:17" x14ac:dyDescent="0.3">
      <c r="A359" t="s">
        <v>17</v>
      </c>
      <c r="B359" t="str">
        <f>"600418"</f>
        <v>600418</v>
      </c>
      <c r="C359" t="s">
        <v>763</v>
      </c>
      <c r="D359" t="s">
        <v>27</v>
      </c>
      <c r="F359">
        <v>1551618740</v>
      </c>
      <c r="G359">
        <v>-1291725276</v>
      </c>
      <c r="H359">
        <v>-2486875751</v>
      </c>
      <c r="I359">
        <v>-4491378197</v>
      </c>
      <c r="J359">
        <v>-5649645424</v>
      </c>
      <c r="K359">
        <v>-770555792</v>
      </c>
      <c r="L359">
        <v>2942542170</v>
      </c>
      <c r="M359">
        <v>-978018037</v>
      </c>
      <c r="N359">
        <v>2617945556</v>
      </c>
      <c r="O359">
        <v>2406625022</v>
      </c>
      <c r="P359">
        <v>429</v>
      </c>
      <c r="Q359" t="s">
        <v>764</v>
      </c>
    </row>
    <row r="360" spans="1:17" x14ac:dyDescent="0.3">
      <c r="A360" t="s">
        <v>17</v>
      </c>
      <c r="B360" t="str">
        <f>"600419"</f>
        <v>600419</v>
      </c>
      <c r="C360" t="s">
        <v>765</v>
      </c>
      <c r="D360" t="s">
        <v>123</v>
      </c>
      <c r="F360">
        <v>30683385</v>
      </c>
      <c r="G360">
        <v>-99251395</v>
      </c>
      <c r="H360">
        <v>-90167493</v>
      </c>
      <c r="I360">
        <v>38438652</v>
      </c>
      <c r="J360">
        <v>75490034</v>
      </c>
      <c r="K360">
        <v>10316328</v>
      </c>
      <c r="L360">
        <v>45814808</v>
      </c>
      <c r="M360">
        <v>8530637</v>
      </c>
      <c r="N360">
        <v>-11698943</v>
      </c>
      <c r="O360">
        <v>4828578</v>
      </c>
      <c r="P360">
        <v>626</v>
      </c>
      <c r="Q360" t="s">
        <v>766</v>
      </c>
    </row>
    <row r="361" spans="1:17" x14ac:dyDescent="0.3">
      <c r="A361" t="s">
        <v>17</v>
      </c>
      <c r="B361" t="str">
        <f>"600420"</f>
        <v>600420</v>
      </c>
      <c r="C361" t="s">
        <v>767</v>
      </c>
      <c r="D361" t="s">
        <v>113</v>
      </c>
      <c r="F361">
        <v>960348871</v>
      </c>
      <c r="G361">
        <v>1016832817</v>
      </c>
      <c r="H361">
        <v>782928105</v>
      </c>
      <c r="I361">
        <v>558538772</v>
      </c>
      <c r="J361">
        <v>490950151</v>
      </c>
      <c r="K361">
        <v>104166521</v>
      </c>
      <c r="L361">
        <v>19899974</v>
      </c>
      <c r="M361">
        <v>-196026242</v>
      </c>
      <c r="N361">
        <v>-345926995</v>
      </c>
      <c r="O361">
        <v>-106756462</v>
      </c>
      <c r="P361">
        <v>381</v>
      </c>
      <c r="Q361" t="s">
        <v>768</v>
      </c>
    </row>
    <row r="362" spans="1:17" x14ac:dyDescent="0.3">
      <c r="A362" t="s">
        <v>17</v>
      </c>
      <c r="B362" t="str">
        <f>"600421"</f>
        <v>600421</v>
      </c>
      <c r="C362" t="s">
        <v>769</v>
      </c>
      <c r="D362" t="s">
        <v>78</v>
      </c>
      <c r="F362">
        <v>-18035213</v>
      </c>
      <c r="G362">
        <v>-27636585</v>
      </c>
      <c r="H362">
        <v>-7675443</v>
      </c>
      <c r="I362">
        <v>-1915169</v>
      </c>
      <c r="J362">
        <v>1843891</v>
      </c>
      <c r="K362">
        <v>-1231684</v>
      </c>
      <c r="L362">
        <v>-11255230</v>
      </c>
      <c r="M362">
        <v>2313875</v>
      </c>
      <c r="N362">
        <v>-128822622</v>
      </c>
      <c r="O362">
        <v>4759491</v>
      </c>
      <c r="P362">
        <v>44</v>
      </c>
      <c r="Q362" t="s">
        <v>770</v>
      </c>
    </row>
    <row r="363" spans="1:17" x14ac:dyDescent="0.3">
      <c r="A363" t="s">
        <v>17</v>
      </c>
      <c r="B363" t="str">
        <f>"600422"</f>
        <v>600422</v>
      </c>
      <c r="C363" t="s">
        <v>771</v>
      </c>
      <c r="D363" t="s">
        <v>113</v>
      </c>
      <c r="F363">
        <v>-346244241</v>
      </c>
      <c r="G363">
        <v>79156499</v>
      </c>
      <c r="H363">
        <v>-10991221</v>
      </c>
      <c r="I363">
        <v>-21688706</v>
      </c>
      <c r="J363">
        <v>-363722319</v>
      </c>
      <c r="K363">
        <v>39038519</v>
      </c>
      <c r="L363">
        <v>171374555</v>
      </c>
      <c r="M363">
        <v>70425607</v>
      </c>
      <c r="N363">
        <v>-39544196</v>
      </c>
      <c r="O363">
        <v>86830031</v>
      </c>
      <c r="P363">
        <v>452</v>
      </c>
      <c r="Q363" t="s">
        <v>772</v>
      </c>
    </row>
    <row r="364" spans="1:17" x14ac:dyDescent="0.3">
      <c r="A364" t="s">
        <v>17</v>
      </c>
      <c r="B364" t="str">
        <f>"600423"</f>
        <v>600423</v>
      </c>
      <c r="C364" t="s">
        <v>773</v>
      </c>
      <c r="D364" t="s">
        <v>133</v>
      </c>
      <c r="F364">
        <v>6596184</v>
      </c>
      <c r="G364">
        <v>-140969430</v>
      </c>
      <c r="H364">
        <v>-258109699</v>
      </c>
      <c r="I364">
        <v>123355068</v>
      </c>
      <c r="J364">
        <v>179517246</v>
      </c>
      <c r="K364">
        <v>154452946</v>
      </c>
      <c r="L364">
        <v>-171768947</v>
      </c>
      <c r="M364">
        <v>394402081</v>
      </c>
      <c r="N364">
        <v>115003612</v>
      </c>
      <c r="O364">
        <v>103041887</v>
      </c>
      <c r="P364">
        <v>74</v>
      </c>
      <c r="Q364" t="s">
        <v>774</v>
      </c>
    </row>
    <row r="365" spans="1:17" x14ac:dyDescent="0.3">
      <c r="A365" t="s">
        <v>17</v>
      </c>
      <c r="B365" t="str">
        <f>"600425"</f>
        <v>600425</v>
      </c>
      <c r="C365" t="s">
        <v>775</v>
      </c>
      <c r="D365" t="s">
        <v>350</v>
      </c>
      <c r="F365">
        <v>496345659</v>
      </c>
      <c r="G365">
        <v>361381541</v>
      </c>
      <c r="H365">
        <v>480637901</v>
      </c>
      <c r="I365">
        <v>713087429</v>
      </c>
      <c r="J365">
        <v>251047995</v>
      </c>
      <c r="K365">
        <v>308167332</v>
      </c>
      <c r="L365">
        <v>-306764204</v>
      </c>
      <c r="M365">
        <v>-398639369</v>
      </c>
      <c r="N365">
        <v>-495166870</v>
      </c>
      <c r="O365">
        <v>-1377433147</v>
      </c>
      <c r="P365">
        <v>167</v>
      </c>
      <c r="Q365" t="s">
        <v>776</v>
      </c>
    </row>
    <row r="366" spans="1:17" x14ac:dyDescent="0.3">
      <c r="A366" t="s">
        <v>17</v>
      </c>
      <c r="B366" t="str">
        <f>"600426"</f>
        <v>600426</v>
      </c>
      <c r="C366" t="s">
        <v>777</v>
      </c>
      <c r="D366" t="s">
        <v>133</v>
      </c>
      <c r="F366">
        <v>908445016</v>
      </c>
      <c r="G366">
        <v>440073547</v>
      </c>
      <c r="H366">
        <v>1983503467</v>
      </c>
      <c r="I366">
        <v>2135492006</v>
      </c>
      <c r="J366">
        <v>-607559029</v>
      </c>
      <c r="K366">
        <v>-23383021</v>
      </c>
      <c r="L366">
        <v>1597150047</v>
      </c>
      <c r="M366">
        <v>450161934</v>
      </c>
      <c r="N366">
        <v>304740835</v>
      </c>
      <c r="O366">
        <v>-803659153</v>
      </c>
      <c r="P366">
        <v>1014</v>
      </c>
      <c r="Q366" t="s">
        <v>778</v>
      </c>
    </row>
    <row r="367" spans="1:17" x14ac:dyDescent="0.3">
      <c r="A367" t="s">
        <v>17</v>
      </c>
      <c r="B367" t="str">
        <f>"600428"</f>
        <v>600428</v>
      </c>
      <c r="C367" t="s">
        <v>779</v>
      </c>
      <c r="D367" t="s">
        <v>22</v>
      </c>
      <c r="F367">
        <v>386637066</v>
      </c>
      <c r="G367">
        <v>522240630</v>
      </c>
      <c r="H367">
        <v>-145002810</v>
      </c>
      <c r="I367">
        <v>-603410602</v>
      </c>
      <c r="J367">
        <v>-146591057</v>
      </c>
      <c r="K367">
        <v>-990224452</v>
      </c>
      <c r="L367">
        <v>224633731</v>
      </c>
      <c r="M367">
        <v>333660966</v>
      </c>
      <c r="N367">
        <v>-807650482</v>
      </c>
      <c r="O367">
        <v>-697469777</v>
      </c>
      <c r="P367">
        <v>199</v>
      </c>
      <c r="Q367" t="s">
        <v>780</v>
      </c>
    </row>
    <row r="368" spans="1:17" x14ac:dyDescent="0.3">
      <c r="A368" t="s">
        <v>17</v>
      </c>
      <c r="B368" t="str">
        <f>"600429"</f>
        <v>600429</v>
      </c>
      <c r="C368" t="s">
        <v>781</v>
      </c>
      <c r="D368" t="s">
        <v>123</v>
      </c>
      <c r="F368">
        <v>25029672</v>
      </c>
      <c r="G368">
        <v>168627766</v>
      </c>
      <c r="H368">
        <v>84151821</v>
      </c>
      <c r="I368">
        <v>-211352260</v>
      </c>
      <c r="J368">
        <v>-460314762</v>
      </c>
      <c r="K368">
        <v>-93871483</v>
      </c>
      <c r="L368">
        <v>34281366</v>
      </c>
      <c r="M368">
        <v>-290159276</v>
      </c>
      <c r="N368">
        <v>-57250638</v>
      </c>
      <c r="O368">
        <v>-113413428</v>
      </c>
      <c r="P368">
        <v>494</v>
      </c>
      <c r="Q368" t="s">
        <v>782</v>
      </c>
    </row>
    <row r="369" spans="1:17" x14ac:dyDescent="0.3">
      <c r="A369" t="s">
        <v>17</v>
      </c>
      <c r="B369" t="str">
        <f>"600432"</f>
        <v>600432</v>
      </c>
      <c r="C369" t="s">
        <v>783</v>
      </c>
      <c r="J369">
        <v>-154450246</v>
      </c>
      <c r="K369">
        <v>-69616247.019999996</v>
      </c>
      <c r="L369">
        <v>227423549.13</v>
      </c>
      <c r="M369">
        <v>-369769578.49000001</v>
      </c>
      <c r="N369">
        <v>-1519746073.49</v>
      </c>
      <c r="O369">
        <v>-2431103687.0700002</v>
      </c>
      <c r="P369">
        <v>14</v>
      </c>
      <c r="Q369" t="s">
        <v>784</v>
      </c>
    </row>
    <row r="370" spans="1:17" x14ac:dyDescent="0.3">
      <c r="A370" t="s">
        <v>17</v>
      </c>
      <c r="B370" t="str">
        <f>"600433"</f>
        <v>600433</v>
      </c>
      <c r="C370" t="s">
        <v>785</v>
      </c>
      <c r="D370" t="s">
        <v>161</v>
      </c>
      <c r="F370">
        <v>833804534</v>
      </c>
      <c r="G370">
        <v>68310965</v>
      </c>
      <c r="H370">
        <v>101557463</v>
      </c>
      <c r="I370">
        <v>24552273</v>
      </c>
      <c r="J370">
        <v>33369695</v>
      </c>
      <c r="K370">
        <v>-112312501</v>
      </c>
      <c r="L370">
        <v>-155160828</v>
      </c>
      <c r="M370">
        <v>-168189923</v>
      </c>
      <c r="N370">
        <v>-459806661</v>
      </c>
      <c r="O370">
        <v>-296248074</v>
      </c>
      <c r="P370">
        <v>105</v>
      </c>
      <c r="Q370" t="s">
        <v>786</v>
      </c>
    </row>
    <row r="371" spans="1:17" x14ac:dyDescent="0.3">
      <c r="A371" t="s">
        <v>17</v>
      </c>
      <c r="B371" t="str">
        <f>"600435"</f>
        <v>600435</v>
      </c>
      <c r="C371" t="s">
        <v>787</v>
      </c>
      <c r="D371" t="s">
        <v>92</v>
      </c>
      <c r="F371">
        <v>327646146</v>
      </c>
      <c r="G371">
        <v>-409200437</v>
      </c>
      <c r="H371">
        <v>-611570252</v>
      </c>
      <c r="I371">
        <v>-62465609</v>
      </c>
      <c r="J371">
        <v>-83304039</v>
      </c>
      <c r="K371">
        <v>-552118555</v>
      </c>
      <c r="L371">
        <v>-351663069</v>
      </c>
      <c r="M371">
        <v>-154989345</v>
      </c>
      <c r="N371">
        <v>-70071048</v>
      </c>
      <c r="O371">
        <v>-69848544</v>
      </c>
      <c r="P371">
        <v>232</v>
      </c>
      <c r="Q371" t="s">
        <v>788</v>
      </c>
    </row>
    <row r="372" spans="1:17" x14ac:dyDescent="0.3">
      <c r="A372" t="s">
        <v>17</v>
      </c>
      <c r="B372" t="str">
        <f>"600436"</f>
        <v>600436</v>
      </c>
      <c r="C372" t="s">
        <v>789</v>
      </c>
      <c r="D372" t="s">
        <v>113</v>
      </c>
      <c r="F372">
        <v>586930820</v>
      </c>
      <c r="G372">
        <v>1395396278</v>
      </c>
      <c r="H372">
        <v>1095654489</v>
      </c>
      <c r="I372">
        <v>258078492</v>
      </c>
      <c r="J372">
        <v>686327657</v>
      </c>
      <c r="K372">
        <v>291414332</v>
      </c>
      <c r="L372">
        <v>147277884</v>
      </c>
      <c r="M372">
        <v>116003929</v>
      </c>
      <c r="N372">
        <v>90743100</v>
      </c>
      <c r="O372">
        <v>69220000</v>
      </c>
      <c r="P372">
        <v>64367</v>
      </c>
      <c r="Q372" t="s">
        <v>790</v>
      </c>
    </row>
    <row r="373" spans="1:17" x14ac:dyDescent="0.3">
      <c r="A373" t="s">
        <v>17</v>
      </c>
      <c r="B373" t="str">
        <f>"600438"</f>
        <v>600438</v>
      </c>
      <c r="C373" t="s">
        <v>791</v>
      </c>
      <c r="D373" t="s">
        <v>188</v>
      </c>
      <c r="F373">
        <v>-3561910886</v>
      </c>
      <c r="G373">
        <v>-1735746340</v>
      </c>
      <c r="H373">
        <v>-604448193</v>
      </c>
      <c r="I373">
        <v>-3411180766</v>
      </c>
      <c r="J373">
        <v>-1308497938</v>
      </c>
      <c r="K373">
        <v>-751408222</v>
      </c>
      <c r="L373">
        <v>318138821</v>
      </c>
      <c r="M373">
        <v>-28289427</v>
      </c>
      <c r="N373">
        <v>558660250</v>
      </c>
      <c r="O373">
        <v>-55184717</v>
      </c>
      <c r="P373">
        <v>2551</v>
      </c>
      <c r="Q373" t="s">
        <v>792</v>
      </c>
    </row>
    <row r="374" spans="1:17" x14ac:dyDescent="0.3">
      <c r="A374" t="s">
        <v>17</v>
      </c>
      <c r="B374" t="str">
        <f>"600439"</f>
        <v>600439</v>
      </c>
      <c r="C374" t="s">
        <v>793</v>
      </c>
      <c r="D374" t="s">
        <v>227</v>
      </c>
      <c r="F374">
        <v>-1050031</v>
      </c>
      <c r="G374">
        <v>27036122</v>
      </c>
      <c r="H374">
        <v>77372745</v>
      </c>
      <c r="I374">
        <v>-28202476</v>
      </c>
      <c r="J374">
        <v>153127121</v>
      </c>
      <c r="K374">
        <v>312036645</v>
      </c>
      <c r="L374">
        <v>-58523093</v>
      </c>
      <c r="M374">
        <v>-139536262</v>
      </c>
      <c r="N374">
        <v>-54031734</v>
      </c>
      <c r="O374">
        <v>-286999847</v>
      </c>
      <c r="P374">
        <v>186</v>
      </c>
      <c r="Q374" t="s">
        <v>794</v>
      </c>
    </row>
    <row r="375" spans="1:17" x14ac:dyDescent="0.3">
      <c r="A375" t="s">
        <v>17</v>
      </c>
      <c r="B375" t="str">
        <f>"600444"</f>
        <v>600444</v>
      </c>
      <c r="C375" t="s">
        <v>795</v>
      </c>
      <c r="D375" t="s">
        <v>78</v>
      </c>
      <c r="F375">
        <v>-131561801</v>
      </c>
      <c r="G375">
        <v>38226129</v>
      </c>
      <c r="H375">
        <v>14578241</v>
      </c>
      <c r="I375">
        <v>-16388002</v>
      </c>
      <c r="J375">
        <v>27846792</v>
      </c>
      <c r="K375">
        <v>-25791588</v>
      </c>
      <c r="L375">
        <v>27143439</v>
      </c>
      <c r="M375">
        <v>-11462022</v>
      </c>
      <c r="N375">
        <v>-44799971</v>
      </c>
      <c r="O375">
        <v>-13837932</v>
      </c>
      <c r="P375">
        <v>69</v>
      </c>
      <c r="Q375" t="s">
        <v>796</v>
      </c>
    </row>
    <row r="376" spans="1:17" x14ac:dyDescent="0.3">
      <c r="A376" t="s">
        <v>17</v>
      </c>
      <c r="B376" t="str">
        <f>"600446"</f>
        <v>600446</v>
      </c>
      <c r="C376" t="s">
        <v>797</v>
      </c>
      <c r="D376" t="s">
        <v>212</v>
      </c>
      <c r="F376">
        <v>-649663243</v>
      </c>
      <c r="G376">
        <v>-345606753</v>
      </c>
      <c r="H376">
        <v>-271518872</v>
      </c>
      <c r="I376">
        <v>-78378663</v>
      </c>
      <c r="J376">
        <v>-285380105</v>
      </c>
      <c r="K376">
        <v>-390581901</v>
      </c>
      <c r="L376">
        <v>-212184360</v>
      </c>
      <c r="M376">
        <v>-161255623</v>
      </c>
      <c r="N376">
        <v>-88204632</v>
      </c>
      <c r="O376">
        <v>-141840484</v>
      </c>
      <c r="P376">
        <v>335</v>
      </c>
      <c r="Q376" t="s">
        <v>798</v>
      </c>
    </row>
    <row r="377" spans="1:17" x14ac:dyDescent="0.3">
      <c r="A377" t="s">
        <v>17</v>
      </c>
      <c r="B377" t="str">
        <f>"600448"</f>
        <v>600448</v>
      </c>
      <c r="C377" t="s">
        <v>799</v>
      </c>
      <c r="D377" t="s">
        <v>227</v>
      </c>
      <c r="F377">
        <v>-417082544</v>
      </c>
      <c r="G377">
        <v>-107465229</v>
      </c>
      <c r="H377">
        <v>177008395</v>
      </c>
      <c r="I377">
        <v>-42563252</v>
      </c>
      <c r="J377">
        <v>-9495718</v>
      </c>
      <c r="K377">
        <v>-32641596</v>
      </c>
      <c r="L377">
        <v>-142517672</v>
      </c>
      <c r="M377">
        <v>-101131449</v>
      </c>
      <c r="N377">
        <v>37108483</v>
      </c>
      <c r="O377">
        <v>46280655</v>
      </c>
      <c r="P377">
        <v>97</v>
      </c>
      <c r="Q377" t="s">
        <v>800</v>
      </c>
    </row>
    <row r="378" spans="1:17" x14ac:dyDescent="0.3">
      <c r="A378" t="s">
        <v>17</v>
      </c>
      <c r="B378" t="str">
        <f>"600449"</f>
        <v>600449</v>
      </c>
      <c r="C378" t="s">
        <v>801</v>
      </c>
      <c r="D378" t="s">
        <v>350</v>
      </c>
      <c r="F378">
        <v>847022415</v>
      </c>
      <c r="G378">
        <v>810520721</v>
      </c>
      <c r="H378">
        <v>602309204</v>
      </c>
      <c r="I378">
        <v>197802785</v>
      </c>
      <c r="J378">
        <v>814169783</v>
      </c>
      <c r="K378">
        <v>335731584</v>
      </c>
      <c r="L378">
        <v>151929717</v>
      </c>
      <c r="M378">
        <v>315728664</v>
      </c>
      <c r="N378">
        <v>303585697</v>
      </c>
      <c r="O378">
        <v>-113394156</v>
      </c>
      <c r="P378">
        <v>558</v>
      </c>
      <c r="Q378" t="s">
        <v>802</v>
      </c>
    </row>
    <row r="379" spans="1:17" x14ac:dyDescent="0.3">
      <c r="A379" t="s">
        <v>17</v>
      </c>
      <c r="B379" t="str">
        <f>"600452"</f>
        <v>600452</v>
      </c>
      <c r="C379" t="s">
        <v>803</v>
      </c>
      <c r="D379" t="s">
        <v>41</v>
      </c>
      <c r="F379">
        <v>-999450654</v>
      </c>
      <c r="G379">
        <v>107070204</v>
      </c>
      <c r="H379">
        <v>-61448708</v>
      </c>
      <c r="I379">
        <v>-263826543</v>
      </c>
      <c r="J379">
        <v>-86929071</v>
      </c>
      <c r="K379">
        <v>-4598179</v>
      </c>
      <c r="L379">
        <v>106939375</v>
      </c>
      <c r="M379">
        <v>116765697</v>
      </c>
      <c r="N379">
        <v>42632450</v>
      </c>
      <c r="O379">
        <v>-124740302</v>
      </c>
      <c r="P379">
        <v>4518</v>
      </c>
      <c r="Q379" t="s">
        <v>804</v>
      </c>
    </row>
    <row r="380" spans="1:17" x14ac:dyDescent="0.3">
      <c r="A380" t="s">
        <v>17</v>
      </c>
      <c r="B380" t="str">
        <f>"600455"</f>
        <v>600455</v>
      </c>
      <c r="C380" t="s">
        <v>805</v>
      </c>
      <c r="D380" t="s">
        <v>212</v>
      </c>
      <c r="F380">
        <v>-99621992</v>
      </c>
      <c r="G380">
        <v>22342490</v>
      </c>
      <c r="H380">
        <v>119070462</v>
      </c>
      <c r="I380">
        <v>90095612</v>
      </c>
      <c r="J380">
        <v>75072503</v>
      </c>
      <c r="K380">
        <v>44706804</v>
      </c>
      <c r="L380">
        <v>45598618</v>
      </c>
      <c r="M380">
        <v>48685403</v>
      </c>
      <c r="N380">
        <v>-10533116</v>
      </c>
      <c r="O380">
        <v>37681064</v>
      </c>
      <c r="P380">
        <v>103</v>
      </c>
      <c r="Q380" t="s">
        <v>806</v>
      </c>
    </row>
    <row r="381" spans="1:17" x14ac:dyDescent="0.3">
      <c r="A381" t="s">
        <v>17</v>
      </c>
      <c r="B381" t="str">
        <f>"600456"</f>
        <v>600456</v>
      </c>
      <c r="C381" t="s">
        <v>807</v>
      </c>
      <c r="D381" t="s">
        <v>234</v>
      </c>
      <c r="F381">
        <v>-335731639</v>
      </c>
      <c r="G381">
        <v>189301241</v>
      </c>
      <c r="H381">
        <v>-193211793</v>
      </c>
      <c r="I381">
        <v>60545300</v>
      </c>
      <c r="J381">
        <v>-113780279</v>
      </c>
      <c r="K381">
        <v>-153745805</v>
      </c>
      <c r="L381">
        <v>-147957363</v>
      </c>
      <c r="M381">
        <v>111206645</v>
      </c>
      <c r="N381">
        <v>-265560368</v>
      </c>
      <c r="O381">
        <v>-373673970</v>
      </c>
      <c r="P381">
        <v>331</v>
      </c>
      <c r="Q381" t="s">
        <v>808</v>
      </c>
    </row>
    <row r="382" spans="1:17" x14ac:dyDescent="0.3">
      <c r="A382" t="s">
        <v>17</v>
      </c>
      <c r="B382" t="str">
        <f>"600458"</f>
        <v>600458</v>
      </c>
      <c r="C382" t="s">
        <v>809</v>
      </c>
      <c r="D382" t="s">
        <v>188</v>
      </c>
      <c r="F382">
        <v>-1112322525</v>
      </c>
      <c r="G382">
        <v>1131863298</v>
      </c>
      <c r="H382">
        <v>-326065873</v>
      </c>
      <c r="I382">
        <v>-470201754</v>
      </c>
      <c r="J382">
        <v>-902799995</v>
      </c>
      <c r="K382">
        <v>-435326401</v>
      </c>
      <c r="L382">
        <v>-652830445</v>
      </c>
      <c r="M382">
        <v>-431547926</v>
      </c>
      <c r="N382">
        <v>-631051997</v>
      </c>
      <c r="O382">
        <v>-263334819</v>
      </c>
      <c r="P382">
        <v>244</v>
      </c>
      <c r="Q382" t="s">
        <v>810</v>
      </c>
    </row>
    <row r="383" spans="1:17" x14ac:dyDescent="0.3">
      <c r="A383" t="s">
        <v>17</v>
      </c>
      <c r="B383" t="str">
        <f>"600459"</f>
        <v>600459</v>
      </c>
      <c r="C383" t="s">
        <v>811</v>
      </c>
      <c r="D383" t="s">
        <v>234</v>
      </c>
      <c r="F383">
        <v>-1780430258</v>
      </c>
      <c r="G383">
        <v>-67773473</v>
      </c>
      <c r="H383">
        <v>-571879810</v>
      </c>
      <c r="I383">
        <v>-142143988</v>
      </c>
      <c r="J383">
        <v>-909394416</v>
      </c>
      <c r="K383">
        <v>64840684</v>
      </c>
      <c r="L383">
        <v>-346220724</v>
      </c>
      <c r="M383">
        <v>-305058082</v>
      </c>
      <c r="N383">
        <v>-361952809</v>
      </c>
      <c r="O383">
        <v>-127006479</v>
      </c>
      <c r="P383">
        <v>308</v>
      </c>
      <c r="Q383" t="s">
        <v>812</v>
      </c>
    </row>
    <row r="384" spans="1:17" x14ac:dyDescent="0.3">
      <c r="A384" t="s">
        <v>17</v>
      </c>
      <c r="B384" t="str">
        <f>"600460"</f>
        <v>600460</v>
      </c>
      <c r="C384" t="s">
        <v>813</v>
      </c>
      <c r="D384" t="s">
        <v>150</v>
      </c>
      <c r="F384">
        <v>-201338001</v>
      </c>
      <c r="G384">
        <v>-388633475</v>
      </c>
      <c r="H384">
        <v>-451143909</v>
      </c>
      <c r="I384">
        <v>-701086114</v>
      </c>
      <c r="J384">
        <v>-611549642</v>
      </c>
      <c r="K384">
        <v>-343658771</v>
      </c>
      <c r="L384">
        <v>-223658972</v>
      </c>
      <c r="M384">
        <v>-42015462</v>
      </c>
      <c r="N384">
        <v>16518571</v>
      </c>
      <c r="O384">
        <v>-216671379</v>
      </c>
      <c r="P384">
        <v>1169</v>
      </c>
      <c r="Q384" t="s">
        <v>814</v>
      </c>
    </row>
    <row r="385" spans="1:17" x14ac:dyDescent="0.3">
      <c r="A385" t="s">
        <v>17</v>
      </c>
      <c r="B385" t="str">
        <f>"600461"</f>
        <v>600461</v>
      </c>
      <c r="C385" t="s">
        <v>815</v>
      </c>
      <c r="D385" t="s">
        <v>33</v>
      </c>
      <c r="F385">
        <v>-849583397</v>
      </c>
      <c r="G385">
        <v>-849889006</v>
      </c>
      <c r="H385">
        <v>156438675</v>
      </c>
      <c r="I385">
        <v>-192033346</v>
      </c>
      <c r="J385">
        <v>-23040294</v>
      </c>
      <c r="K385">
        <v>72092731</v>
      </c>
      <c r="L385">
        <v>148785336</v>
      </c>
      <c r="M385">
        <v>211087359</v>
      </c>
      <c r="N385">
        <v>107527814</v>
      </c>
      <c r="O385">
        <v>42788445</v>
      </c>
      <c r="P385">
        <v>366</v>
      </c>
      <c r="Q385" t="s">
        <v>816</v>
      </c>
    </row>
    <row r="386" spans="1:17" x14ac:dyDescent="0.3">
      <c r="A386" t="s">
        <v>17</v>
      </c>
      <c r="B386" t="str">
        <f>"600462"</f>
        <v>600462</v>
      </c>
      <c r="C386" t="s">
        <v>817</v>
      </c>
      <c r="D386" t="s">
        <v>100</v>
      </c>
      <c r="F386">
        <v>-80435283</v>
      </c>
      <c r="G386">
        <v>-64556208</v>
      </c>
      <c r="H386">
        <v>2370962</v>
      </c>
      <c r="I386">
        <v>-9823213</v>
      </c>
      <c r="J386">
        <v>99354709</v>
      </c>
      <c r="K386">
        <v>-138182570</v>
      </c>
      <c r="L386">
        <v>17687172</v>
      </c>
      <c r="M386">
        <v>-22707508</v>
      </c>
      <c r="N386">
        <v>-55164419</v>
      </c>
      <c r="O386">
        <v>-12939426</v>
      </c>
      <c r="P386">
        <v>51</v>
      </c>
      <c r="Q386" t="s">
        <v>818</v>
      </c>
    </row>
    <row r="387" spans="1:17" x14ac:dyDescent="0.3">
      <c r="A387" t="s">
        <v>17</v>
      </c>
      <c r="B387" t="str">
        <f>"600463"</f>
        <v>600463</v>
      </c>
      <c r="C387" t="s">
        <v>819</v>
      </c>
      <c r="D387" t="s">
        <v>30</v>
      </c>
      <c r="F387">
        <v>-251486606</v>
      </c>
      <c r="G387">
        <v>-111250528</v>
      </c>
      <c r="H387">
        <v>31810175</v>
      </c>
      <c r="I387">
        <v>-300383761</v>
      </c>
      <c r="J387">
        <v>657799954</v>
      </c>
      <c r="K387">
        <v>85954927</v>
      </c>
      <c r="L387">
        <v>22469381</v>
      </c>
      <c r="M387">
        <v>66045765</v>
      </c>
      <c r="N387">
        <v>-233615314</v>
      </c>
      <c r="O387">
        <v>219721156</v>
      </c>
      <c r="P387">
        <v>66</v>
      </c>
      <c r="Q387" t="s">
        <v>820</v>
      </c>
    </row>
    <row r="388" spans="1:17" x14ac:dyDescent="0.3">
      <c r="A388" t="s">
        <v>17</v>
      </c>
      <c r="B388" t="str">
        <f>"600466"</f>
        <v>600466</v>
      </c>
      <c r="C388" t="s">
        <v>821</v>
      </c>
      <c r="D388" t="s">
        <v>30</v>
      </c>
      <c r="F388">
        <v>435732123</v>
      </c>
      <c r="G388">
        <v>-9981753544</v>
      </c>
      <c r="H388">
        <v>-2270507254</v>
      </c>
      <c r="I388">
        <v>-3913808071</v>
      </c>
      <c r="J388">
        <v>5284014237</v>
      </c>
      <c r="K388">
        <v>-3854649550</v>
      </c>
      <c r="L388">
        <v>-685746075</v>
      </c>
      <c r="M388">
        <v>-69725306</v>
      </c>
      <c r="N388">
        <v>-9130291</v>
      </c>
      <c r="O388">
        <v>-17211034</v>
      </c>
      <c r="P388">
        <v>844</v>
      </c>
      <c r="Q388" t="s">
        <v>822</v>
      </c>
    </row>
    <row r="389" spans="1:17" x14ac:dyDescent="0.3">
      <c r="A389" t="s">
        <v>17</v>
      </c>
      <c r="B389" t="str">
        <f>"600467"</f>
        <v>600467</v>
      </c>
      <c r="C389" t="s">
        <v>823</v>
      </c>
      <c r="D389" t="s">
        <v>205</v>
      </c>
      <c r="F389">
        <v>-86038060</v>
      </c>
      <c r="G389">
        <v>7497067</v>
      </c>
      <c r="H389">
        <v>22009293</v>
      </c>
      <c r="I389">
        <v>71865418</v>
      </c>
      <c r="J389">
        <v>-227056684</v>
      </c>
      <c r="K389">
        <v>-220867263</v>
      </c>
      <c r="L389">
        <v>-250733595</v>
      </c>
      <c r="M389">
        <v>-364589936</v>
      </c>
      <c r="N389">
        <v>-419570081</v>
      </c>
      <c r="O389">
        <v>-474720487</v>
      </c>
      <c r="P389">
        <v>119</v>
      </c>
      <c r="Q389" t="s">
        <v>824</v>
      </c>
    </row>
    <row r="390" spans="1:17" x14ac:dyDescent="0.3">
      <c r="A390" t="s">
        <v>17</v>
      </c>
      <c r="B390" t="str">
        <f>"600468"</f>
        <v>600468</v>
      </c>
      <c r="C390" t="s">
        <v>825</v>
      </c>
      <c r="D390" t="s">
        <v>188</v>
      </c>
      <c r="F390">
        <v>-6218820</v>
      </c>
      <c r="G390">
        <v>-89235631</v>
      </c>
      <c r="H390">
        <v>-65697871</v>
      </c>
      <c r="I390">
        <v>-104244663</v>
      </c>
      <c r="J390">
        <v>-199284112</v>
      </c>
      <c r="K390">
        <v>-97019637</v>
      </c>
      <c r="L390">
        <v>-16418834</v>
      </c>
      <c r="M390">
        <v>-56832159</v>
      </c>
      <c r="N390">
        <v>-44979079</v>
      </c>
      <c r="O390">
        <v>-3322263</v>
      </c>
      <c r="P390">
        <v>89</v>
      </c>
      <c r="Q390" t="s">
        <v>826</v>
      </c>
    </row>
    <row r="391" spans="1:17" x14ac:dyDescent="0.3">
      <c r="A391" t="s">
        <v>17</v>
      </c>
      <c r="B391" t="str">
        <f>"600469"</f>
        <v>600469</v>
      </c>
      <c r="C391" t="s">
        <v>827</v>
      </c>
      <c r="D391" t="s">
        <v>27</v>
      </c>
      <c r="F391">
        <v>33033231</v>
      </c>
      <c r="G391">
        <v>276279725</v>
      </c>
      <c r="H391">
        <v>240072492</v>
      </c>
      <c r="I391">
        <v>33707158</v>
      </c>
      <c r="J391">
        <v>-487045865</v>
      </c>
      <c r="K391">
        <v>428613159</v>
      </c>
      <c r="L391">
        <v>703696109</v>
      </c>
      <c r="M391">
        <v>714929020</v>
      </c>
      <c r="N391">
        <v>8710260</v>
      </c>
      <c r="O391">
        <v>392231096</v>
      </c>
      <c r="P391">
        <v>99</v>
      </c>
      <c r="Q391" t="s">
        <v>828</v>
      </c>
    </row>
    <row r="392" spans="1:17" x14ac:dyDescent="0.3">
      <c r="A392" t="s">
        <v>17</v>
      </c>
      <c r="B392" t="str">
        <f>"600470"</f>
        <v>600470</v>
      </c>
      <c r="C392" t="s">
        <v>829</v>
      </c>
      <c r="D392" t="s">
        <v>133</v>
      </c>
      <c r="F392">
        <v>192534713</v>
      </c>
      <c r="G392">
        <v>-21053045</v>
      </c>
      <c r="H392">
        <v>136972425</v>
      </c>
      <c r="I392">
        <v>-636699733</v>
      </c>
      <c r="J392">
        <v>-470423338</v>
      </c>
      <c r="K392">
        <v>31903163</v>
      </c>
      <c r="L392">
        <v>94845956</v>
      </c>
      <c r="M392">
        <v>604357431</v>
      </c>
      <c r="N392">
        <v>-886703682</v>
      </c>
      <c r="O392">
        <v>-756263104</v>
      </c>
      <c r="P392">
        <v>90</v>
      </c>
      <c r="Q392" t="s">
        <v>830</v>
      </c>
    </row>
    <row r="393" spans="1:17" x14ac:dyDescent="0.3">
      <c r="A393" t="s">
        <v>17</v>
      </c>
      <c r="B393" t="str">
        <f>"600475"</f>
        <v>600475</v>
      </c>
      <c r="C393" t="s">
        <v>831</v>
      </c>
      <c r="D393" t="s">
        <v>188</v>
      </c>
      <c r="F393">
        <v>-43744052</v>
      </c>
      <c r="G393">
        <v>-17751285</v>
      </c>
      <c r="H393">
        <v>-79681408</v>
      </c>
      <c r="I393">
        <v>-1584782525</v>
      </c>
      <c r="J393">
        <v>-450653571</v>
      </c>
      <c r="K393">
        <v>-7789542</v>
      </c>
      <c r="L393">
        <v>182251628</v>
      </c>
      <c r="M393">
        <v>-100511761</v>
      </c>
      <c r="N393">
        <v>-155593755</v>
      </c>
      <c r="O393">
        <v>246601855</v>
      </c>
      <c r="P393">
        <v>169</v>
      </c>
      <c r="Q393" t="s">
        <v>832</v>
      </c>
    </row>
    <row r="394" spans="1:17" x14ac:dyDescent="0.3">
      <c r="A394" t="s">
        <v>17</v>
      </c>
      <c r="B394" t="str">
        <f>"600476"</f>
        <v>600476</v>
      </c>
      <c r="C394" t="s">
        <v>833</v>
      </c>
      <c r="D394" t="s">
        <v>212</v>
      </c>
      <c r="F394">
        <v>-88306211</v>
      </c>
      <c r="G394">
        <v>-12409445</v>
      </c>
      <c r="H394">
        <v>-18906511</v>
      </c>
      <c r="I394">
        <v>14420770</v>
      </c>
      <c r="J394">
        <v>-54578080</v>
      </c>
      <c r="K394">
        <v>-59575411</v>
      </c>
      <c r="L394">
        <v>-29220757</v>
      </c>
      <c r="M394">
        <v>-23790620</v>
      </c>
      <c r="N394">
        <v>-46337200</v>
      </c>
      <c r="O394">
        <v>-41939790</v>
      </c>
      <c r="P394">
        <v>85</v>
      </c>
      <c r="Q394" t="s">
        <v>834</v>
      </c>
    </row>
    <row r="395" spans="1:17" x14ac:dyDescent="0.3">
      <c r="A395" t="s">
        <v>17</v>
      </c>
      <c r="B395" t="str">
        <f>"600477"</f>
        <v>600477</v>
      </c>
      <c r="C395" t="s">
        <v>835</v>
      </c>
      <c r="D395" t="s">
        <v>95</v>
      </c>
      <c r="F395">
        <v>-533604284</v>
      </c>
      <c r="G395">
        <v>342522553</v>
      </c>
      <c r="H395">
        <v>283973972</v>
      </c>
      <c r="I395">
        <v>188087023</v>
      </c>
      <c r="J395">
        <v>511310533</v>
      </c>
      <c r="K395">
        <v>464899866</v>
      </c>
      <c r="L395">
        <v>-20513253</v>
      </c>
      <c r="M395">
        <v>-295901143</v>
      </c>
      <c r="N395">
        <v>35390655</v>
      </c>
      <c r="O395">
        <v>-116177647</v>
      </c>
      <c r="P395">
        <v>347</v>
      </c>
      <c r="Q395" t="s">
        <v>836</v>
      </c>
    </row>
    <row r="396" spans="1:17" x14ac:dyDescent="0.3">
      <c r="A396" t="s">
        <v>17</v>
      </c>
      <c r="B396" t="str">
        <f>"600478"</f>
        <v>600478</v>
      </c>
      <c r="C396" t="s">
        <v>837</v>
      </c>
      <c r="D396" t="s">
        <v>188</v>
      </c>
      <c r="F396">
        <v>-108019827</v>
      </c>
      <c r="G396">
        <v>33837398</v>
      </c>
      <c r="H396">
        <v>-398682661</v>
      </c>
      <c r="I396">
        <v>-501907579</v>
      </c>
      <c r="J396">
        <v>-619229717</v>
      </c>
      <c r="K396">
        <v>-110741826</v>
      </c>
      <c r="L396">
        <v>-24839106</v>
      </c>
      <c r="M396">
        <v>-159886828</v>
      </c>
      <c r="N396">
        <v>132362241</v>
      </c>
      <c r="O396">
        <v>-63630834</v>
      </c>
      <c r="P396">
        <v>160</v>
      </c>
      <c r="Q396" t="s">
        <v>838</v>
      </c>
    </row>
    <row r="397" spans="1:17" x14ac:dyDescent="0.3">
      <c r="A397" t="s">
        <v>17</v>
      </c>
      <c r="B397" t="str">
        <f>"600479"</f>
        <v>600479</v>
      </c>
      <c r="C397" t="s">
        <v>839</v>
      </c>
      <c r="D397" t="s">
        <v>113</v>
      </c>
      <c r="F397">
        <v>322029126</v>
      </c>
      <c r="G397">
        <v>196438237</v>
      </c>
      <c r="H397">
        <v>350407353</v>
      </c>
      <c r="I397">
        <v>276758552</v>
      </c>
      <c r="J397">
        <v>151587189</v>
      </c>
      <c r="K397">
        <v>84874447</v>
      </c>
      <c r="L397">
        <v>76708635</v>
      </c>
      <c r="M397">
        <v>57490867</v>
      </c>
      <c r="N397">
        <v>42907971</v>
      </c>
      <c r="O397">
        <v>17978550</v>
      </c>
      <c r="P397">
        <v>605</v>
      </c>
      <c r="Q397" t="s">
        <v>840</v>
      </c>
    </row>
    <row r="398" spans="1:17" x14ac:dyDescent="0.3">
      <c r="A398" t="s">
        <v>17</v>
      </c>
      <c r="B398" t="str">
        <f>"600480"</f>
        <v>600480</v>
      </c>
      <c r="C398" t="s">
        <v>841</v>
      </c>
      <c r="D398" t="s">
        <v>27</v>
      </c>
      <c r="F398">
        <v>-458412636</v>
      </c>
      <c r="G398">
        <v>-663212284</v>
      </c>
      <c r="H398">
        <v>-1269165583</v>
      </c>
      <c r="I398">
        <v>-1290902095</v>
      </c>
      <c r="J398">
        <v>-750740892</v>
      </c>
      <c r="K398">
        <v>-522842252</v>
      </c>
      <c r="L398">
        <v>-856730807</v>
      </c>
      <c r="M398">
        <v>-273975935</v>
      </c>
      <c r="N398">
        <v>-525411557</v>
      </c>
      <c r="O398">
        <v>-391587641</v>
      </c>
      <c r="P398">
        <v>173</v>
      </c>
      <c r="Q398" t="s">
        <v>842</v>
      </c>
    </row>
    <row r="399" spans="1:17" x14ac:dyDescent="0.3">
      <c r="A399" t="s">
        <v>17</v>
      </c>
      <c r="B399" t="str">
        <f>"600481"</f>
        <v>600481</v>
      </c>
      <c r="C399" t="s">
        <v>843</v>
      </c>
      <c r="D399" t="s">
        <v>78</v>
      </c>
      <c r="F399">
        <v>-506276412</v>
      </c>
      <c r="G399">
        <v>-111393061</v>
      </c>
      <c r="H399">
        <v>-137008484</v>
      </c>
      <c r="I399">
        <v>168403833</v>
      </c>
      <c r="J399">
        <v>67392746</v>
      </c>
      <c r="K399">
        <v>-5710613</v>
      </c>
      <c r="L399">
        <v>-147903562</v>
      </c>
      <c r="M399">
        <v>137609264</v>
      </c>
      <c r="N399">
        <v>270945715</v>
      </c>
      <c r="O399">
        <v>192306126</v>
      </c>
      <c r="P399">
        <v>186</v>
      </c>
      <c r="Q399" t="s">
        <v>844</v>
      </c>
    </row>
    <row r="400" spans="1:17" x14ac:dyDescent="0.3">
      <c r="A400" t="s">
        <v>17</v>
      </c>
      <c r="B400" t="str">
        <f>"600482"</f>
        <v>600482</v>
      </c>
      <c r="C400" t="s">
        <v>845</v>
      </c>
      <c r="D400" t="s">
        <v>92</v>
      </c>
      <c r="F400">
        <v>184353397</v>
      </c>
      <c r="G400">
        <v>-1367397973</v>
      </c>
      <c r="H400">
        <v>-2346642707</v>
      </c>
      <c r="I400">
        <v>-2940899416</v>
      </c>
      <c r="J400">
        <v>-1118056553</v>
      </c>
      <c r="K400">
        <v>-148103150</v>
      </c>
      <c r="L400">
        <v>201845062</v>
      </c>
      <c r="M400">
        <v>-22150301</v>
      </c>
      <c r="N400">
        <v>-136534294</v>
      </c>
      <c r="O400">
        <v>-98732113</v>
      </c>
      <c r="P400">
        <v>339</v>
      </c>
      <c r="Q400" t="s">
        <v>846</v>
      </c>
    </row>
    <row r="401" spans="1:17" x14ac:dyDescent="0.3">
      <c r="A401" t="s">
        <v>17</v>
      </c>
      <c r="B401" t="str">
        <f>"600483"</f>
        <v>600483</v>
      </c>
      <c r="C401" t="s">
        <v>847</v>
      </c>
      <c r="D401" t="s">
        <v>41</v>
      </c>
      <c r="F401">
        <v>-3372490803</v>
      </c>
      <c r="G401">
        <v>-1277059931</v>
      </c>
      <c r="H401">
        <v>408765044</v>
      </c>
      <c r="I401">
        <v>481206403</v>
      </c>
      <c r="J401">
        <v>49021012</v>
      </c>
      <c r="K401">
        <v>493832128</v>
      </c>
      <c r="L401">
        <v>683347442</v>
      </c>
      <c r="M401">
        <v>734376490</v>
      </c>
      <c r="N401">
        <v>40157116</v>
      </c>
      <c r="O401">
        <v>-131680140</v>
      </c>
      <c r="P401">
        <v>331</v>
      </c>
      <c r="Q401" t="s">
        <v>848</v>
      </c>
    </row>
    <row r="402" spans="1:17" x14ac:dyDescent="0.3">
      <c r="A402" t="s">
        <v>17</v>
      </c>
      <c r="B402" t="str">
        <f>"600485"</f>
        <v>600485</v>
      </c>
      <c r="C402" t="s">
        <v>849</v>
      </c>
      <c r="G402">
        <v>-21686848</v>
      </c>
      <c r="H402">
        <v>188031737</v>
      </c>
      <c r="I402">
        <v>-75903355</v>
      </c>
      <c r="J402">
        <v>-684169761</v>
      </c>
      <c r="K402">
        <v>-2902152432</v>
      </c>
      <c r="L402">
        <v>-1798458648</v>
      </c>
      <c r="M402">
        <v>1248428660</v>
      </c>
      <c r="N402">
        <v>16044549</v>
      </c>
      <c r="O402">
        <v>-33237722</v>
      </c>
      <c r="P402">
        <v>124</v>
      </c>
      <c r="Q402" t="s">
        <v>850</v>
      </c>
    </row>
    <row r="403" spans="1:17" x14ac:dyDescent="0.3">
      <c r="A403" t="s">
        <v>17</v>
      </c>
      <c r="B403" t="str">
        <f>"600486"</f>
        <v>600486</v>
      </c>
      <c r="C403" t="s">
        <v>851</v>
      </c>
      <c r="D403" t="s">
        <v>133</v>
      </c>
      <c r="F403">
        <v>537036240</v>
      </c>
      <c r="G403">
        <v>441330143</v>
      </c>
      <c r="H403">
        <v>440885909</v>
      </c>
      <c r="I403">
        <v>407775044</v>
      </c>
      <c r="J403">
        <v>244622667</v>
      </c>
      <c r="K403">
        <v>-152504031</v>
      </c>
      <c r="L403">
        <v>-96460023</v>
      </c>
      <c r="M403">
        <v>207921449</v>
      </c>
      <c r="N403">
        <v>698597199</v>
      </c>
      <c r="O403">
        <v>284411489</v>
      </c>
      <c r="P403">
        <v>1254</v>
      </c>
      <c r="Q403" t="s">
        <v>852</v>
      </c>
    </row>
    <row r="404" spans="1:17" x14ac:dyDescent="0.3">
      <c r="A404" t="s">
        <v>17</v>
      </c>
      <c r="B404" t="str">
        <f>"600487"</f>
        <v>600487</v>
      </c>
      <c r="C404" t="s">
        <v>853</v>
      </c>
      <c r="D404" t="s">
        <v>100</v>
      </c>
      <c r="F404">
        <v>-1113712100</v>
      </c>
      <c r="G404">
        <v>-1100697685</v>
      </c>
      <c r="H404">
        <v>-3575540890</v>
      </c>
      <c r="I404">
        <v>-2097781661</v>
      </c>
      <c r="J404">
        <v>-2268801429</v>
      </c>
      <c r="K404">
        <v>-493351057</v>
      </c>
      <c r="L404">
        <v>-248546088</v>
      </c>
      <c r="M404">
        <v>-461355124</v>
      </c>
      <c r="N404">
        <v>-307498312</v>
      </c>
      <c r="O404">
        <v>-4407338</v>
      </c>
      <c r="P404">
        <v>2803</v>
      </c>
      <c r="Q404" t="s">
        <v>854</v>
      </c>
    </row>
    <row r="405" spans="1:17" x14ac:dyDescent="0.3">
      <c r="A405" t="s">
        <v>17</v>
      </c>
      <c r="B405" t="str">
        <f>"600488"</f>
        <v>600488</v>
      </c>
      <c r="C405" t="s">
        <v>855</v>
      </c>
      <c r="D405" t="s">
        <v>113</v>
      </c>
      <c r="F405">
        <v>-61629060</v>
      </c>
      <c r="G405">
        <v>-33833368</v>
      </c>
      <c r="H405">
        <v>-153384778</v>
      </c>
      <c r="I405">
        <v>71184448</v>
      </c>
      <c r="J405">
        <v>-26804358</v>
      </c>
      <c r="K405">
        <v>53332552</v>
      </c>
      <c r="L405">
        <v>74562064</v>
      </c>
      <c r="M405">
        <v>109549188</v>
      </c>
      <c r="N405">
        <v>2096894</v>
      </c>
      <c r="O405">
        <v>-22833454</v>
      </c>
      <c r="P405">
        <v>98</v>
      </c>
      <c r="Q405" t="s">
        <v>856</v>
      </c>
    </row>
    <row r="406" spans="1:17" x14ac:dyDescent="0.3">
      <c r="A406" t="s">
        <v>17</v>
      </c>
      <c r="B406" t="str">
        <f>"600489"</f>
        <v>600489</v>
      </c>
      <c r="C406" t="s">
        <v>857</v>
      </c>
      <c r="D406" t="s">
        <v>234</v>
      </c>
      <c r="F406">
        <v>677572635</v>
      </c>
      <c r="G406">
        <v>707775373</v>
      </c>
      <c r="H406">
        <v>198969442</v>
      </c>
      <c r="I406">
        <v>684440215</v>
      </c>
      <c r="J406">
        <v>-427072324</v>
      </c>
      <c r="K406">
        <v>1326997934</v>
      </c>
      <c r="L406">
        <v>-3938618979</v>
      </c>
      <c r="M406">
        <v>-1872663689</v>
      </c>
      <c r="N406">
        <v>-1422403832</v>
      </c>
      <c r="O406">
        <v>316229206</v>
      </c>
      <c r="P406">
        <v>454</v>
      </c>
      <c r="Q406" t="s">
        <v>858</v>
      </c>
    </row>
    <row r="407" spans="1:17" x14ac:dyDescent="0.3">
      <c r="A407" t="s">
        <v>17</v>
      </c>
      <c r="B407" t="str">
        <f>"600490"</f>
        <v>600490</v>
      </c>
      <c r="C407" t="s">
        <v>859</v>
      </c>
      <c r="D407" t="s">
        <v>234</v>
      </c>
      <c r="F407">
        <v>376914267</v>
      </c>
      <c r="G407">
        <v>206560860</v>
      </c>
      <c r="H407">
        <v>253411630</v>
      </c>
      <c r="I407">
        <v>-114911642</v>
      </c>
      <c r="J407">
        <v>445218849</v>
      </c>
      <c r="K407">
        <v>218670466</v>
      </c>
      <c r="L407">
        <v>199406101</v>
      </c>
      <c r="M407">
        <v>289441397</v>
      </c>
      <c r="N407">
        <v>-55268751</v>
      </c>
      <c r="O407">
        <v>-381796634</v>
      </c>
      <c r="P407">
        <v>144</v>
      </c>
      <c r="Q407" t="s">
        <v>860</v>
      </c>
    </row>
    <row r="408" spans="1:17" x14ac:dyDescent="0.3">
      <c r="A408" t="s">
        <v>17</v>
      </c>
      <c r="B408" t="str">
        <f>"600491"</f>
        <v>600491</v>
      </c>
      <c r="C408" t="s">
        <v>861</v>
      </c>
      <c r="D408" t="s">
        <v>95</v>
      </c>
      <c r="F408">
        <v>-1624181108</v>
      </c>
      <c r="G408">
        <v>220869149</v>
      </c>
      <c r="H408">
        <v>-1279466194</v>
      </c>
      <c r="I408">
        <v>-718821251</v>
      </c>
      <c r="J408">
        <v>-859051380</v>
      </c>
      <c r="K408">
        <v>-618813482</v>
      </c>
      <c r="L408">
        <v>-1045316630</v>
      </c>
      <c r="M408">
        <v>-826759224</v>
      </c>
      <c r="N408">
        <v>-78627865</v>
      </c>
      <c r="O408">
        <v>-284741163</v>
      </c>
      <c r="P408">
        <v>116</v>
      </c>
      <c r="Q408" t="s">
        <v>862</v>
      </c>
    </row>
    <row r="409" spans="1:17" x14ac:dyDescent="0.3">
      <c r="A409" t="s">
        <v>17</v>
      </c>
      <c r="B409" t="str">
        <f>"600493"</f>
        <v>600493</v>
      </c>
      <c r="C409" t="s">
        <v>863</v>
      </c>
      <c r="D409" t="s">
        <v>227</v>
      </c>
      <c r="F409">
        <v>77078589</v>
      </c>
      <c r="G409">
        <v>6564488</v>
      </c>
      <c r="H409">
        <v>-80496813</v>
      </c>
      <c r="I409">
        <v>-3605503</v>
      </c>
      <c r="J409">
        <v>-35835836</v>
      </c>
      <c r="K409">
        <v>82054826</v>
      </c>
      <c r="L409">
        <v>41047243</v>
      </c>
      <c r="M409">
        <v>101598704</v>
      </c>
      <c r="N409">
        <v>28664279</v>
      </c>
      <c r="O409">
        <v>53037512</v>
      </c>
      <c r="P409">
        <v>80</v>
      </c>
      <c r="Q409" t="s">
        <v>864</v>
      </c>
    </row>
    <row r="410" spans="1:17" x14ac:dyDescent="0.3">
      <c r="A410" t="s">
        <v>17</v>
      </c>
      <c r="B410" t="str">
        <f>"600495"</f>
        <v>600495</v>
      </c>
      <c r="C410" t="s">
        <v>865</v>
      </c>
      <c r="D410" t="s">
        <v>78</v>
      </c>
      <c r="F410">
        <v>-184573053</v>
      </c>
      <c r="G410">
        <v>-91157105</v>
      </c>
      <c r="H410">
        <v>-109560068</v>
      </c>
      <c r="I410">
        <v>186839541</v>
      </c>
      <c r="J410">
        <v>161475907</v>
      </c>
      <c r="K410">
        <v>-251768299</v>
      </c>
      <c r="L410">
        <v>-309107002</v>
      </c>
      <c r="M410">
        <v>-300618570</v>
      </c>
      <c r="N410">
        <v>-391917368</v>
      </c>
      <c r="O410">
        <v>-324814964</v>
      </c>
      <c r="P410">
        <v>122</v>
      </c>
      <c r="Q410" t="s">
        <v>866</v>
      </c>
    </row>
    <row r="411" spans="1:17" x14ac:dyDescent="0.3">
      <c r="A411" t="s">
        <v>17</v>
      </c>
      <c r="B411" t="str">
        <f>"600496"</f>
        <v>600496</v>
      </c>
      <c r="C411" t="s">
        <v>867</v>
      </c>
      <c r="D411" t="s">
        <v>95</v>
      </c>
      <c r="F411">
        <v>-738148092</v>
      </c>
      <c r="G411">
        <v>142379231</v>
      </c>
      <c r="H411">
        <v>213426946</v>
      </c>
      <c r="I411">
        <v>158898253</v>
      </c>
      <c r="J411">
        <v>46959083</v>
      </c>
      <c r="K411">
        <v>-197765184</v>
      </c>
      <c r="L411">
        <v>-66194219</v>
      </c>
      <c r="M411">
        <v>22266003</v>
      </c>
      <c r="N411">
        <v>-306476533</v>
      </c>
      <c r="O411">
        <v>-421088295</v>
      </c>
      <c r="P411">
        <v>249</v>
      </c>
      <c r="Q411" t="s">
        <v>868</v>
      </c>
    </row>
    <row r="412" spans="1:17" x14ac:dyDescent="0.3">
      <c r="A412" t="s">
        <v>17</v>
      </c>
      <c r="B412" t="str">
        <f>"600497"</f>
        <v>600497</v>
      </c>
      <c r="C412" t="s">
        <v>869</v>
      </c>
      <c r="D412" t="s">
        <v>234</v>
      </c>
      <c r="F412">
        <v>1605690247</v>
      </c>
      <c r="G412">
        <v>1119428115</v>
      </c>
      <c r="H412">
        <v>1314504200</v>
      </c>
      <c r="I412">
        <v>835252202</v>
      </c>
      <c r="J412">
        <v>1701194198</v>
      </c>
      <c r="K412">
        <v>421046782</v>
      </c>
      <c r="L412">
        <v>73425099</v>
      </c>
      <c r="M412">
        <v>-776359778</v>
      </c>
      <c r="N412">
        <v>-978537899</v>
      </c>
      <c r="O412">
        <v>-1137187934</v>
      </c>
      <c r="P412">
        <v>286</v>
      </c>
      <c r="Q412" t="s">
        <v>870</v>
      </c>
    </row>
    <row r="413" spans="1:17" x14ac:dyDescent="0.3">
      <c r="A413" t="s">
        <v>17</v>
      </c>
      <c r="B413" t="str">
        <f>"600498"</f>
        <v>600498</v>
      </c>
      <c r="C413" t="s">
        <v>871</v>
      </c>
      <c r="D413" t="s">
        <v>100</v>
      </c>
      <c r="F413">
        <v>-5021088507</v>
      </c>
      <c r="G413">
        <v>-4243855578</v>
      </c>
      <c r="H413">
        <v>-4295601074</v>
      </c>
      <c r="I413">
        <v>-3192395420</v>
      </c>
      <c r="J413">
        <v>-2831251446</v>
      </c>
      <c r="K413">
        <v>-2446406306</v>
      </c>
      <c r="L413">
        <v>-967461761</v>
      </c>
      <c r="M413">
        <v>-1134901959</v>
      </c>
      <c r="N413">
        <v>-1323355152</v>
      </c>
      <c r="O413">
        <v>-1279023691</v>
      </c>
      <c r="P413">
        <v>853</v>
      </c>
      <c r="Q413" t="s">
        <v>872</v>
      </c>
    </row>
    <row r="414" spans="1:17" x14ac:dyDescent="0.3">
      <c r="A414" t="s">
        <v>17</v>
      </c>
      <c r="B414" t="str">
        <f>"600499"</f>
        <v>600499</v>
      </c>
      <c r="C414" t="s">
        <v>873</v>
      </c>
      <c r="D414" t="s">
        <v>78</v>
      </c>
      <c r="F414">
        <v>235504399</v>
      </c>
      <c r="G414">
        <v>577526959</v>
      </c>
      <c r="H414">
        <v>-74916880</v>
      </c>
      <c r="I414">
        <v>-618898240</v>
      </c>
      <c r="J414">
        <v>-466287464</v>
      </c>
      <c r="K414">
        <v>298204628</v>
      </c>
      <c r="L414">
        <v>290214118</v>
      </c>
      <c r="M414">
        <v>-268995953</v>
      </c>
      <c r="N414">
        <v>-166424057</v>
      </c>
      <c r="O414">
        <v>-142375377</v>
      </c>
      <c r="P414">
        <v>246</v>
      </c>
      <c r="Q414" t="s">
        <v>874</v>
      </c>
    </row>
    <row r="415" spans="1:17" x14ac:dyDescent="0.3">
      <c r="A415" t="s">
        <v>17</v>
      </c>
      <c r="B415" t="str">
        <f>"600500"</f>
        <v>600500</v>
      </c>
      <c r="C415" t="s">
        <v>875</v>
      </c>
      <c r="D415" t="s">
        <v>133</v>
      </c>
      <c r="F415">
        <v>-7692225075</v>
      </c>
      <c r="G415">
        <v>-2333992763</v>
      </c>
      <c r="H415">
        <v>-2838727106</v>
      </c>
      <c r="I415">
        <v>-2086525716</v>
      </c>
      <c r="J415">
        <v>-959753745</v>
      </c>
      <c r="K415">
        <v>-20678528</v>
      </c>
      <c r="L415">
        <v>-1191608406</v>
      </c>
      <c r="M415">
        <v>283414391</v>
      </c>
      <c r="N415">
        <v>68557969</v>
      </c>
      <c r="O415">
        <v>-1037000612</v>
      </c>
      <c r="P415">
        <v>285</v>
      </c>
      <c r="Q415" t="s">
        <v>876</v>
      </c>
    </row>
    <row r="416" spans="1:17" x14ac:dyDescent="0.3">
      <c r="A416" t="s">
        <v>17</v>
      </c>
      <c r="B416" t="str">
        <f>"600501"</f>
        <v>600501</v>
      </c>
      <c r="C416" t="s">
        <v>877</v>
      </c>
      <c r="D416" t="s">
        <v>78</v>
      </c>
      <c r="F416">
        <v>-775409303</v>
      </c>
      <c r="G416">
        <v>-187691659</v>
      </c>
      <c r="H416">
        <v>-726407548</v>
      </c>
      <c r="I416">
        <v>-254307153</v>
      </c>
      <c r="J416">
        <v>-290181931</v>
      </c>
      <c r="K416">
        <v>-264477955</v>
      </c>
      <c r="L416">
        <v>-123537263</v>
      </c>
      <c r="M416">
        <v>-146603298</v>
      </c>
      <c r="N416">
        <v>-216512596</v>
      </c>
      <c r="O416">
        <v>-239786867</v>
      </c>
      <c r="P416">
        <v>117</v>
      </c>
      <c r="Q416" t="s">
        <v>878</v>
      </c>
    </row>
    <row r="417" spans="1:17" x14ac:dyDescent="0.3">
      <c r="A417" t="s">
        <v>17</v>
      </c>
      <c r="B417" t="str">
        <f>"600502"</f>
        <v>600502</v>
      </c>
      <c r="C417" t="s">
        <v>879</v>
      </c>
      <c r="D417" t="s">
        <v>95</v>
      </c>
      <c r="F417">
        <v>-6094423017</v>
      </c>
      <c r="G417">
        <v>-7698499738</v>
      </c>
      <c r="H417">
        <v>-4576696799</v>
      </c>
      <c r="I417">
        <v>91593271</v>
      </c>
      <c r="J417">
        <v>-4796568289</v>
      </c>
      <c r="K417">
        <v>-668180370</v>
      </c>
      <c r="L417">
        <v>178435156</v>
      </c>
      <c r="M417">
        <v>-1222837120</v>
      </c>
      <c r="N417">
        <v>-628123500</v>
      </c>
      <c r="O417">
        <v>-362449361</v>
      </c>
      <c r="P417">
        <v>410</v>
      </c>
      <c r="Q417" t="s">
        <v>880</v>
      </c>
    </row>
    <row r="418" spans="1:17" x14ac:dyDescent="0.3">
      <c r="A418" t="s">
        <v>17</v>
      </c>
      <c r="B418" t="str">
        <f>"600503"</f>
        <v>600503</v>
      </c>
      <c r="C418" t="s">
        <v>881</v>
      </c>
      <c r="D418" t="s">
        <v>30</v>
      </c>
      <c r="F418">
        <v>-286639323</v>
      </c>
      <c r="G418">
        <v>174302656</v>
      </c>
      <c r="H418">
        <v>-132367185</v>
      </c>
      <c r="I418">
        <v>513751988</v>
      </c>
      <c r="J418">
        <v>-406849624</v>
      </c>
      <c r="K418">
        <v>949782703</v>
      </c>
      <c r="L418">
        <v>374643685</v>
      </c>
      <c r="M418">
        <v>135426537</v>
      </c>
      <c r="N418">
        <v>417793850</v>
      </c>
      <c r="O418">
        <v>184260614</v>
      </c>
      <c r="P418">
        <v>200</v>
      </c>
      <c r="Q418" t="s">
        <v>882</v>
      </c>
    </row>
    <row r="419" spans="1:17" x14ac:dyDescent="0.3">
      <c r="A419" t="s">
        <v>17</v>
      </c>
      <c r="B419" t="str">
        <f>"600505"</f>
        <v>600505</v>
      </c>
      <c r="C419" t="s">
        <v>883</v>
      </c>
      <c r="D419" t="s">
        <v>41</v>
      </c>
      <c r="F419">
        <v>-253963403</v>
      </c>
      <c r="G419">
        <v>-151101238</v>
      </c>
      <c r="H419">
        <v>-191995611</v>
      </c>
      <c r="I419">
        <v>-192963063</v>
      </c>
      <c r="J419">
        <v>29194345</v>
      </c>
      <c r="K419">
        <v>-281949679</v>
      </c>
      <c r="L419">
        <v>-12507188</v>
      </c>
      <c r="M419">
        <v>57039434</v>
      </c>
      <c r="N419">
        <v>27305264</v>
      </c>
      <c r="O419">
        <v>-70392647</v>
      </c>
      <c r="P419">
        <v>104</v>
      </c>
      <c r="Q419" t="s">
        <v>884</v>
      </c>
    </row>
    <row r="420" spans="1:17" x14ac:dyDescent="0.3">
      <c r="A420" t="s">
        <v>17</v>
      </c>
      <c r="B420" t="str">
        <f>"600506"</f>
        <v>600506</v>
      </c>
      <c r="C420" t="s">
        <v>885</v>
      </c>
      <c r="D420" t="s">
        <v>205</v>
      </c>
      <c r="F420">
        <v>-83984251</v>
      </c>
      <c r="G420">
        <v>-24356742</v>
      </c>
      <c r="H420">
        <v>-15493921</v>
      </c>
      <c r="I420">
        <v>15502428</v>
      </c>
      <c r="J420">
        <v>-26253637</v>
      </c>
      <c r="K420">
        <v>-17072262</v>
      </c>
      <c r="L420">
        <v>27066340</v>
      </c>
      <c r="M420">
        <v>-44796222</v>
      </c>
      <c r="N420">
        <v>-27972062</v>
      </c>
      <c r="O420">
        <v>-3887168</v>
      </c>
      <c r="P420">
        <v>67</v>
      </c>
      <c r="Q420" t="s">
        <v>886</v>
      </c>
    </row>
    <row r="421" spans="1:17" x14ac:dyDescent="0.3">
      <c r="A421" t="s">
        <v>17</v>
      </c>
      <c r="B421" t="str">
        <f>"600507"</f>
        <v>600507</v>
      </c>
      <c r="C421" t="s">
        <v>887</v>
      </c>
      <c r="D421" t="s">
        <v>38</v>
      </c>
      <c r="F421">
        <v>3357642678</v>
      </c>
      <c r="G421">
        <v>3406846990</v>
      </c>
      <c r="H421">
        <v>917396996</v>
      </c>
      <c r="I421">
        <v>2743183103</v>
      </c>
      <c r="J421">
        <v>1496691635</v>
      </c>
      <c r="K421">
        <v>844630333</v>
      </c>
      <c r="L421">
        <v>862682103</v>
      </c>
      <c r="M421">
        <v>868591001</v>
      </c>
      <c r="N421">
        <v>1555050405</v>
      </c>
      <c r="O421">
        <v>-105531471</v>
      </c>
      <c r="P421">
        <v>1895</v>
      </c>
      <c r="Q421" t="s">
        <v>888</v>
      </c>
    </row>
    <row r="422" spans="1:17" x14ac:dyDescent="0.3">
      <c r="A422" t="s">
        <v>17</v>
      </c>
      <c r="B422" t="str">
        <f>"600508"</f>
        <v>600508</v>
      </c>
      <c r="C422" t="s">
        <v>889</v>
      </c>
      <c r="D422" t="s">
        <v>257</v>
      </c>
      <c r="F422">
        <v>316629352</v>
      </c>
      <c r="G422">
        <v>25141571</v>
      </c>
      <c r="H422">
        <v>993596077</v>
      </c>
      <c r="I422">
        <v>309723153</v>
      </c>
      <c r="J422">
        <v>-145450796</v>
      </c>
      <c r="K422">
        <v>431232270</v>
      </c>
      <c r="L422">
        <v>-7413494</v>
      </c>
      <c r="M422">
        <v>79326834</v>
      </c>
      <c r="N422">
        <v>-728699015</v>
      </c>
      <c r="O422">
        <v>214425539</v>
      </c>
      <c r="P422">
        <v>267</v>
      </c>
      <c r="Q422" t="s">
        <v>890</v>
      </c>
    </row>
    <row r="423" spans="1:17" x14ac:dyDescent="0.3">
      <c r="A423" t="s">
        <v>17</v>
      </c>
      <c r="B423" t="str">
        <f>"600509"</f>
        <v>600509</v>
      </c>
      <c r="C423" t="s">
        <v>891</v>
      </c>
      <c r="D423" t="s">
        <v>41</v>
      </c>
      <c r="F423">
        <v>53044426</v>
      </c>
      <c r="G423">
        <v>762351923</v>
      </c>
      <c r="H423">
        <v>-272138016</v>
      </c>
      <c r="I423">
        <v>210954000</v>
      </c>
      <c r="J423">
        <v>241297035</v>
      </c>
      <c r="K423">
        <v>-2185614095</v>
      </c>
      <c r="L423">
        <v>-1535245420</v>
      </c>
      <c r="M423">
        <v>-754994102</v>
      </c>
      <c r="N423">
        <v>-829627068</v>
      </c>
      <c r="O423">
        <v>-532604166</v>
      </c>
      <c r="P423">
        <v>142</v>
      </c>
      <c r="Q423" t="s">
        <v>892</v>
      </c>
    </row>
    <row r="424" spans="1:17" x14ac:dyDescent="0.3">
      <c r="A424" t="s">
        <v>17</v>
      </c>
      <c r="B424" t="str">
        <f>"600510"</f>
        <v>600510</v>
      </c>
      <c r="C424" t="s">
        <v>893</v>
      </c>
      <c r="D424" t="s">
        <v>30</v>
      </c>
      <c r="F424">
        <v>-830700895</v>
      </c>
      <c r="G424">
        <v>-405698226</v>
      </c>
      <c r="H424">
        <v>3105478411</v>
      </c>
      <c r="I424">
        <v>2160293552</v>
      </c>
      <c r="J424">
        <v>1348949132</v>
      </c>
      <c r="K424">
        <v>201719824</v>
      </c>
      <c r="L424">
        <v>-637081865</v>
      </c>
      <c r="M424">
        <v>-1487470429</v>
      </c>
      <c r="N424">
        <v>-920921285</v>
      </c>
      <c r="O424">
        <v>-572510382</v>
      </c>
      <c r="P424">
        <v>240</v>
      </c>
      <c r="Q424" t="s">
        <v>894</v>
      </c>
    </row>
    <row r="425" spans="1:17" x14ac:dyDescent="0.3">
      <c r="A425" t="s">
        <v>17</v>
      </c>
      <c r="B425" t="str">
        <f>"600511"</f>
        <v>600511</v>
      </c>
      <c r="C425" t="s">
        <v>895</v>
      </c>
      <c r="D425" t="s">
        <v>113</v>
      </c>
      <c r="F425">
        <v>238221342</v>
      </c>
      <c r="G425">
        <v>386437094</v>
      </c>
      <c r="H425">
        <v>1018206853</v>
      </c>
      <c r="I425">
        <v>829633685</v>
      </c>
      <c r="J425">
        <v>-626330462</v>
      </c>
      <c r="K425">
        <v>254412025</v>
      </c>
      <c r="L425">
        <v>318508911</v>
      </c>
      <c r="M425">
        <v>211452198</v>
      </c>
      <c r="N425">
        <v>66672157</v>
      </c>
      <c r="O425">
        <v>8679329</v>
      </c>
      <c r="P425">
        <v>24746</v>
      </c>
      <c r="Q425" t="s">
        <v>896</v>
      </c>
    </row>
    <row r="426" spans="1:17" x14ac:dyDescent="0.3">
      <c r="A426" t="s">
        <v>17</v>
      </c>
      <c r="B426" t="str">
        <f>"600512"</f>
        <v>600512</v>
      </c>
      <c r="C426" t="s">
        <v>897</v>
      </c>
      <c r="D426" t="s">
        <v>95</v>
      </c>
      <c r="F426">
        <v>330531267</v>
      </c>
      <c r="G426">
        <v>445299531</v>
      </c>
      <c r="H426">
        <v>704163365</v>
      </c>
      <c r="I426">
        <v>-271414263</v>
      </c>
      <c r="J426">
        <v>-218469544</v>
      </c>
      <c r="K426">
        <v>105472518</v>
      </c>
      <c r="L426">
        <v>-85980724</v>
      </c>
      <c r="M426">
        <v>-359879153</v>
      </c>
      <c r="N426">
        <v>95575174</v>
      </c>
      <c r="O426">
        <v>-279350430</v>
      </c>
      <c r="P426">
        <v>161</v>
      </c>
      <c r="Q426" t="s">
        <v>898</v>
      </c>
    </row>
    <row r="427" spans="1:17" x14ac:dyDescent="0.3">
      <c r="A427" t="s">
        <v>17</v>
      </c>
      <c r="B427" t="str">
        <f>"600513"</f>
        <v>600513</v>
      </c>
      <c r="C427" t="s">
        <v>899</v>
      </c>
      <c r="D427" t="s">
        <v>113</v>
      </c>
      <c r="F427">
        <v>-118535872</v>
      </c>
      <c r="G427">
        <v>-27019815</v>
      </c>
      <c r="H427">
        <v>-160825694</v>
      </c>
      <c r="I427">
        <v>-96686675</v>
      </c>
      <c r="J427">
        <v>-10916933</v>
      </c>
      <c r="K427">
        <v>8114562</v>
      </c>
      <c r="L427">
        <v>19466465</v>
      </c>
      <c r="M427">
        <v>3192499</v>
      </c>
      <c r="N427">
        <v>-15728444</v>
      </c>
      <c r="O427">
        <v>2888038</v>
      </c>
      <c r="P427">
        <v>144</v>
      </c>
      <c r="Q427" t="s">
        <v>900</v>
      </c>
    </row>
    <row r="428" spans="1:17" x14ac:dyDescent="0.3">
      <c r="A428" t="s">
        <v>17</v>
      </c>
      <c r="B428" t="str">
        <f>"600515"</f>
        <v>600515</v>
      </c>
      <c r="C428" t="s">
        <v>901</v>
      </c>
      <c r="D428" t="s">
        <v>30</v>
      </c>
      <c r="F428">
        <v>572286969</v>
      </c>
      <c r="G428">
        <v>-2507785610</v>
      </c>
      <c r="H428">
        <v>638156398</v>
      </c>
      <c r="I428">
        <v>8077613930</v>
      </c>
      <c r="J428">
        <v>2622958289</v>
      </c>
      <c r="K428">
        <v>610830921</v>
      </c>
      <c r="L428">
        <v>69026620</v>
      </c>
      <c r="M428">
        <v>71116775</v>
      </c>
      <c r="N428">
        <v>15516351</v>
      </c>
      <c r="O428">
        <v>-415727355</v>
      </c>
      <c r="P428">
        <v>163</v>
      </c>
      <c r="Q428" t="s">
        <v>902</v>
      </c>
    </row>
    <row r="429" spans="1:17" x14ac:dyDescent="0.3">
      <c r="A429" t="s">
        <v>17</v>
      </c>
      <c r="B429" t="str">
        <f>"600516"</f>
        <v>600516</v>
      </c>
      <c r="C429" t="s">
        <v>903</v>
      </c>
      <c r="D429" t="s">
        <v>38</v>
      </c>
      <c r="F429">
        <v>355728390</v>
      </c>
      <c r="G429">
        <v>100721941</v>
      </c>
      <c r="H429">
        <v>3645265597</v>
      </c>
      <c r="I429">
        <v>4642620998</v>
      </c>
      <c r="J429">
        <v>1747424284</v>
      </c>
      <c r="K429">
        <v>312957904</v>
      </c>
      <c r="L429">
        <v>175146657</v>
      </c>
      <c r="M429">
        <v>-132564168</v>
      </c>
      <c r="N429">
        <v>-534532691</v>
      </c>
      <c r="O429">
        <v>270029963</v>
      </c>
      <c r="P429">
        <v>1177</v>
      </c>
      <c r="Q429" t="s">
        <v>904</v>
      </c>
    </row>
    <row r="430" spans="1:17" x14ac:dyDescent="0.3">
      <c r="A430" t="s">
        <v>17</v>
      </c>
      <c r="B430" t="str">
        <f>"600517"</f>
        <v>600517</v>
      </c>
      <c r="C430" t="s">
        <v>905</v>
      </c>
      <c r="D430" t="s">
        <v>188</v>
      </c>
      <c r="F430">
        <v>837619364</v>
      </c>
      <c r="G430">
        <v>-618777866</v>
      </c>
      <c r="H430">
        <v>-308906531</v>
      </c>
      <c r="I430">
        <v>-863141444</v>
      </c>
      <c r="J430">
        <v>-1346660844</v>
      </c>
      <c r="K430">
        <v>-345236004</v>
      </c>
      <c r="L430">
        <v>-416998635</v>
      </c>
      <c r="M430">
        <v>-563912709</v>
      </c>
      <c r="N430">
        <v>-269095338</v>
      </c>
      <c r="O430">
        <v>10629790</v>
      </c>
      <c r="P430">
        <v>246</v>
      </c>
      <c r="Q430" t="s">
        <v>906</v>
      </c>
    </row>
    <row r="431" spans="1:17" x14ac:dyDescent="0.3">
      <c r="A431" t="s">
        <v>17</v>
      </c>
      <c r="B431" t="str">
        <f>"600518"</f>
        <v>600518</v>
      </c>
      <c r="C431" t="s">
        <v>907</v>
      </c>
      <c r="D431" t="s">
        <v>113</v>
      </c>
      <c r="F431">
        <v>245955378</v>
      </c>
      <c r="G431">
        <v>1833618247</v>
      </c>
      <c r="H431">
        <v>2940952262</v>
      </c>
      <c r="I431">
        <v>-3207833342</v>
      </c>
      <c r="J431">
        <v>1435206474</v>
      </c>
      <c r="K431">
        <v>-1026002726</v>
      </c>
      <c r="L431">
        <v>237970519</v>
      </c>
      <c r="M431">
        <v>656492332</v>
      </c>
      <c r="N431">
        <v>810926402</v>
      </c>
      <c r="O431">
        <v>-399910153</v>
      </c>
      <c r="P431">
        <v>1483</v>
      </c>
      <c r="Q431" t="s">
        <v>908</v>
      </c>
    </row>
    <row r="432" spans="1:17" x14ac:dyDescent="0.3">
      <c r="A432" t="s">
        <v>17</v>
      </c>
      <c r="B432" t="str">
        <f>"600519"</f>
        <v>600519</v>
      </c>
      <c r="C432" t="s">
        <v>909</v>
      </c>
      <c r="D432" t="s">
        <v>123</v>
      </c>
      <c r="F432">
        <v>34500867570</v>
      </c>
      <c r="G432">
        <v>23495849956</v>
      </c>
      <c r="H432">
        <v>25287362591</v>
      </c>
      <c r="I432">
        <v>27204807989</v>
      </c>
      <c r="J432">
        <v>22029789194</v>
      </c>
      <c r="K432">
        <v>31760138527</v>
      </c>
      <c r="L432">
        <v>9612584436</v>
      </c>
      <c r="M432">
        <v>3982039110</v>
      </c>
      <c r="N432">
        <v>5300455007</v>
      </c>
      <c r="O432">
        <v>4519756333</v>
      </c>
      <c r="P432">
        <v>71986</v>
      </c>
      <c r="Q432" t="s">
        <v>910</v>
      </c>
    </row>
    <row r="433" spans="1:17" x14ac:dyDescent="0.3">
      <c r="A433" t="s">
        <v>17</v>
      </c>
      <c r="B433" t="str">
        <f>"600520"</f>
        <v>600520</v>
      </c>
      <c r="C433" t="s">
        <v>911</v>
      </c>
      <c r="D433" t="s">
        <v>78</v>
      </c>
      <c r="F433">
        <v>-1441075</v>
      </c>
      <c r="G433">
        <v>-15163176</v>
      </c>
      <c r="H433">
        <v>-14317947</v>
      </c>
      <c r="I433">
        <v>-34964561</v>
      </c>
      <c r="J433">
        <v>-31973397</v>
      </c>
      <c r="K433">
        <v>-9166830</v>
      </c>
      <c r="L433">
        <v>-93161694</v>
      </c>
      <c r="M433">
        <v>-94262592</v>
      </c>
      <c r="N433">
        <v>-71806046</v>
      </c>
      <c r="O433">
        <v>-25369031</v>
      </c>
      <c r="P433">
        <v>73</v>
      </c>
      <c r="Q433" t="s">
        <v>912</v>
      </c>
    </row>
    <row r="434" spans="1:17" x14ac:dyDescent="0.3">
      <c r="A434" t="s">
        <v>17</v>
      </c>
      <c r="B434" t="str">
        <f>"600521"</f>
        <v>600521</v>
      </c>
      <c r="C434" t="s">
        <v>913</v>
      </c>
      <c r="D434" t="s">
        <v>113</v>
      </c>
      <c r="F434">
        <v>-1001583139</v>
      </c>
      <c r="G434">
        <v>274254905</v>
      </c>
      <c r="H434">
        <v>681072804</v>
      </c>
      <c r="I434">
        <v>-766137726</v>
      </c>
      <c r="J434">
        <v>-285175461</v>
      </c>
      <c r="K434">
        <v>-227778800</v>
      </c>
      <c r="L434">
        <v>-307143519</v>
      </c>
      <c r="M434">
        <v>-181034282</v>
      </c>
      <c r="N434">
        <v>66686161</v>
      </c>
      <c r="O434">
        <v>-146180275</v>
      </c>
      <c r="P434">
        <v>964</v>
      </c>
      <c r="Q434" t="s">
        <v>914</v>
      </c>
    </row>
    <row r="435" spans="1:17" x14ac:dyDescent="0.3">
      <c r="A435" t="s">
        <v>17</v>
      </c>
      <c r="B435" t="str">
        <f>"600522"</f>
        <v>600522</v>
      </c>
      <c r="C435" t="s">
        <v>915</v>
      </c>
      <c r="D435" t="s">
        <v>100</v>
      </c>
      <c r="F435">
        <v>-2832415982</v>
      </c>
      <c r="G435">
        <v>-927494257</v>
      </c>
      <c r="H435">
        <v>-1633689925</v>
      </c>
      <c r="I435">
        <v>-2477289242</v>
      </c>
      <c r="J435">
        <v>-1636779645</v>
      </c>
      <c r="K435">
        <v>-888794811</v>
      </c>
      <c r="L435">
        <v>-316731993</v>
      </c>
      <c r="M435">
        <v>-496924177</v>
      </c>
      <c r="N435">
        <v>-351536071</v>
      </c>
      <c r="O435">
        <v>-542303628</v>
      </c>
      <c r="P435">
        <v>1221</v>
      </c>
      <c r="Q435" t="s">
        <v>916</v>
      </c>
    </row>
    <row r="436" spans="1:17" x14ac:dyDescent="0.3">
      <c r="A436" t="s">
        <v>17</v>
      </c>
      <c r="B436" t="str">
        <f>"600523"</f>
        <v>600523</v>
      </c>
      <c r="C436" t="s">
        <v>917</v>
      </c>
      <c r="D436" t="s">
        <v>27</v>
      </c>
      <c r="F436">
        <v>88327015</v>
      </c>
      <c r="G436">
        <v>11868267</v>
      </c>
      <c r="H436">
        <v>-57555179</v>
      </c>
      <c r="I436">
        <v>13895514</v>
      </c>
      <c r="J436">
        <v>125149148</v>
      </c>
      <c r="K436">
        <v>85923886</v>
      </c>
      <c r="L436">
        <v>23318271</v>
      </c>
      <c r="M436">
        <v>-132365134</v>
      </c>
      <c r="N436">
        <v>-118174439</v>
      </c>
      <c r="O436">
        <v>21126920</v>
      </c>
      <c r="P436">
        <v>96</v>
      </c>
      <c r="Q436" t="s">
        <v>918</v>
      </c>
    </row>
    <row r="437" spans="1:17" x14ac:dyDescent="0.3">
      <c r="A437" t="s">
        <v>17</v>
      </c>
      <c r="B437" t="str">
        <f>"600525"</f>
        <v>600525</v>
      </c>
      <c r="C437" t="s">
        <v>919</v>
      </c>
      <c r="D437" t="s">
        <v>188</v>
      </c>
      <c r="F437">
        <v>-199921109</v>
      </c>
      <c r="G437">
        <v>-191537295</v>
      </c>
      <c r="H437">
        <v>-131334418</v>
      </c>
      <c r="I437">
        <v>-367792650</v>
      </c>
      <c r="J437">
        <v>-670084152</v>
      </c>
      <c r="K437">
        <v>-335026344</v>
      </c>
      <c r="L437">
        <v>-143213503</v>
      </c>
      <c r="M437">
        <v>-233081450</v>
      </c>
      <c r="N437">
        <v>-44713864</v>
      </c>
      <c r="O437">
        <v>-121708845</v>
      </c>
      <c r="P437">
        <v>254</v>
      </c>
      <c r="Q437" t="s">
        <v>920</v>
      </c>
    </row>
    <row r="438" spans="1:17" x14ac:dyDescent="0.3">
      <c r="A438" t="s">
        <v>17</v>
      </c>
      <c r="B438" t="str">
        <f>"600526"</f>
        <v>600526</v>
      </c>
      <c r="C438" t="s">
        <v>921</v>
      </c>
      <c r="D438" t="s">
        <v>33</v>
      </c>
      <c r="F438">
        <v>-180911330</v>
      </c>
      <c r="G438">
        <v>-6901278</v>
      </c>
      <c r="H438">
        <v>-132012263</v>
      </c>
      <c r="I438">
        <v>-578557658</v>
      </c>
      <c r="J438">
        <v>-802744796</v>
      </c>
      <c r="K438">
        <v>-286948472</v>
      </c>
      <c r="L438">
        <v>-186188026</v>
      </c>
      <c r="M438">
        <v>-535276945</v>
      </c>
      <c r="N438">
        <v>-160134481</v>
      </c>
      <c r="O438">
        <v>791496</v>
      </c>
      <c r="P438">
        <v>114</v>
      </c>
      <c r="Q438" t="s">
        <v>922</v>
      </c>
    </row>
    <row r="439" spans="1:17" x14ac:dyDescent="0.3">
      <c r="A439" t="s">
        <v>17</v>
      </c>
      <c r="B439" t="str">
        <f>"600527"</f>
        <v>600527</v>
      </c>
      <c r="C439" t="s">
        <v>923</v>
      </c>
      <c r="D439" t="s">
        <v>227</v>
      </c>
      <c r="F439">
        <v>17871190</v>
      </c>
      <c r="G439">
        <v>4249471</v>
      </c>
      <c r="H439">
        <v>-72984345</v>
      </c>
      <c r="I439">
        <v>-22084884</v>
      </c>
      <c r="J439">
        <v>56034705</v>
      </c>
      <c r="K439">
        <v>-20371748</v>
      </c>
      <c r="L439">
        <v>41117263</v>
      </c>
      <c r="M439">
        <v>-94488511</v>
      </c>
      <c r="N439">
        <v>-51926545</v>
      </c>
      <c r="O439">
        <v>12465357</v>
      </c>
      <c r="P439">
        <v>112</v>
      </c>
      <c r="Q439" t="s">
        <v>924</v>
      </c>
    </row>
    <row r="440" spans="1:17" x14ac:dyDescent="0.3">
      <c r="A440" t="s">
        <v>17</v>
      </c>
      <c r="B440" t="str">
        <f>"600528"</f>
        <v>600528</v>
      </c>
      <c r="C440" t="s">
        <v>925</v>
      </c>
      <c r="D440" t="s">
        <v>78</v>
      </c>
      <c r="F440">
        <v>-2241293763</v>
      </c>
      <c r="G440">
        <v>-1358948521</v>
      </c>
      <c r="H440">
        <v>-703889598</v>
      </c>
      <c r="I440">
        <v>-1357553352</v>
      </c>
      <c r="J440">
        <v>-1077163593</v>
      </c>
      <c r="K440">
        <v>-920912824</v>
      </c>
      <c r="L440">
        <v>-7030212061</v>
      </c>
      <c r="M440">
        <v>-623934815</v>
      </c>
      <c r="N440">
        <v>-1907977533</v>
      </c>
      <c r="O440">
        <v>-2138018144</v>
      </c>
      <c r="P440">
        <v>253</v>
      </c>
      <c r="Q440" t="s">
        <v>926</v>
      </c>
    </row>
    <row r="441" spans="1:17" x14ac:dyDescent="0.3">
      <c r="A441" t="s">
        <v>17</v>
      </c>
      <c r="B441" t="str">
        <f>"600529"</f>
        <v>600529</v>
      </c>
      <c r="C441" t="s">
        <v>927</v>
      </c>
      <c r="D441" t="s">
        <v>113</v>
      </c>
      <c r="F441">
        <v>-185295022</v>
      </c>
      <c r="G441">
        <v>-99596326</v>
      </c>
      <c r="H441">
        <v>-85264245</v>
      </c>
      <c r="I441">
        <v>118227187</v>
      </c>
      <c r="J441">
        <v>121631615</v>
      </c>
      <c r="K441">
        <v>252891250</v>
      </c>
      <c r="L441">
        <v>226517254</v>
      </c>
      <c r="M441">
        <v>58431700</v>
      </c>
      <c r="N441">
        <v>54641039</v>
      </c>
      <c r="O441">
        <v>-118069258</v>
      </c>
      <c r="P441">
        <v>1047</v>
      </c>
      <c r="Q441" t="s">
        <v>928</v>
      </c>
    </row>
    <row r="442" spans="1:17" x14ac:dyDescent="0.3">
      <c r="A442" t="s">
        <v>17</v>
      </c>
      <c r="B442" t="str">
        <f>"600530"</f>
        <v>600530</v>
      </c>
      <c r="C442" t="s">
        <v>929</v>
      </c>
      <c r="D442" t="s">
        <v>123</v>
      </c>
      <c r="F442">
        <v>59764009</v>
      </c>
      <c r="G442">
        <v>31107566</v>
      </c>
      <c r="H442">
        <v>10435519</v>
      </c>
      <c r="I442">
        <v>-79368461</v>
      </c>
      <c r="J442">
        <v>-26902218</v>
      </c>
      <c r="K442">
        <v>9382074</v>
      </c>
      <c r="L442">
        <v>23918885</v>
      </c>
      <c r="M442">
        <v>-7402188</v>
      </c>
      <c r="N442">
        <v>-26377297</v>
      </c>
      <c r="O442">
        <v>20815446</v>
      </c>
      <c r="P442">
        <v>86</v>
      </c>
      <c r="Q442" t="s">
        <v>930</v>
      </c>
    </row>
    <row r="443" spans="1:17" x14ac:dyDescent="0.3">
      <c r="A443" t="s">
        <v>17</v>
      </c>
      <c r="B443" t="str">
        <f>"600531"</f>
        <v>600531</v>
      </c>
      <c r="C443" t="s">
        <v>931</v>
      </c>
      <c r="D443" t="s">
        <v>234</v>
      </c>
      <c r="F443">
        <v>-1759778703</v>
      </c>
      <c r="G443">
        <v>-1065617100</v>
      </c>
      <c r="H443">
        <v>620013691</v>
      </c>
      <c r="I443">
        <v>-650829882</v>
      </c>
      <c r="J443">
        <v>931904465</v>
      </c>
      <c r="K443">
        <v>-306573054</v>
      </c>
      <c r="L443">
        <v>742253809</v>
      </c>
      <c r="M443">
        <v>402006741</v>
      </c>
      <c r="N443">
        <v>-542405702</v>
      </c>
      <c r="O443">
        <v>591527181</v>
      </c>
      <c r="P443">
        <v>148</v>
      </c>
      <c r="Q443" t="s">
        <v>932</v>
      </c>
    </row>
    <row r="444" spans="1:17" x14ac:dyDescent="0.3">
      <c r="A444" t="s">
        <v>17</v>
      </c>
      <c r="B444" t="str">
        <f>"600532"</f>
        <v>600532</v>
      </c>
      <c r="C444" t="s">
        <v>933</v>
      </c>
      <c r="D444" t="s">
        <v>257</v>
      </c>
      <c r="F444">
        <v>505723195</v>
      </c>
      <c r="G444">
        <v>235236894</v>
      </c>
      <c r="H444">
        <v>89562338</v>
      </c>
      <c r="I444">
        <v>-887269063</v>
      </c>
      <c r="J444">
        <v>26207649</v>
      </c>
      <c r="K444">
        <v>90764720</v>
      </c>
      <c r="L444">
        <v>-15515784</v>
      </c>
      <c r="M444">
        <v>29859063</v>
      </c>
      <c r="N444">
        <v>-68863492</v>
      </c>
      <c r="O444">
        <v>48803997</v>
      </c>
      <c r="P444">
        <v>91</v>
      </c>
      <c r="Q444" t="s">
        <v>934</v>
      </c>
    </row>
    <row r="445" spans="1:17" x14ac:dyDescent="0.3">
      <c r="A445" t="s">
        <v>17</v>
      </c>
      <c r="B445" t="str">
        <f>"600533"</f>
        <v>600533</v>
      </c>
      <c r="C445" t="s">
        <v>935</v>
      </c>
      <c r="D445" t="s">
        <v>30</v>
      </c>
      <c r="F445">
        <v>2886764046</v>
      </c>
      <c r="G445">
        <v>279558660</v>
      </c>
      <c r="H445">
        <v>-1155179015</v>
      </c>
      <c r="I445">
        <v>988386214</v>
      </c>
      <c r="J445">
        <v>122458583</v>
      </c>
      <c r="K445">
        <v>-1740046475</v>
      </c>
      <c r="L445">
        <v>1213387990</v>
      </c>
      <c r="M445">
        <v>697464609</v>
      </c>
      <c r="N445">
        <v>-172821802</v>
      </c>
      <c r="O445">
        <v>-42186626</v>
      </c>
      <c r="P445">
        <v>199</v>
      </c>
      <c r="Q445" t="s">
        <v>936</v>
      </c>
    </row>
    <row r="446" spans="1:17" x14ac:dyDescent="0.3">
      <c r="A446" t="s">
        <v>17</v>
      </c>
      <c r="B446" t="str">
        <f>"600535"</f>
        <v>600535</v>
      </c>
      <c r="C446" t="s">
        <v>937</v>
      </c>
      <c r="D446" t="s">
        <v>113</v>
      </c>
      <c r="F446">
        <v>1783346232</v>
      </c>
      <c r="G446">
        <v>858850194</v>
      </c>
      <c r="H446">
        <v>836545283</v>
      </c>
      <c r="I446">
        <v>803232747</v>
      </c>
      <c r="J446">
        <v>-1433936860</v>
      </c>
      <c r="K446">
        <v>335678662</v>
      </c>
      <c r="L446">
        <v>-303266879</v>
      </c>
      <c r="M446">
        <v>-59657983</v>
      </c>
      <c r="N446">
        <v>-289709839</v>
      </c>
      <c r="O446">
        <v>145597719</v>
      </c>
      <c r="P446">
        <v>12549</v>
      </c>
      <c r="Q446" t="s">
        <v>938</v>
      </c>
    </row>
    <row r="447" spans="1:17" x14ac:dyDescent="0.3">
      <c r="A447" t="s">
        <v>17</v>
      </c>
      <c r="B447" t="str">
        <f>"600536"</f>
        <v>600536</v>
      </c>
      <c r="C447" t="s">
        <v>939</v>
      </c>
      <c r="D447" t="s">
        <v>212</v>
      </c>
      <c r="F447">
        <v>-1844335292</v>
      </c>
      <c r="G447">
        <v>-1179962231</v>
      </c>
      <c r="H447">
        <v>-613908032</v>
      </c>
      <c r="I447">
        <v>-569033468</v>
      </c>
      <c r="J447">
        <v>-797229273</v>
      </c>
      <c r="K447">
        <v>-1024675027</v>
      </c>
      <c r="L447">
        <v>-507514441</v>
      </c>
      <c r="M447">
        <v>-458855016</v>
      </c>
      <c r="N447">
        <v>-625422193</v>
      </c>
      <c r="O447">
        <v>-495316224</v>
      </c>
      <c r="P447">
        <v>623</v>
      </c>
      <c r="Q447" t="s">
        <v>940</v>
      </c>
    </row>
    <row r="448" spans="1:17" x14ac:dyDescent="0.3">
      <c r="A448" t="s">
        <v>17</v>
      </c>
      <c r="B448" t="str">
        <f>"600537"</f>
        <v>600537</v>
      </c>
      <c r="C448" t="s">
        <v>941</v>
      </c>
      <c r="D448" t="s">
        <v>188</v>
      </c>
      <c r="F448">
        <v>-1193822555</v>
      </c>
      <c r="G448">
        <v>-58543826</v>
      </c>
      <c r="H448">
        <v>-414175667</v>
      </c>
      <c r="I448">
        <v>44102817</v>
      </c>
      <c r="J448">
        <v>-577553261</v>
      </c>
      <c r="K448">
        <v>746500323</v>
      </c>
      <c r="L448">
        <v>-208237042</v>
      </c>
      <c r="M448">
        <v>-365029613</v>
      </c>
      <c r="N448">
        <v>222586438</v>
      </c>
      <c r="O448">
        <v>-534999277</v>
      </c>
      <c r="P448">
        <v>147</v>
      </c>
      <c r="Q448" t="s">
        <v>942</v>
      </c>
    </row>
    <row r="449" spans="1:17" x14ac:dyDescent="0.3">
      <c r="A449" t="s">
        <v>17</v>
      </c>
      <c r="B449" t="str">
        <f>"600538"</f>
        <v>600538</v>
      </c>
      <c r="C449" t="s">
        <v>943</v>
      </c>
      <c r="D449" t="s">
        <v>113</v>
      </c>
      <c r="F449">
        <v>-59967819</v>
      </c>
      <c r="G449">
        <v>2211829</v>
      </c>
      <c r="H449">
        <v>-10526511</v>
      </c>
      <c r="I449">
        <v>-52871066</v>
      </c>
      <c r="J449">
        <v>-14363556</v>
      </c>
      <c r="K449">
        <v>-39205749</v>
      </c>
      <c r="L449">
        <v>-41441121</v>
      </c>
      <c r="M449">
        <v>-58782858</v>
      </c>
      <c r="N449">
        <v>-23726501</v>
      </c>
      <c r="O449">
        <v>-25749213</v>
      </c>
      <c r="P449">
        <v>69</v>
      </c>
      <c r="Q449" t="s">
        <v>944</v>
      </c>
    </row>
    <row r="450" spans="1:17" x14ac:dyDescent="0.3">
      <c r="A450" t="s">
        <v>17</v>
      </c>
      <c r="B450" t="str">
        <f>"600539"</f>
        <v>600539</v>
      </c>
      <c r="C450" t="s">
        <v>945</v>
      </c>
      <c r="D450" t="s">
        <v>103</v>
      </c>
      <c r="F450">
        <v>-36805103</v>
      </c>
      <c r="G450">
        <v>-19572833</v>
      </c>
      <c r="H450">
        <v>4016424</v>
      </c>
      <c r="I450">
        <v>53175</v>
      </c>
      <c r="J450">
        <v>-20323610</v>
      </c>
      <c r="K450">
        <v>-22453558</v>
      </c>
      <c r="L450">
        <v>-10541942</v>
      </c>
      <c r="M450">
        <v>-202655162</v>
      </c>
      <c r="N450">
        <v>-261056496</v>
      </c>
      <c r="O450">
        <v>-171387870</v>
      </c>
      <c r="P450">
        <v>51</v>
      </c>
      <c r="Q450" t="s">
        <v>946</v>
      </c>
    </row>
    <row r="451" spans="1:17" x14ac:dyDescent="0.3">
      <c r="A451" t="s">
        <v>17</v>
      </c>
      <c r="B451" t="str">
        <f>"600540"</f>
        <v>600540</v>
      </c>
      <c r="C451" t="s">
        <v>947</v>
      </c>
      <c r="D451" t="s">
        <v>205</v>
      </c>
      <c r="F451">
        <v>434692268</v>
      </c>
      <c r="G451">
        <v>34409788</v>
      </c>
      <c r="H451">
        <v>114775722</v>
      </c>
      <c r="I451">
        <v>322200455</v>
      </c>
      <c r="J451">
        <v>20418965</v>
      </c>
      <c r="K451">
        <v>-3238971</v>
      </c>
      <c r="L451">
        <v>18408463</v>
      </c>
      <c r="M451">
        <v>48101253</v>
      </c>
      <c r="N451">
        <v>-176331760</v>
      </c>
      <c r="O451">
        <v>323893913</v>
      </c>
      <c r="P451">
        <v>97</v>
      </c>
      <c r="Q451" t="s">
        <v>948</v>
      </c>
    </row>
    <row r="452" spans="1:17" x14ac:dyDescent="0.3">
      <c r="A452" t="s">
        <v>17</v>
      </c>
      <c r="B452" t="str">
        <f>"600543"</f>
        <v>600543</v>
      </c>
      <c r="C452" t="s">
        <v>949</v>
      </c>
      <c r="D452" t="s">
        <v>123</v>
      </c>
      <c r="F452">
        <v>-28533151</v>
      </c>
      <c r="G452">
        <v>-63382285</v>
      </c>
      <c r="H452">
        <v>-12478116</v>
      </c>
      <c r="I452">
        <v>18322</v>
      </c>
      <c r="J452">
        <v>-161861991</v>
      </c>
      <c r="K452">
        <v>-26101635</v>
      </c>
      <c r="L452">
        <v>-78685654</v>
      </c>
      <c r="M452">
        <v>-48026162</v>
      </c>
      <c r="N452">
        <v>7878107</v>
      </c>
      <c r="O452">
        <v>31202679</v>
      </c>
      <c r="P452">
        <v>150</v>
      </c>
      <c r="Q452" t="s">
        <v>950</v>
      </c>
    </row>
    <row r="453" spans="1:17" x14ac:dyDescent="0.3">
      <c r="A453" t="s">
        <v>17</v>
      </c>
      <c r="B453" t="str">
        <f>"600545"</f>
        <v>600545</v>
      </c>
      <c r="C453" t="s">
        <v>951</v>
      </c>
      <c r="D453" t="s">
        <v>78</v>
      </c>
      <c r="F453">
        <v>-359118000</v>
      </c>
      <c r="G453">
        <v>-904747000</v>
      </c>
      <c r="H453">
        <v>-2204470000</v>
      </c>
      <c r="I453">
        <v>-2360290000</v>
      </c>
      <c r="J453">
        <v>438176000</v>
      </c>
      <c r="K453">
        <v>-326767715</v>
      </c>
      <c r="L453">
        <v>-530630439</v>
      </c>
      <c r="M453">
        <v>1097813563</v>
      </c>
      <c r="N453">
        <v>33025532</v>
      </c>
      <c r="O453">
        <v>-258245270</v>
      </c>
      <c r="P453">
        <v>134</v>
      </c>
      <c r="Q453" t="s">
        <v>952</v>
      </c>
    </row>
    <row r="454" spans="1:17" x14ac:dyDescent="0.3">
      <c r="A454" t="s">
        <v>17</v>
      </c>
      <c r="B454" t="str">
        <f>"600546"</f>
        <v>600546</v>
      </c>
      <c r="C454" t="s">
        <v>953</v>
      </c>
      <c r="D454" t="s">
        <v>257</v>
      </c>
      <c r="F454">
        <v>6470169289</v>
      </c>
      <c r="G454">
        <v>1691629644</v>
      </c>
      <c r="H454">
        <v>1068461635</v>
      </c>
      <c r="I454">
        <v>993429823</v>
      </c>
      <c r="J454">
        <v>309763565</v>
      </c>
      <c r="K454">
        <v>637479969</v>
      </c>
      <c r="L454">
        <v>-620674036</v>
      </c>
      <c r="M454">
        <v>104270645</v>
      </c>
      <c r="N454">
        <v>-1285426105</v>
      </c>
      <c r="O454">
        <v>-3331433006</v>
      </c>
      <c r="P454">
        <v>357</v>
      </c>
      <c r="Q454" t="s">
        <v>954</v>
      </c>
    </row>
    <row r="455" spans="1:17" x14ac:dyDescent="0.3">
      <c r="A455" t="s">
        <v>17</v>
      </c>
      <c r="B455" t="str">
        <f>"600547"</f>
        <v>600547</v>
      </c>
      <c r="C455" t="s">
        <v>955</v>
      </c>
      <c r="D455" t="s">
        <v>234</v>
      </c>
      <c r="F455">
        <v>-1566492061</v>
      </c>
      <c r="G455">
        <v>172136003</v>
      </c>
      <c r="H455">
        <v>804214802</v>
      </c>
      <c r="I455">
        <v>-302948424</v>
      </c>
      <c r="J455">
        <v>-1197622037</v>
      </c>
      <c r="K455">
        <v>421940198</v>
      </c>
      <c r="L455">
        <v>3346039</v>
      </c>
      <c r="M455">
        <v>161646993</v>
      </c>
      <c r="N455">
        <v>747930048</v>
      </c>
      <c r="O455">
        <v>677449746</v>
      </c>
      <c r="P455">
        <v>942</v>
      </c>
      <c r="Q455" t="s">
        <v>956</v>
      </c>
    </row>
    <row r="456" spans="1:17" x14ac:dyDescent="0.3">
      <c r="A456" t="s">
        <v>17</v>
      </c>
      <c r="B456" t="str">
        <f>"600548"</f>
        <v>600548</v>
      </c>
      <c r="C456" t="s">
        <v>957</v>
      </c>
      <c r="D456" t="s">
        <v>22</v>
      </c>
      <c r="F456">
        <v>-20301919</v>
      </c>
      <c r="G456">
        <v>-1812754756</v>
      </c>
      <c r="H456">
        <v>1185835157</v>
      </c>
      <c r="I456">
        <v>1699934802</v>
      </c>
      <c r="J456">
        <v>1627514374</v>
      </c>
      <c r="K456">
        <v>1419497081</v>
      </c>
      <c r="L456">
        <v>2685784833</v>
      </c>
      <c r="M456">
        <v>2073562718</v>
      </c>
      <c r="N456">
        <v>757156895</v>
      </c>
      <c r="O456">
        <v>750268828</v>
      </c>
      <c r="P456">
        <v>793</v>
      </c>
      <c r="Q456" t="s">
        <v>958</v>
      </c>
    </row>
    <row r="457" spans="1:17" x14ac:dyDescent="0.3">
      <c r="A457" t="s">
        <v>17</v>
      </c>
      <c r="B457" t="str">
        <f>"600549"</f>
        <v>600549</v>
      </c>
      <c r="C457" t="s">
        <v>959</v>
      </c>
      <c r="D457" t="s">
        <v>234</v>
      </c>
      <c r="F457">
        <v>659529198</v>
      </c>
      <c r="G457">
        <v>978002158</v>
      </c>
      <c r="H457">
        <v>39261385</v>
      </c>
      <c r="I457">
        <v>-1736970970</v>
      </c>
      <c r="J457">
        <v>-1342550986</v>
      </c>
      <c r="K457">
        <v>776985329</v>
      </c>
      <c r="L457">
        <v>-922159760</v>
      </c>
      <c r="M457">
        <v>-1347256281</v>
      </c>
      <c r="N457">
        <v>966852681</v>
      </c>
      <c r="O457">
        <v>762775337</v>
      </c>
      <c r="P457">
        <v>446</v>
      </c>
      <c r="Q457" t="s">
        <v>960</v>
      </c>
    </row>
    <row r="458" spans="1:17" x14ac:dyDescent="0.3">
      <c r="A458" t="s">
        <v>17</v>
      </c>
      <c r="B458" t="str">
        <f>"600550"</f>
        <v>600550</v>
      </c>
      <c r="C458" t="s">
        <v>961</v>
      </c>
      <c r="D458" t="s">
        <v>188</v>
      </c>
      <c r="F458">
        <v>-397991278</v>
      </c>
      <c r="G458">
        <v>-166511933</v>
      </c>
      <c r="H458">
        <v>67591722</v>
      </c>
      <c r="I458">
        <v>-6463831</v>
      </c>
      <c r="J458">
        <v>6609443</v>
      </c>
      <c r="K458">
        <v>160438174</v>
      </c>
      <c r="L458">
        <v>-374502205</v>
      </c>
      <c r="M458">
        <v>460692017</v>
      </c>
      <c r="N458">
        <v>106729448</v>
      </c>
      <c r="O458">
        <v>-325106328</v>
      </c>
      <c r="P458">
        <v>183</v>
      </c>
      <c r="Q458" t="s">
        <v>962</v>
      </c>
    </row>
    <row r="459" spans="1:17" x14ac:dyDescent="0.3">
      <c r="A459" t="s">
        <v>17</v>
      </c>
      <c r="B459" t="str">
        <f>"600551"</f>
        <v>600551</v>
      </c>
      <c r="C459" t="s">
        <v>963</v>
      </c>
      <c r="D459" t="s">
        <v>89</v>
      </c>
      <c r="F459">
        <v>-465821232</v>
      </c>
      <c r="G459">
        <v>-210709582</v>
      </c>
      <c r="H459">
        <v>-157052165</v>
      </c>
      <c r="I459">
        <v>-392671491</v>
      </c>
      <c r="J459">
        <v>-903195901</v>
      </c>
      <c r="K459">
        <v>-436198106</v>
      </c>
      <c r="L459">
        <v>-131399365</v>
      </c>
      <c r="M459">
        <v>-9601789</v>
      </c>
      <c r="N459">
        <v>-205760343</v>
      </c>
      <c r="O459">
        <v>-157768113</v>
      </c>
      <c r="P459">
        <v>134</v>
      </c>
      <c r="Q459" t="s">
        <v>964</v>
      </c>
    </row>
    <row r="460" spans="1:17" x14ac:dyDescent="0.3">
      <c r="A460" t="s">
        <v>17</v>
      </c>
      <c r="B460" t="str">
        <f>"600552"</f>
        <v>600552</v>
      </c>
      <c r="C460" t="s">
        <v>965</v>
      </c>
      <c r="D460" t="s">
        <v>150</v>
      </c>
      <c r="F460">
        <v>-11430659</v>
      </c>
      <c r="G460">
        <v>-184387758</v>
      </c>
      <c r="H460">
        <v>-122180657</v>
      </c>
      <c r="I460">
        <v>-98137509</v>
      </c>
      <c r="J460">
        <v>-57945331</v>
      </c>
      <c r="K460">
        <v>-213975910</v>
      </c>
      <c r="L460">
        <v>-194909742</v>
      </c>
      <c r="M460">
        <v>-292672416</v>
      </c>
      <c r="N460">
        <v>-182026546</v>
      </c>
      <c r="O460">
        <v>37666826</v>
      </c>
      <c r="P460">
        <v>170</v>
      </c>
      <c r="Q460" t="s">
        <v>966</v>
      </c>
    </row>
    <row r="461" spans="1:17" x14ac:dyDescent="0.3">
      <c r="A461" t="s">
        <v>17</v>
      </c>
      <c r="B461" t="str">
        <f>"600555"</f>
        <v>600555</v>
      </c>
      <c r="C461" t="s">
        <v>967</v>
      </c>
      <c r="D461" t="s">
        <v>110</v>
      </c>
      <c r="F461">
        <v>-20123813</v>
      </c>
      <c r="G461">
        <v>-14686149</v>
      </c>
      <c r="H461">
        <v>-26893321</v>
      </c>
      <c r="I461">
        <v>-159645300</v>
      </c>
      <c r="J461">
        <v>54578961</v>
      </c>
      <c r="K461">
        <v>-81926413</v>
      </c>
      <c r="L461">
        <v>-226869440</v>
      </c>
      <c r="M461">
        <v>-89987242</v>
      </c>
      <c r="N461">
        <v>-29277891</v>
      </c>
      <c r="O461">
        <v>-388481061</v>
      </c>
      <c r="P461">
        <v>76</v>
      </c>
      <c r="Q461" t="s">
        <v>968</v>
      </c>
    </row>
    <row r="462" spans="1:17" x14ac:dyDescent="0.3">
      <c r="A462" t="s">
        <v>17</v>
      </c>
      <c r="B462" t="str">
        <f>"600556"</f>
        <v>600556</v>
      </c>
      <c r="C462" t="s">
        <v>969</v>
      </c>
      <c r="D462" t="s">
        <v>89</v>
      </c>
      <c r="F462">
        <v>-492901936</v>
      </c>
      <c r="G462">
        <v>-336220742</v>
      </c>
      <c r="H462">
        <v>-12257103</v>
      </c>
      <c r="I462">
        <v>-28397785</v>
      </c>
      <c r="J462">
        <v>11155428</v>
      </c>
      <c r="K462">
        <v>-33188619</v>
      </c>
      <c r="L462">
        <v>-70137461</v>
      </c>
      <c r="M462">
        <v>-711772</v>
      </c>
      <c r="N462">
        <v>-3549321</v>
      </c>
      <c r="O462">
        <v>1636497</v>
      </c>
      <c r="P462">
        <v>219</v>
      </c>
      <c r="Q462" t="s">
        <v>970</v>
      </c>
    </row>
    <row r="463" spans="1:17" x14ac:dyDescent="0.3">
      <c r="A463" t="s">
        <v>17</v>
      </c>
      <c r="B463" t="str">
        <f>"600557"</f>
        <v>600557</v>
      </c>
      <c r="C463" t="s">
        <v>971</v>
      </c>
      <c r="D463" t="s">
        <v>113</v>
      </c>
      <c r="F463">
        <v>578159486</v>
      </c>
      <c r="G463">
        <v>440547073</v>
      </c>
      <c r="H463">
        <v>498249172</v>
      </c>
      <c r="I463">
        <v>236666445</v>
      </c>
      <c r="J463">
        <v>100881527</v>
      </c>
      <c r="K463">
        <v>-53123117</v>
      </c>
      <c r="L463">
        <v>28663779</v>
      </c>
      <c r="M463">
        <v>-9655365</v>
      </c>
      <c r="N463">
        <v>23141967</v>
      </c>
      <c r="O463">
        <v>-43394470</v>
      </c>
      <c r="P463">
        <v>429</v>
      </c>
      <c r="Q463" t="s">
        <v>972</v>
      </c>
    </row>
    <row r="464" spans="1:17" x14ac:dyDescent="0.3">
      <c r="A464" t="s">
        <v>17</v>
      </c>
      <c r="B464" t="str">
        <f>"600558"</f>
        <v>600558</v>
      </c>
      <c r="C464" t="s">
        <v>973</v>
      </c>
      <c r="D464" t="s">
        <v>78</v>
      </c>
      <c r="F464">
        <v>23264895</v>
      </c>
      <c r="G464">
        <v>4509910</v>
      </c>
      <c r="H464">
        <v>-14122174</v>
      </c>
      <c r="I464">
        <v>22488551</v>
      </c>
      <c r="J464">
        <v>-210850781</v>
      </c>
      <c r="K464">
        <v>-30709048</v>
      </c>
      <c r="L464">
        <v>-100593907</v>
      </c>
      <c r="M464">
        <v>-77056581</v>
      </c>
      <c r="N464">
        <v>-68819245</v>
      </c>
      <c r="O464">
        <v>29627461</v>
      </c>
      <c r="P464">
        <v>72</v>
      </c>
      <c r="Q464" t="s">
        <v>974</v>
      </c>
    </row>
    <row r="465" spans="1:17" x14ac:dyDescent="0.3">
      <c r="A465" t="s">
        <v>17</v>
      </c>
      <c r="B465" t="str">
        <f>"600559"</f>
        <v>600559</v>
      </c>
      <c r="C465" t="s">
        <v>975</v>
      </c>
      <c r="D465" t="s">
        <v>123</v>
      </c>
      <c r="F465">
        <v>714736182</v>
      </c>
      <c r="G465">
        <v>264771058</v>
      </c>
      <c r="H465">
        <v>-146500996</v>
      </c>
      <c r="I465">
        <v>355007278</v>
      </c>
      <c r="J465">
        <v>-214347246</v>
      </c>
      <c r="K465">
        <v>448990542</v>
      </c>
      <c r="L465">
        <v>167703433</v>
      </c>
      <c r="M465">
        <v>125280257</v>
      </c>
      <c r="N465">
        <v>-83121659</v>
      </c>
      <c r="O465">
        <v>-114390052</v>
      </c>
      <c r="P465">
        <v>881</v>
      </c>
      <c r="Q465" t="s">
        <v>976</v>
      </c>
    </row>
    <row r="466" spans="1:17" x14ac:dyDescent="0.3">
      <c r="A466" t="s">
        <v>17</v>
      </c>
      <c r="B466" t="str">
        <f>"600560"</f>
        <v>600560</v>
      </c>
      <c r="C466" t="s">
        <v>977</v>
      </c>
      <c r="D466" t="s">
        <v>78</v>
      </c>
      <c r="F466">
        <v>119809092</v>
      </c>
      <c r="G466">
        <v>-8933006</v>
      </c>
      <c r="H466">
        <v>-6930207</v>
      </c>
      <c r="I466">
        <v>38779519</v>
      </c>
      <c r="J466">
        <v>-9015827</v>
      </c>
      <c r="K466">
        <v>-61369975</v>
      </c>
      <c r="L466">
        <v>38971829</v>
      </c>
      <c r="M466">
        <v>-117978790</v>
      </c>
      <c r="N466">
        <v>76388071</v>
      </c>
      <c r="O466">
        <v>111737336</v>
      </c>
      <c r="P466">
        <v>78</v>
      </c>
      <c r="Q466" t="s">
        <v>978</v>
      </c>
    </row>
    <row r="467" spans="1:17" x14ac:dyDescent="0.3">
      <c r="A467" t="s">
        <v>17</v>
      </c>
      <c r="B467" t="str">
        <f>"600561"</f>
        <v>600561</v>
      </c>
      <c r="C467" t="s">
        <v>979</v>
      </c>
      <c r="D467" t="s">
        <v>22</v>
      </c>
      <c r="F467">
        <v>88840635</v>
      </c>
      <c r="G467">
        <v>-84564672</v>
      </c>
      <c r="H467">
        <v>105557111</v>
      </c>
      <c r="I467">
        <v>1220144</v>
      </c>
      <c r="J467">
        <v>-35209031</v>
      </c>
      <c r="K467">
        <v>121686980</v>
      </c>
      <c r="L467">
        <v>-293098111</v>
      </c>
      <c r="M467">
        <v>30029578</v>
      </c>
      <c r="N467">
        <v>-9816858</v>
      </c>
      <c r="O467">
        <v>-106947796</v>
      </c>
      <c r="P467">
        <v>59</v>
      </c>
      <c r="Q467" t="s">
        <v>980</v>
      </c>
    </row>
    <row r="468" spans="1:17" x14ac:dyDescent="0.3">
      <c r="A468" t="s">
        <v>17</v>
      </c>
      <c r="B468" t="str">
        <f>"600562"</f>
        <v>600562</v>
      </c>
      <c r="C468" t="s">
        <v>981</v>
      </c>
      <c r="D468" t="s">
        <v>92</v>
      </c>
      <c r="F468">
        <v>-30346303</v>
      </c>
      <c r="G468">
        <v>-7271712</v>
      </c>
      <c r="H468">
        <v>-268906891</v>
      </c>
      <c r="I468">
        <v>-229392413</v>
      </c>
      <c r="J468">
        <v>16200089</v>
      </c>
      <c r="K468">
        <v>-134538882</v>
      </c>
      <c r="L468">
        <v>-95772863</v>
      </c>
      <c r="M468">
        <v>-92819076</v>
      </c>
      <c r="N468">
        <v>-35574905</v>
      </c>
      <c r="O468">
        <v>-9813150</v>
      </c>
      <c r="P468">
        <v>283</v>
      </c>
      <c r="Q468" t="s">
        <v>982</v>
      </c>
    </row>
    <row r="469" spans="1:17" x14ac:dyDescent="0.3">
      <c r="A469" t="s">
        <v>17</v>
      </c>
      <c r="B469" t="str">
        <f>"600563"</f>
        <v>600563</v>
      </c>
      <c r="C469" t="s">
        <v>983</v>
      </c>
      <c r="D469" t="s">
        <v>150</v>
      </c>
      <c r="F469">
        <v>337586608</v>
      </c>
      <c r="G469">
        <v>162808015</v>
      </c>
      <c r="H469">
        <v>464702817</v>
      </c>
      <c r="I469">
        <v>308429660</v>
      </c>
      <c r="J469">
        <v>161623058</v>
      </c>
      <c r="K469">
        <v>222074920</v>
      </c>
      <c r="L469">
        <v>200330073</v>
      </c>
      <c r="M469">
        <v>99676751</v>
      </c>
      <c r="N469">
        <v>174765343</v>
      </c>
      <c r="O469">
        <v>205859879</v>
      </c>
      <c r="P469">
        <v>21659</v>
      </c>
      <c r="Q469" t="s">
        <v>984</v>
      </c>
    </row>
    <row r="470" spans="1:17" x14ac:dyDescent="0.3">
      <c r="A470" t="s">
        <v>17</v>
      </c>
      <c r="B470" t="str">
        <f>"600565"</f>
        <v>600565</v>
      </c>
      <c r="C470" t="s">
        <v>985</v>
      </c>
      <c r="D470" t="s">
        <v>30</v>
      </c>
      <c r="F470">
        <v>-5382579561</v>
      </c>
      <c r="G470">
        <v>-1687810403</v>
      </c>
      <c r="H470">
        <v>-1926230768</v>
      </c>
      <c r="I470">
        <v>3622129264</v>
      </c>
      <c r="J470">
        <v>720402102</v>
      </c>
      <c r="K470">
        <v>-1951581380</v>
      </c>
      <c r="L470">
        <v>-1225037094</v>
      </c>
      <c r="M470">
        <v>101216788</v>
      </c>
      <c r="N470">
        <v>-559137306</v>
      </c>
      <c r="O470">
        <v>468393690</v>
      </c>
      <c r="P470">
        <v>468</v>
      </c>
      <c r="Q470" t="s">
        <v>986</v>
      </c>
    </row>
    <row r="471" spans="1:17" x14ac:dyDescent="0.3">
      <c r="A471" t="s">
        <v>17</v>
      </c>
      <c r="B471" t="str">
        <f>"600566"</f>
        <v>600566</v>
      </c>
      <c r="C471" t="s">
        <v>987</v>
      </c>
      <c r="D471" t="s">
        <v>113</v>
      </c>
      <c r="F471">
        <v>1408883254</v>
      </c>
      <c r="G471">
        <v>1089828110</v>
      </c>
      <c r="H471">
        <v>1386361772</v>
      </c>
      <c r="I471">
        <v>975514408</v>
      </c>
      <c r="J471">
        <v>474406302</v>
      </c>
      <c r="K471">
        <v>463343732</v>
      </c>
      <c r="L471">
        <v>249188056</v>
      </c>
      <c r="M471">
        <v>246140890</v>
      </c>
      <c r="N471">
        <v>58384227</v>
      </c>
      <c r="O471">
        <v>-15255797</v>
      </c>
      <c r="P471">
        <v>13805</v>
      </c>
      <c r="Q471" t="s">
        <v>988</v>
      </c>
    </row>
    <row r="472" spans="1:17" x14ac:dyDescent="0.3">
      <c r="A472" t="s">
        <v>17</v>
      </c>
      <c r="B472" t="str">
        <f>"600567"</f>
        <v>600567</v>
      </c>
      <c r="C472" t="s">
        <v>989</v>
      </c>
      <c r="D472" t="s">
        <v>161</v>
      </c>
      <c r="F472">
        <v>-380244418</v>
      </c>
      <c r="G472">
        <v>-557638009</v>
      </c>
      <c r="H472">
        <v>346162076</v>
      </c>
      <c r="I472">
        <v>2202242139</v>
      </c>
      <c r="J472">
        <v>285622130</v>
      </c>
      <c r="K472">
        <v>-166830480</v>
      </c>
      <c r="L472">
        <v>2079770</v>
      </c>
      <c r="M472">
        <v>-273665979</v>
      </c>
      <c r="N472">
        <v>-582012294</v>
      </c>
      <c r="O472">
        <v>6141193</v>
      </c>
      <c r="P472">
        <v>593</v>
      </c>
      <c r="Q472" t="s">
        <v>990</v>
      </c>
    </row>
    <row r="473" spans="1:17" x14ac:dyDescent="0.3">
      <c r="A473" t="s">
        <v>17</v>
      </c>
      <c r="B473" t="str">
        <f>"600568"</f>
        <v>600568</v>
      </c>
      <c r="C473" t="s">
        <v>991</v>
      </c>
      <c r="D473" t="s">
        <v>113</v>
      </c>
      <c r="F473">
        <v>43180515</v>
      </c>
      <c r="G473">
        <v>112003219</v>
      </c>
      <c r="H473">
        <v>-172856481</v>
      </c>
      <c r="I473">
        <v>-355354967</v>
      </c>
      <c r="J473">
        <v>-429973582</v>
      </c>
      <c r="K473">
        <v>208805101</v>
      </c>
      <c r="L473">
        <v>173184429</v>
      </c>
      <c r="M473">
        <v>-72602518</v>
      </c>
      <c r="N473">
        <v>14368523</v>
      </c>
      <c r="O473">
        <v>10107484</v>
      </c>
      <c r="P473">
        <v>98</v>
      </c>
      <c r="Q473" t="s">
        <v>992</v>
      </c>
    </row>
    <row r="474" spans="1:17" x14ac:dyDescent="0.3">
      <c r="A474" t="s">
        <v>17</v>
      </c>
      <c r="B474" t="str">
        <f>"600569"</f>
        <v>600569</v>
      </c>
      <c r="C474" t="s">
        <v>993</v>
      </c>
      <c r="D474" t="s">
        <v>38</v>
      </c>
      <c r="F474">
        <v>213020905</v>
      </c>
      <c r="G474">
        <v>-470092622</v>
      </c>
      <c r="H474">
        <v>-115669139</v>
      </c>
      <c r="I474">
        <v>3221999541</v>
      </c>
      <c r="J474">
        <v>2416882099</v>
      </c>
      <c r="K474">
        <v>1705797972</v>
      </c>
      <c r="L474">
        <v>1480474331</v>
      </c>
      <c r="M474">
        <v>4419877891</v>
      </c>
      <c r="N474">
        <v>384116256</v>
      </c>
      <c r="O474">
        <v>-357192313</v>
      </c>
      <c r="P474">
        <v>328</v>
      </c>
      <c r="Q474" t="s">
        <v>994</v>
      </c>
    </row>
    <row r="475" spans="1:17" x14ac:dyDescent="0.3">
      <c r="A475" t="s">
        <v>17</v>
      </c>
      <c r="B475" t="str">
        <f>"600570"</f>
        <v>600570</v>
      </c>
      <c r="C475" t="s">
        <v>995</v>
      </c>
      <c r="D475" t="s">
        <v>212</v>
      </c>
      <c r="F475">
        <v>-1031631386</v>
      </c>
      <c r="G475">
        <v>-435515994</v>
      </c>
      <c r="H475">
        <v>-285043800</v>
      </c>
      <c r="I475">
        <v>-223411216</v>
      </c>
      <c r="J475">
        <v>-108911711</v>
      </c>
      <c r="K475">
        <v>-368880920</v>
      </c>
      <c r="L475">
        <v>221723341</v>
      </c>
      <c r="M475">
        <v>-191556124</v>
      </c>
      <c r="N475">
        <v>-128520216</v>
      </c>
      <c r="O475">
        <v>-109497660</v>
      </c>
      <c r="P475">
        <v>2780</v>
      </c>
      <c r="Q475" t="s">
        <v>996</v>
      </c>
    </row>
    <row r="476" spans="1:17" x14ac:dyDescent="0.3">
      <c r="A476" t="s">
        <v>17</v>
      </c>
      <c r="B476" t="str">
        <f>"600571"</f>
        <v>600571</v>
      </c>
      <c r="C476" t="s">
        <v>997</v>
      </c>
      <c r="D476" t="s">
        <v>212</v>
      </c>
      <c r="F476">
        <v>-155042251</v>
      </c>
      <c r="G476">
        <v>-211419467</v>
      </c>
      <c r="H476">
        <v>-325843998</v>
      </c>
      <c r="I476">
        <v>-324406123</v>
      </c>
      <c r="J476">
        <v>-286858621</v>
      </c>
      <c r="K476">
        <v>-166172121</v>
      </c>
      <c r="L476">
        <v>-206170461</v>
      </c>
      <c r="M476">
        <v>-126803344</v>
      </c>
      <c r="N476">
        <v>-218188055</v>
      </c>
      <c r="O476">
        <v>-148932642</v>
      </c>
      <c r="P476">
        <v>155</v>
      </c>
      <c r="Q476" t="s">
        <v>998</v>
      </c>
    </row>
    <row r="477" spans="1:17" x14ac:dyDescent="0.3">
      <c r="A477" t="s">
        <v>17</v>
      </c>
      <c r="B477" t="str">
        <f>"600572"</f>
        <v>600572</v>
      </c>
      <c r="C477" t="s">
        <v>999</v>
      </c>
      <c r="D477" t="s">
        <v>113</v>
      </c>
      <c r="F477">
        <v>232003269</v>
      </c>
      <c r="G477">
        <v>335292511</v>
      </c>
      <c r="H477">
        <v>601594934</v>
      </c>
      <c r="I477">
        <v>41098008</v>
      </c>
      <c r="J477">
        <v>336682898</v>
      </c>
      <c r="K477">
        <v>515667913</v>
      </c>
      <c r="L477">
        <v>175219963</v>
      </c>
      <c r="M477">
        <v>109940026</v>
      </c>
      <c r="N477">
        <v>-231510285</v>
      </c>
      <c r="O477">
        <v>-22582056</v>
      </c>
      <c r="P477">
        <v>467</v>
      </c>
      <c r="Q477" t="s">
        <v>1000</v>
      </c>
    </row>
    <row r="478" spans="1:17" x14ac:dyDescent="0.3">
      <c r="A478" t="s">
        <v>17</v>
      </c>
      <c r="B478" t="str">
        <f>"600573"</f>
        <v>600573</v>
      </c>
      <c r="C478" t="s">
        <v>1001</v>
      </c>
      <c r="D478" t="s">
        <v>123</v>
      </c>
      <c r="F478">
        <v>136206916</v>
      </c>
      <c r="G478">
        <v>161781955</v>
      </c>
      <c r="H478">
        <v>83689136</v>
      </c>
      <c r="I478">
        <v>61294633</v>
      </c>
      <c r="J478">
        <v>144842892</v>
      </c>
      <c r="K478">
        <v>56865393</v>
      </c>
      <c r="L478">
        <v>92710833</v>
      </c>
      <c r="M478">
        <v>150216170</v>
      </c>
      <c r="N478">
        <v>126438330</v>
      </c>
      <c r="O478">
        <v>47142957</v>
      </c>
      <c r="P478">
        <v>191</v>
      </c>
      <c r="Q478" t="s">
        <v>1002</v>
      </c>
    </row>
    <row r="479" spans="1:17" x14ac:dyDescent="0.3">
      <c r="A479" t="s">
        <v>17</v>
      </c>
      <c r="B479" t="str">
        <f>"600575"</f>
        <v>600575</v>
      </c>
      <c r="C479" t="s">
        <v>1003</v>
      </c>
      <c r="D479" t="s">
        <v>22</v>
      </c>
      <c r="F479">
        <v>570064441</v>
      </c>
      <c r="G479">
        <v>522198000</v>
      </c>
      <c r="H479">
        <v>954605449</v>
      </c>
      <c r="I479">
        <v>872497863</v>
      </c>
      <c r="J479">
        <v>330648183</v>
      </c>
      <c r="K479">
        <v>870460728</v>
      </c>
      <c r="L479">
        <v>174609270</v>
      </c>
      <c r="M479">
        <v>-554058649</v>
      </c>
      <c r="N479">
        <v>885156974</v>
      </c>
      <c r="O479">
        <v>-1656075761</v>
      </c>
      <c r="P479">
        <v>118</v>
      </c>
      <c r="Q479" t="s">
        <v>1004</v>
      </c>
    </row>
    <row r="480" spans="1:17" x14ac:dyDescent="0.3">
      <c r="A480" t="s">
        <v>17</v>
      </c>
      <c r="B480" t="str">
        <f>"600576"</f>
        <v>600576</v>
      </c>
      <c r="C480" t="s">
        <v>1005</v>
      </c>
      <c r="D480" t="s">
        <v>89</v>
      </c>
      <c r="F480">
        <v>-27992158</v>
      </c>
      <c r="G480">
        <v>58366061</v>
      </c>
      <c r="H480">
        <v>-345840452</v>
      </c>
      <c r="I480">
        <v>-286529483</v>
      </c>
      <c r="J480">
        <v>-49135520</v>
      </c>
      <c r="K480">
        <v>-17070587</v>
      </c>
      <c r="L480">
        <v>898762</v>
      </c>
      <c r="M480">
        <v>-24127221</v>
      </c>
      <c r="N480">
        <v>-135790536</v>
      </c>
      <c r="O480">
        <v>-70186700</v>
      </c>
      <c r="P480">
        <v>85</v>
      </c>
      <c r="Q480" t="s">
        <v>1006</v>
      </c>
    </row>
    <row r="481" spans="1:17" x14ac:dyDescent="0.3">
      <c r="A481" t="s">
        <v>17</v>
      </c>
      <c r="B481" t="str">
        <f>"600577"</f>
        <v>600577</v>
      </c>
      <c r="C481" t="s">
        <v>1007</v>
      </c>
      <c r="D481" t="s">
        <v>188</v>
      </c>
      <c r="F481">
        <v>-897502793</v>
      </c>
      <c r="G481">
        <v>481027493</v>
      </c>
      <c r="H481">
        <v>225007237</v>
      </c>
      <c r="I481">
        <v>281972257</v>
      </c>
      <c r="J481">
        <v>-469502330</v>
      </c>
      <c r="K481">
        <v>362744193</v>
      </c>
      <c r="L481">
        <v>677461799</v>
      </c>
      <c r="M481">
        <v>677110027</v>
      </c>
      <c r="N481">
        <v>90989604</v>
      </c>
      <c r="O481">
        <v>584465556</v>
      </c>
      <c r="P481">
        <v>248</v>
      </c>
      <c r="Q481" t="s">
        <v>1008</v>
      </c>
    </row>
    <row r="482" spans="1:17" x14ac:dyDescent="0.3">
      <c r="A482" t="s">
        <v>17</v>
      </c>
      <c r="B482" t="str">
        <f>"600578"</f>
        <v>600578</v>
      </c>
      <c r="C482" t="s">
        <v>1009</v>
      </c>
      <c r="D482" t="s">
        <v>41</v>
      </c>
      <c r="F482">
        <v>-200687693</v>
      </c>
      <c r="G482">
        <v>35954707</v>
      </c>
      <c r="H482">
        <v>-1602773950</v>
      </c>
      <c r="I482">
        <v>-2123667214</v>
      </c>
      <c r="J482">
        <v>-2443724707</v>
      </c>
      <c r="K482">
        <v>3249068</v>
      </c>
      <c r="L482">
        <v>2252641195</v>
      </c>
      <c r="M482">
        <v>2174087785</v>
      </c>
      <c r="N482">
        <v>1991284581</v>
      </c>
      <c r="O482">
        <v>525293891</v>
      </c>
      <c r="P482">
        <v>355</v>
      </c>
      <c r="Q482" t="s">
        <v>1010</v>
      </c>
    </row>
    <row r="483" spans="1:17" x14ac:dyDescent="0.3">
      <c r="A483" t="s">
        <v>17</v>
      </c>
      <c r="B483" t="str">
        <f>"600579"</f>
        <v>600579</v>
      </c>
      <c r="C483" t="s">
        <v>1011</v>
      </c>
      <c r="D483" t="s">
        <v>78</v>
      </c>
      <c r="F483">
        <v>475144312</v>
      </c>
      <c r="G483">
        <v>-545022355</v>
      </c>
      <c r="H483">
        <v>-119191392</v>
      </c>
      <c r="I483">
        <v>-114187042</v>
      </c>
      <c r="J483">
        <v>-69740569</v>
      </c>
      <c r="K483">
        <v>-72957713</v>
      </c>
      <c r="L483">
        <v>-107163843</v>
      </c>
      <c r="M483">
        <v>-84620453</v>
      </c>
      <c r="N483">
        <v>56340184</v>
      </c>
      <c r="O483">
        <v>-3995148</v>
      </c>
      <c r="P483">
        <v>72</v>
      </c>
      <c r="Q483" t="s">
        <v>1012</v>
      </c>
    </row>
    <row r="484" spans="1:17" x14ac:dyDescent="0.3">
      <c r="A484" t="s">
        <v>17</v>
      </c>
      <c r="B484" t="str">
        <f>"600580"</f>
        <v>600580</v>
      </c>
      <c r="C484" t="s">
        <v>1013</v>
      </c>
      <c r="D484" t="s">
        <v>188</v>
      </c>
      <c r="F484">
        <v>479493340</v>
      </c>
      <c r="G484">
        <v>474482440</v>
      </c>
      <c r="H484">
        <v>489561219</v>
      </c>
      <c r="I484">
        <v>88828190</v>
      </c>
      <c r="J484">
        <v>-303003880</v>
      </c>
      <c r="K484">
        <v>-571097207</v>
      </c>
      <c r="L484">
        <v>-109520598</v>
      </c>
      <c r="M484">
        <v>-128706362</v>
      </c>
      <c r="N484">
        <v>-151082311</v>
      </c>
      <c r="O484">
        <v>-46825210</v>
      </c>
      <c r="P484">
        <v>400</v>
      </c>
      <c r="Q484" t="s">
        <v>1014</v>
      </c>
    </row>
    <row r="485" spans="1:17" x14ac:dyDescent="0.3">
      <c r="A485" t="s">
        <v>17</v>
      </c>
      <c r="B485" t="str">
        <f>"600581"</f>
        <v>600581</v>
      </c>
      <c r="C485" t="s">
        <v>1015</v>
      </c>
      <c r="D485" t="s">
        <v>38</v>
      </c>
      <c r="F485">
        <v>554708604</v>
      </c>
      <c r="G485">
        <v>613628053</v>
      </c>
      <c r="H485">
        <v>-160698555</v>
      </c>
      <c r="I485">
        <v>1524117492</v>
      </c>
      <c r="J485">
        <v>72503269</v>
      </c>
      <c r="K485">
        <v>372806269</v>
      </c>
      <c r="L485">
        <v>1243082219</v>
      </c>
      <c r="M485">
        <v>1946153061</v>
      </c>
      <c r="N485">
        <v>1388909070</v>
      </c>
      <c r="O485">
        <v>410095317</v>
      </c>
      <c r="P485">
        <v>265</v>
      </c>
      <c r="Q485" t="s">
        <v>1016</v>
      </c>
    </row>
    <row r="486" spans="1:17" x14ac:dyDescent="0.3">
      <c r="A486" t="s">
        <v>17</v>
      </c>
      <c r="B486" t="str">
        <f>"600582"</f>
        <v>600582</v>
      </c>
      <c r="C486" t="s">
        <v>1017</v>
      </c>
      <c r="D486" t="s">
        <v>78</v>
      </c>
      <c r="F486">
        <v>1193732126</v>
      </c>
      <c r="G486">
        <v>1186923059</v>
      </c>
      <c r="H486">
        <v>1158732067</v>
      </c>
      <c r="I486">
        <v>59247397</v>
      </c>
      <c r="J486">
        <v>186097365</v>
      </c>
      <c r="K486">
        <v>-794103512</v>
      </c>
      <c r="L486">
        <v>-150041515</v>
      </c>
      <c r="M486">
        <v>-200703318</v>
      </c>
      <c r="N486">
        <v>-773810475</v>
      </c>
      <c r="O486">
        <v>-710440322</v>
      </c>
      <c r="P486">
        <v>395</v>
      </c>
      <c r="Q486" t="s">
        <v>1018</v>
      </c>
    </row>
    <row r="487" spans="1:17" x14ac:dyDescent="0.3">
      <c r="A487" t="s">
        <v>17</v>
      </c>
      <c r="B487" t="str">
        <f>"600583"</f>
        <v>600583</v>
      </c>
      <c r="C487" t="s">
        <v>1019</v>
      </c>
      <c r="D487" t="s">
        <v>70</v>
      </c>
      <c r="F487">
        <v>1227429400</v>
      </c>
      <c r="G487">
        <v>783670700</v>
      </c>
      <c r="H487">
        <v>-136884962</v>
      </c>
      <c r="I487">
        <v>-2382926705</v>
      </c>
      <c r="J487">
        <v>-505494980</v>
      </c>
      <c r="K487">
        <v>3402325982</v>
      </c>
      <c r="L487">
        <v>1578697996</v>
      </c>
      <c r="M487">
        <v>504108568</v>
      </c>
      <c r="N487">
        <v>840409797</v>
      </c>
      <c r="O487">
        <v>168723381</v>
      </c>
      <c r="P487">
        <v>359</v>
      </c>
      <c r="Q487" t="s">
        <v>1020</v>
      </c>
    </row>
    <row r="488" spans="1:17" x14ac:dyDescent="0.3">
      <c r="A488" t="s">
        <v>17</v>
      </c>
      <c r="B488" t="str">
        <f>"600584"</f>
        <v>600584</v>
      </c>
      <c r="C488" t="s">
        <v>1021</v>
      </c>
      <c r="D488" t="s">
        <v>150</v>
      </c>
      <c r="F488">
        <v>2041051753</v>
      </c>
      <c r="G488">
        <v>1634205772</v>
      </c>
      <c r="H488">
        <v>-748870591</v>
      </c>
      <c r="I488">
        <v>-1758641388</v>
      </c>
      <c r="J488">
        <v>-317037032</v>
      </c>
      <c r="K488">
        <v>-1898636810</v>
      </c>
      <c r="L488">
        <v>-370394363</v>
      </c>
      <c r="M488">
        <v>116456548</v>
      </c>
      <c r="N488">
        <v>-352957295</v>
      </c>
      <c r="O488">
        <v>-381642468</v>
      </c>
      <c r="P488">
        <v>1665</v>
      </c>
      <c r="Q488" t="s">
        <v>1022</v>
      </c>
    </row>
    <row r="489" spans="1:17" x14ac:dyDescent="0.3">
      <c r="A489" t="s">
        <v>17</v>
      </c>
      <c r="B489" t="str">
        <f>"600585"</f>
        <v>600585</v>
      </c>
      <c r="C489" t="s">
        <v>1023</v>
      </c>
      <c r="D489" t="s">
        <v>350</v>
      </c>
      <c r="F489">
        <v>12478908485</v>
      </c>
      <c r="G489">
        <v>18352488893</v>
      </c>
      <c r="H489">
        <v>20093540423</v>
      </c>
      <c r="I489">
        <v>18046056723</v>
      </c>
      <c r="J489">
        <v>6551784984</v>
      </c>
      <c r="K489">
        <v>5499738517</v>
      </c>
      <c r="L489">
        <v>1784280880</v>
      </c>
      <c r="M489">
        <v>8129013297</v>
      </c>
      <c r="N489">
        <v>5148591841</v>
      </c>
      <c r="O489">
        <v>3739939243</v>
      </c>
      <c r="P489">
        <v>8410</v>
      </c>
      <c r="Q489" t="s">
        <v>1024</v>
      </c>
    </row>
    <row r="490" spans="1:17" x14ac:dyDescent="0.3">
      <c r="A490" t="s">
        <v>17</v>
      </c>
      <c r="B490" t="str">
        <f>"600586"</f>
        <v>600586</v>
      </c>
      <c r="C490" t="s">
        <v>1025</v>
      </c>
      <c r="D490" t="s">
        <v>350</v>
      </c>
      <c r="F490">
        <v>781712994</v>
      </c>
      <c r="G490">
        <v>-45770333</v>
      </c>
      <c r="H490">
        <v>-95519884</v>
      </c>
      <c r="I490">
        <v>454587838</v>
      </c>
      <c r="J490">
        <v>251025940</v>
      </c>
      <c r="K490">
        <v>224781458</v>
      </c>
      <c r="L490">
        <v>111756819</v>
      </c>
      <c r="M490">
        <v>73001179</v>
      </c>
      <c r="N490">
        <v>-135227382</v>
      </c>
      <c r="O490">
        <v>-489553107</v>
      </c>
      <c r="P490">
        <v>245</v>
      </c>
      <c r="Q490" t="s">
        <v>1026</v>
      </c>
    </row>
    <row r="491" spans="1:17" x14ac:dyDescent="0.3">
      <c r="A491" t="s">
        <v>17</v>
      </c>
      <c r="B491" t="str">
        <f>"600587"</f>
        <v>600587</v>
      </c>
      <c r="C491" t="s">
        <v>1027</v>
      </c>
      <c r="D491" t="s">
        <v>113</v>
      </c>
      <c r="F491">
        <v>1151793958</v>
      </c>
      <c r="G491">
        <v>490312161</v>
      </c>
      <c r="H491">
        <v>189302382</v>
      </c>
      <c r="I491">
        <v>-149961601</v>
      </c>
      <c r="J491">
        <v>-75343749</v>
      </c>
      <c r="K491">
        <v>-478455140</v>
      </c>
      <c r="L491">
        <v>-690056239</v>
      </c>
      <c r="M491">
        <v>-481341068</v>
      </c>
      <c r="N491">
        <v>-364247705</v>
      </c>
      <c r="O491">
        <v>-85048216</v>
      </c>
      <c r="P491">
        <v>533</v>
      </c>
      <c r="Q491" t="s">
        <v>1028</v>
      </c>
    </row>
    <row r="492" spans="1:17" x14ac:dyDescent="0.3">
      <c r="A492" t="s">
        <v>17</v>
      </c>
      <c r="B492" t="str">
        <f>"600588"</f>
        <v>600588</v>
      </c>
      <c r="C492" t="s">
        <v>1029</v>
      </c>
      <c r="D492" t="s">
        <v>212</v>
      </c>
      <c r="F492">
        <v>-1418746661</v>
      </c>
      <c r="G492">
        <v>-761482932</v>
      </c>
      <c r="H492">
        <v>-272375565</v>
      </c>
      <c r="I492">
        <v>-473607503</v>
      </c>
      <c r="J492">
        <v>-865244255</v>
      </c>
      <c r="K492">
        <v>-881148814</v>
      </c>
      <c r="L492">
        <v>-989819179</v>
      </c>
      <c r="M492">
        <v>-682050603</v>
      </c>
      <c r="N492">
        <v>-607369971</v>
      </c>
      <c r="O492">
        <v>-879023058</v>
      </c>
      <c r="P492">
        <v>4577</v>
      </c>
      <c r="Q492" t="s">
        <v>1030</v>
      </c>
    </row>
    <row r="493" spans="1:17" x14ac:dyDescent="0.3">
      <c r="A493" t="s">
        <v>17</v>
      </c>
      <c r="B493" t="str">
        <f>"600589"</f>
        <v>600589</v>
      </c>
      <c r="C493" t="s">
        <v>1031</v>
      </c>
      <c r="D493" t="s">
        <v>133</v>
      </c>
      <c r="F493">
        <v>-363004973</v>
      </c>
      <c r="G493">
        <v>-844575229</v>
      </c>
      <c r="H493">
        <v>-306236225</v>
      </c>
      <c r="I493">
        <v>-253415081</v>
      </c>
      <c r="J493">
        <v>-243035687</v>
      </c>
      <c r="K493">
        <v>-142897291</v>
      </c>
      <c r="L493">
        <v>-201763915</v>
      </c>
      <c r="M493">
        <v>-235362032</v>
      </c>
      <c r="N493">
        <v>-211735606</v>
      </c>
      <c r="O493">
        <v>-145572573</v>
      </c>
      <c r="P493">
        <v>74</v>
      </c>
      <c r="Q493" t="s">
        <v>1032</v>
      </c>
    </row>
    <row r="494" spans="1:17" x14ac:dyDescent="0.3">
      <c r="A494" t="s">
        <v>17</v>
      </c>
      <c r="B494" t="str">
        <f>"600590"</f>
        <v>600590</v>
      </c>
      <c r="C494" t="s">
        <v>1033</v>
      </c>
      <c r="D494" t="s">
        <v>188</v>
      </c>
      <c r="F494">
        <v>-437422229</v>
      </c>
      <c r="G494">
        <v>-143933966</v>
      </c>
      <c r="H494">
        <v>998230873</v>
      </c>
      <c r="I494">
        <v>-457472812</v>
      </c>
      <c r="J494">
        <v>-1045512631</v>
      </c>
      <c r="K494">
        <v>-363805023</v>
      </c>
      <c r="L494">
        <v>-630239519</v>
      </c>
      <c r="M494">
        <v>-610767748</v>
      </c>
      <c r="N494">
        <v>-660809376</v>
      </c>
      <c r="O494">
        <v>-316789032</v>
      </c>
      <c r="P494">
        <v>168</v>
      </c>
      <c r="Q494" t="s">
        <v>1034</v>
      </c>
    </row>
    <row r="495" spans="1:17" x14ac:dyDescent="0.3">
      <c r="A495" t="s">
        <v>17</v>
      </c>
      <c r="B495" t="str">
        <f>"600592"</f>
        <v>600592</v>
      </c>
      <c r="C495" t="s">
        <v>1035</v>
      </c>
      <c r="D495" t="s">
        <v>78</v>
      </c>
      <c r="F495">
        <v>-81562452</v>
      </c>
      <c r="G495">
        <v>-164317594</v>
      </c>
      <c r="H495">
        <v>-19146030</v>
      </c>
      <c r="I495">
        <v>-46138807</v>
      </c>
      <c r="J495">
        <v>-188354883</v>
      </c>
      <c r="K495">
        <v>-78265139</v>
      </c>
      <c r="L495">
        <v>10487935</v>
      </c>
      <c r="M495">
        <v>30153352</v>
      </c>
      <c r="N495">
        <v>-100566910</v>
      </c>
      <c r="O495">
        <v>-132066189</v>
      </c>
      <c r="P495">
        <v>75</v>
      </c>
      <c r="Q495" t="s">
        <v>1036</v>
      </c>
    </row>
    <row r="496" spans="1:17" x14ac:dyDescent="0.3">
      <c r="A496" t="s">
        <v>17</v>
      </c>
      <c r="B496" t="str">
        <f>"600593"</f>
        <v>600593</v>
      </c>
      <c r="C496" t="s">
        <v>1037</v>
      </c>
      <c r="D496" t="s">
        <v>110</v>
      </c>
      <c r="F496">
        <v>33613998</v>
      </c>
      <c r="G496">
        <v>-116196997</v>
      </c>
      <c r="H496">
        <v>-227035031</v>
      </c>
      <c r="I496">
        <v>-79886320</v>
      </c>
      <c r="J496">
        <v>-40239921</v>
      </c>
      <c r="K496">
        <v>18561160</v>
      </c>
      <c r="L496">
        <v>122377273</v>
      </c>
      <c r="M496">
        <v>98943170</v>
      </c>
      <c r="N496">
        <v>96674392</v>
      </c>
      <c r="O496">
        <v>-1277652</v>
      </c>
      <c r="P496">
        <v>123</v>
      </c>
      <c r="Q496" t="s">
        <v>1038</v>
      </c>
    </row>
    <row r="497" spans="1:17" x14ac:dyDescent="0.3">
      <c r="A497" t="s">
        <v>17</v>
      </c>
      <c r="B497" t="str">
        <f>"600594"</f>
        <v>600594</v>
      </c>
      <c r="C497" t="s">
        <v>1039</v>
      </c>
      <c r="D497" t="s">
        <v>113</v>
      </c>
      <c r="F497">
        <v>247267465</v>
      </c>
      <c r="G497">
        <v>57699792</v>
      </c>
      <c r="H497">
        <v>176727845</v>
      </c>
      <c r="I497">
        <v>-263487448</v>
      </c>
      <c r="J497">
        <v>170750718</v>
      </c>
      <c r="K497">
        <v>12682748</v>
      </c>
      <c r="L497">
        <v>-86755794</v>
      </c>
      <c r="M497">
        <v>307873150</v>
      </c>
      <c r="N497">
        <v>188464201</v>
      </c>
      <c r="O497">
        <v>141676137</v>
      </c>
      <c r="P497">
        <v>312</v>
      </c>
      <c r="Q497" t="s">
        <v>1040</v>
      </c>
    </row>
    <row r="498" spans="1:17" x14ac:dyDescent="0.3">
      <c r="A498" t="s">
        <v>17</v>
      </c>
      <c r="B498" t="str">
        <f>"600595"</f>
        <v>600595</v>
      </c>
      <c r="C498" t="s">
        <v>1041</v>
      </c>
      <c r="D498" t="s">
        <v>234</v>
      </c>
      <c r="F498">
        <v>799255503</v>
      </c>
      <c r="G498">
        <v>-113793852</v>
      </c>
      <c r="H498">
        <v>130389198</v>
      </c>
      <c r="I498">
        <v>925496167</v>
      </c>
      <c r="J498">
        <v>1296591573</v>
      </c>
      <c r="K498">
        <v>1400480621</v>
      </c>
      <c r="L498">
        <v>1059684196</v>
      </c>
      <c r="M498">
        <v>1027175162</v>
      </c>
      <c r="N498">
        <v>1032946669</v>
      </c>
      <c r="O498">
        <v>-188497050</v>
      </c>
      <c r="P498">
        <v>68</v>
      </c>
      <c r="Q498" t="s">
        <v>1042</v>
      </c>
    </row>
    <row r="499" spans="1:17" x14ac:dyDescent="0.3">
      <c r="A499" t="s">
        <v>17</v>
      </c>
      <c r="B499" t="str">
        <f>"600596"</f>
        <v>600596</v>
      </c>
      <c r="C499" t="s">
        <v>1043</v>
      </c>
      <c r="D499" t="s">
        <v>133</v>
      </c>
      <c r="F499">
        <v>1039582043</v>
      </c>
      <c r="G499">
        <v>73131532</v>
      </c>
      <c r="H499">
        <v>158485564</v>
      </c>
      <c r="I499">
        <v>405245975</v>
      </c>
      <c r="J499">
        <v>-345257341</v>
      </c>
      <c r="K499">
        <v>79022626</v>
      </c>
      <c r="L499">
        <v>33198695</v>
      </c>
      <c r="M499">
        <v>-688526983</v>
      </c>
      <c r="N499">
        <v>636107172</v>
      </c>
      <c r="O499">
        <v>-464944272</v>
      </c>
      <c r="P499">
        <v>481</v>
      </c>
      <c r="Q499" t="s">
        <v>1044</v>
      </c>
    </row>
    <row r="500" spans="1:17" x14ac:dyDescent="0.3">
      <c r="A500" t="s">
        <v>17</v>
      </c>
      <c r="B500" t="str">
        <f>"600597"</f>
        <v>600597</v>
      </c>
      <c r="C500" t="s">
        <v>1045</v>
      </c>
      <c r="D500" t="s">
        <v>123</v>
      </c>
      <c r="F500">
        <v>-175651416</v>
      </c>
      <c r="G500">
        <v>373347691</v>
      </c>
      <c r="H500">
        <v>600208068</v>
      </c>
      <c r="I500">
        <v>-57491499</v>
      </c>
      <c r="J500">
        <v>548961729</v>
      </c>
      <c r="K500">
        <v>643038269</v>
      </c>
      <c r="L500">
        <v>1444867943</v>
      </c>
      <c r="M500">
        <v>-1289916125</v>
      </c>
      <c r="N500">
        <v>284145707</v>
      </c>
      <c r="O500">
        <v>309010219</v>
      </c>
      <c r="P500">
        <v>1247</v>
      </c>
      <c r="Q500" t="s">
        <v>1046</v>
      </c>
    </row>
    <row r="501" spans="1:17" x14ac:dyDescent="0.3">
      <c r="A501" t="s">
        <v>17</v>
      </c>
      <c r="B501" t="str">
        <f>"600598"</f>
        <v>600598</v>
      </c>
      <c r="C501" t="s">
        <v>1047</v>
      </c>
      <c r="D501" t="s">
        <v>205</v>
      </c>
      <c r="F501">
        <v>1663833365</v>
      </c>
      <c r="G501">
        <v>1608064582</v>
      </c>
      <c r="H501">
        <v>1274733959</v>
      </c>
      <c r="I501">
        <v>1711366559</v>
      </c>
      <c r="J501">
        <v>844701373</v>
      </c>
      <c r="K501">
        <v>1545690171</v>
      </c>
      <c r="L501">
        <v>1106020773</v>
      </c>
      <c r="M501">
        <v>1762527090</v>
      </c>
      <c r="N501">
        <v>1436572778</v>
      </c>
      <c r="O501">
        <v>2186801865</v>
      </c>
      <c r="P501">
        <v>1085</v>
      </c>
      <c r="Q501" t="s">
        <v>1048</v>
      </c>
    </row>
    <row r="502" spans="1:17" x14ac:dyDescent="0.3">
      <c r="A502" t="s">
        <v>17</v>
      </c>
      <c r="B502" t="str">
        <f>"600599"</f>
        <v>600599</v>
      </c>
      <c r="C502" t="s">
        <v>1049</v>
      </c>
      <c r="D502" t="s">
        <v>75</v>
      </c>
      <c r="F502">
        <v>291671563</v>
      </c>
      <c r="G502">
        <v>-217970847</v>
      </c>
      <c r="H502">
        <v>-156008474</v>
      </c>
      <c r="I502">
        <v>-226477245</v>
      </c>
      <c r="J502">
        <v>111603191</v>
      </c>
      <c r="K502">
        <v>-92352827</v>
      </c>
      <c r="L502">
        <v>46576367</v>
      </c>
      <c r="M502">
        <v>-15954542</v>
      </c>
      <c r="N502">
        <v>-27112086</v>
      </c>
      <c r="O502">
        <v>-1624078</v>
      </c>
      <c r="P502">
        <v>54</v>
      </c>
      <c r="Q502" t="s">
        <v>1050</v>
      </c>
    </row>
    <row r="503" spans="1:17" x14ac:dyDescent="0.3">
      <c r="A503" t="s">
        <v>17</v>
      </c>
      <c r="B503" t="str">
        <f>"600600"</f>
        <v>600600</v>
      </c>
      <c r="C503" t="s">
        <v>1051</v>
      </c>
      <c r="D503" t="s">
        <v>123</v>
      </c>
      <c r="F503">
        <v>5054314271</v>
      </c>
      <c r="G503">
        <v>4984419534</v>
      </c>
      <c r="H503">
        <v>3917701713</v>
      </c>
      <c r="I503">
        <v>4959311493</v>
      </c>
      <c r="J503">
        <v>3698499434</v>
      </c>
      <c r="K503">
        <v>3962999162</v>
      </c>
      <c r="L503">
        <v>3697264132</v>
      </c>
      <c r="M503">
        <v>2716619276</v>
      </c>
      <c r="N503">
        <v>3853843245</v>
      </c>
      <c r="O503">
        <v>2734629613</v>
      </c>
      <c r="P503">
        <v>2022</v>
      </c>
      <c r="Q503" t="s">
        <v>1052</v>
      </c>
    </row>
    <row r="504" spans="1:17" x14ac:dyDescent="0.3">
      <c r="A504" t="s">
        <v>17</v>
      </c>
      <c r="B504" t="str">
        <f>"600601"</f>
        <v>600601</v>
      </c>
      <c r="C504" t="s">
        <v>1053</v>
      </c>
      <c r="D504" t="s">
        <v>150</v>
      </c>
      <c r="F504">
        <v>-515137388</v>
      </c>
      <c r="G504">
        <v>-97824526</v>
      </c>
      <c r="H504">
        <v>-218177014</v>
      </c>
      <c r="I504">
        <v>-171554947</v>
      </c>
      <c r="J504">
        <v>-760101124</v>
      </c>
      <c r="K504">
        <v>-661533206</v>
      </c>
      <c r="L504">
        <v>-500868753</v>
      </c>
      <c r="M504">
        <v>-1528531</v>
      </c>
      <c r="N504">
        <v>165846065</v>
      </c>
      <c r="O504">
        <v>-583834417</v>
      </c>
      <c r="P504">
        <v>228</v>
      </c>
      <c r="Q504" t="s">
        <v>1054</v>
      </c>
    </row>
    <row r="505" spans="1:17" x14ac:dyDescent="0.3">
      <c r="A505" t="s">
        <v>17</v>
      </c>
      <c r="B505" t="str">
        <f>"600602"</f>
        <v>600602</v>
      </c>
      <c r="C505" t="s">
        <v>1055</v>
      </c>
      <c r="D505" t="s">
        <v>212</v>
      </c>
      <c r="F505">
        <v>-406701824</v>
      </c>
      <c r="G505">
        <v>-110794413</v>
      </c>
      <c r="H505">
        <v>-482369828</v>
      </c>
      <c r="I505">
        <v>-467820945</v>
      </c>
      <c r="J505">
        <v>-366600095</v>
      </c>
      <c r="K505">
        <v>-174939734</v>
      </c>
      <c r="L505">
        <v>-253260219</v>
      </c>
      <c r="M505">
        <v>-94012904</v>
      </c>
      <c r="N505">
        <v>-80346639</v>
      </c>
      <c r="O505">
        <v>-167678516</v>
      </c>
      <c r="P505">
        <v>136</v>
      </c>
      <c r="Q505" t="s">
        <v>1056</v>
      </c>
    </row>
    <row r="506" spans="1:17" x14ac:dyDescent="0.3">
      <c r="A506" t="s">
        <v>17</v>
      </c>
      <c r="B506" t="str">
        <f>"600603"</f>
        <v>600603</v>
      </c>
      <c r="C506" t="s">
        <v>1057</v>
      </c>
      <c r="D506" t="s">
        <v>30</v>
      </c>
      <c r="F506">
        <v>851493220</v>
      </c>
      <c r="G506">
        <v>891265844</v>
      </c>
      <c r="H506">
        <v>781762895</v>
      </c>
      <c r="I506">
        <v>486285291</v>
      </c>
      <c r="J506">
        <v>-693726884</v>
      </c>
      <c r="K506">
        <v>-70384038</v>
      </c>
      <c r="L506">
        <v>-22923415</v>
      </c>
      <c r="M506">
        <v>3490472</v>
      </c>
      <c r="N506">
        <v>-3987570</v>
      </c>
      <c r="O506">
        <v>-6326821</v>
      </c>
      <c r="P506">
        <v>510</v>
      </c>
      <c r="Q506" t="s">
        <v>1058</v>
      </c>
    </row>
    <row r="507" spans="1:17" x14ac:dyDescent="0.3">
      <c r="A507" t="s">
        <v>17</v>
      </c>
      <c r="B507" t="str">
        <f>"600604"</f>
        <v>600604</v>
      </c>
      <c r="C507" t="s">
        <v>1059</v>
      </c>
      <c r="D507" t="s">
        <v>30</v>
      </c>
      <c r="F507">
        <v>-606882557</v>
      </c>
      <c r="G507">
        <v>-1347231730</v>
      </c>
      <c r="H507">
        <v>-628781619</v>
      </c>
      <c r="I507">
        <v>-1160632832</v>
      </c>
      <c r="J507">
        <v>-1218878605</v>
      </c>
      <c r="K507">
        <v>-294989741</v>
      </c>
      <c r="L507">
        <v>-1122597965</v>
      </c>
      <c r="M507">
        <v>-169032538</v>
      </c>
      <c r="N507">
        <v>-100380677</v>
      </c>
      <c r="O507">
        <v>-54216089</v>
      </c>
      <c r="P507">
        <v>138</v>
      </c>
      <c r="Q507" t="s">
        <v>1060</v>
      </c>
    </row>
    <row r="508" spans="1:17" x14ac:dyDescent="0.3">
      <c r="A508" t="s">
        <v>17</v>
      </c>
      <c r="B508" t="str">
        <f>"600605"</f>
        <v>600605</v>
      </c>
      <c r="C508" t="s">
        <v>1061</v>
      </c>
      <c r="D508" t="s">
        <v>120</v>
      </c>
      <c r="F508">
        <v>-459154367</v>
      </c>
      <c r="G508">
        <v>-94140998</v>
      </c>
      <c r="H508">
        <v>428707020</v>
      </c>
      <c r="I508">
        <v>-66623985</v>
      </c>
      <c r="J508">
        <v>120765802</v>
      </c>
      <c r="K508">
        <v>-15918361</v>
      </c>
      <c r="L508">
        <v>-177557872</v>
      </c>
      <c r="M508">
        <v>92650046</v>
      </c>
      <c r="N508">
        <v>20441278</v>
      </c>
      <c r="O508">
        <v>32636341</v>
      </c>
      <c r="P508">
        <v>71</v>
      </c>
      <c r="Q508" t="s">
        <v>1062</v>
      </c>
    </row>
    <row r="509" spans="1:17" x14ac:dyDescent="0.3">
      <c r="A509" t="s">
        <v>17</v>
      </c>
      <c r="B509" t="str">
        <f>"600606"</f>
        <v>600606</v>
      </c>
      <c r="C509" t="s">
        <v>1063</v>
      </c>
      <c r="D509" t="s">
        <v>30</v>
      </c>
      <c r="F509">
        <v>45423195660</v>
      </c>
      <c r="G509">
        <v>-1673251805</v>
      </c>
      <c r="H509">
        <v>5465107057</v>
      </c>
      <c r="I509">
        <v>28792415935</v>
      </c>
      <c r="J509">
        <v>32584302502</v>
      </c>
      <c r="K509">
        <v>-7008780328</v>
      </c>
      <c r="L509">
        <v>-39150063662</v>
      </c>
      <c r="M509">
        <v>114598997</v>
      </c>
      <c r="N509">
        <v>-162941142</v>
      </c>
      <c r="O509">
        <v>-187865023</v>
      </c>
      <c r="P509">
        <v>1969</v>
      </c>
      <c r="Q509" t="s">
        <v>1064</v>
      </c>
    </row>
    <row r="510" spans="1:17" x14ac:dyDescent="0.3">
      <c r="A510" t="s">
        <v>17</v>
      </c>
      <c r="B510" t="str">
        <f>"600608"</f>
        <v>600608</v>
      </c>
      <c r="C510" t="s">
        <v>1065</v>
      </c>
      <c r="D510" t="s">
        <v>120</v>
      </c>
      <c r="F510">
        <v>-13411538</v>
      </c>
      <c r="G510">
        <v>-9168056</v>
      </c>
      <c r="H510">
        <v>-13296488</v>
      </c>
      <c r="I510">
        <v>-68397322</v>
      </c>
      <c r="J510">
        <v>-11485145</v>
      </c>
      <c r="K510">
        <v>-39016096</v>
      </c>
      <c r="L510">
        <v>9044373</v>
      </c>
      <c r="M510">
        <v>-25653824</v>
      </c>
      <c r="N510">
        <v>-24857294</v>
      </c>
      <c r="O510">
        <v>-23289738</v>
      </c>
      <c r="P510">
        <v>47</v>
      </c>
      <c r="Q510" t="s">
        <v>1066</v>
      </c>
    </row>
    <row r="511" spans="1:17" x14ac:dyDescent="0.3">
      <c r="A511" t="s">
        <v>17</v>
      </c>
      <c r="B511" t="str">
        <f>"600609"</f>
        <v>600609</v>
      </c>
      <c r="C511" t="s">
        <v>1067</v>
      </c>
      <c r="D511" t="s">
        <v>27</v>
      </c>
      <c r="F511">
        <v>56406301</v>
      </c>
      <c r="G511">
        <v>423255622</v>
      </c>
      <c r="H511">
        <v>280655087</v>
      </c>
      <c r="I511">
        <v>769809259</v>
      </c>
      <c r="J511">
        <v>-400382975</v>
      </c>
      <c r="K511">
        <v>-187416059</v>
      </c>
      <c r="L511">
        <v>-374226238</v>
      </c>
      <c r="M511">
        <v>-96119966</v>
      </c>
      <c r="N511">
        <v>42283382</v>
      </c>
      <c r="O511">
        <v>-116917039</v>
      </c>
      <c r="P511">
        <v>128</v>
      </c>
      <c r="Q511" t="s">
        <v>1068</v>
      </c>
    </row>
    <row r="512" spans="1:17" x14ac:dyDescent="0.3">
      <c r="A512" t="s">
        <v>17</v>
      </c>
      <c r="B512" t="str">
        <f>"600610"</f>
        <v>600610</v>
      </c>
      <c r="C512" t="s">
        <v>1069</v>
      </c>
      <c r="D512" t="s">
        <v>133</v>
      </c>
      <c r="F512">
        <v>94945459</v>
      </c>
      <c r="G512">
        <v>-25784137</v>
      </c>
      <c r="H512">
        <v>-67</v>
      </c>
      <c r="I512">
        <v>-7589485</v>
      </c>
      <c r="J512">
        <v>-222379439</v>
      </c>
      <c r="K512">
        <v>-23907205</v>
      </c>
      <c r="L512">
        <v>-35458013</v>
      </c>
      <c r="M512">
        <v>-26685403</v>
      </c>
      <c r="N512">
        <v>-32737379</v>
      </c>
      <c r="O512">
        <v>-52743338</v>
      </c>
      <c r="P512">
        <v>91</v>
      </c>
      <c r="Q512" t="s">
        <v>1070</v>
      </c>
    </row>
    <row r="513" spans="1:17" x14ac:dyDescent="0.3">
      <c r="A513" t="s">
        <v>17</v>
      </c>
      <c r="B513" t="str">
        <f>"600611"</f>
        <v>600611</v>
      </c>
      <c r="C513" t="s">
        <v>1071</v>
      </c>
      <c r="D513" t="s">
        <v>22</v>
      </c>
      <c r="F513">
        <v>877499654</v>
      </c>
      <c r="G513">
        <v>-405642386</v>
      </c>
      <c r="H513">
        <v>-952707795</v>
      </c>
      <c r="I513">
        <v>-126839672</v>
      </c>
      <c r="J513">
        <v>-7734239</v>
      </c>
      <c r="K513">
        <v>965955201</v>
      </c>
      <c r="L513">
        <v>735165334</v>
      </c>
      <c r="M513">
        <v>66167078</v>
      </c>
      <c r="N513">
        <v>-92277299</v>
      </c>
      <c r="O513">
        <v>-797863132</v>
      </c>
      <c r="P513">
        <v>243</v>
      </c>
      <c r="Q513" t="s">
        <v>1072</v>
      </c>
    </row>
    <row r="514" spans="1:17" x14ac:dyDescent="0.3">
      <c r="A514" t="s">
        <v>17</v>
      </c>
      <c r="B514" t="str">
        <f>"600612"</f>
        <v>600612</v>
      </c>
      <c r="C514" t="s">
        <v>1073</v>
      </c>
      <c r="D514" t="s">
        <v>227</v>
      </c>
      <c r="F514">
        <v>169346129</v>
      </c>
      <c r="G514">
        <v>1169436014</v>
      </c>
      <c r="H514">
        <v>-1139574374</v>
      </c>
      <c r="I514">
        <v>148537273</v>
      </c>
      <c r="J514">
        <v>109044938</v>
      </c>
      <c r="K514">
        <v>-2016591731</v>
      </c>
      <c r="L514">
        <v>-488358465</v>
      </c>
      <c r="M514">
        <v>514844786</v>
      </c>
      <c r="N514">
        <v>483870411</v>
      </c>
      <c r="O514">
        <v>827186219</v>
      </c>
      <c r="P514">
        <v>45896</v>
      </c>
      <c r="Q514" t="s">
        <v>1074</v>
      </c>
    </row>
    <row r="515" spans="1:17" x14ac:dyDescent="0.3">
      <c r="A515" t="s">
        <v>17</v>
      </c>
      <c r="B515" t="str">
        <f>"600613"</f>
        <v>600613</v>
      </c>
      <c r="C515" t="s">
        <v>1075</v>
      </c>
      <c r="D515" t="s">
        <v>113</v>
      </c>
      <c r="F515">
        <v>39150927</v>
      </c>
      <c r="G515">
        <v>-35139776</v>
      </c>
      <c r="H515">
        <v>85391619</v>
      </c>
      <c r="I515">
        <v>50391195</v>
      </c>
      <c r="J515">
        <v>-51429530</v>
      </c>
      <c r="K515">
        <v>25223847</v>
      </c>
      <c r="L515">
        <v>-69776113</v>
      </c>
      <c r="M515">
        <v>-80368376</v>
      </c>
      <c r="N515">
        <v>-29762236</v>
      </c>
      <c r="O515">
        <v>-6688563</v>
      </c>
      <c r="P515">
        <v>121</v>
      </c>
      <c r="Q515" t="s">
        <v>1076</v>
      </c>
    </row>
    <row r="516" spans="1:17" x14ac:dyDescent="0.3">
      <c r="A516" t="s">
        <v>17</v>
      </c>
      <c r="B516" t="str">
        <f>"600614"</f>
        <v>600614</v>
      </c>
      <c r="C516" t="s">
        <v>1077</v>
      </c>
      <c r="G516">
        <v>-14439698</v>
      </c>
      <c r="H516">
        <v>-71424750</v>
      </c>
      <c r="I516">
        <v>-138432946</v>
      </c>
      <c r="J516">
        <v>-485308460</v>
      </c>
      <c r="K516">
        <v>-215427877</v>
      </c>
      <c r="L516">
        <v>-578162944</v>
      </c>
      <c r="M516">
        <v>-101668731</v>
      </c>
      <c r="N516">
        <v>-4747093</v>
      </c>
      <c r="O516">
        <v>-105593037</v>
      </c>
      <c r="P516">
        <v>55</v>
      </c>
      <c r="Q516" t="s">
        <v>1078</v>
      </c>
    </row>
    <row r="517" spans="1:17" x14ac:dyDescent="0.3">
      <c r="A517" t="s">
        <v>17</v>
      </c>
      <c r="B517" t="str">
        <f>"600615"</f>
        <v>600615</v>
      </c>
      <c r="C517" t="s">
        <v>1079</v>
      </c>
      <c r="D517" t="s">
        <v>234</v>
      </c>
      <c r="F517">
        <v>-47336076</v>
      </c>
      <c r="G517">
        <v>-14295178</v>
      </c>
      <c r="H517">
        <v>-7525880</v>
      </c>
      <c r="I517">
        <v>5011605</v>
      </c>
      <c r="J517">
        <v>38613369</v>
      </c>
      <c r="K517">
        <v>-8577554</v>
      </c>
      <c r="L517">
        <v>-13258987</v>
      </c>
      <c r="M517">
        <v>-26296274</v>
      </c>
      <c r="N517">
        <v>-6862570</v>
      </c>
      <c r="O517">
        <v>-4588547</v>
      </c>
      <c r="P517">
        <v>66</v>
      </c>
      <c r="Q517" t="s">
        <v>1080</v>
      </c>
    </row>
    <row r="518" spans="1:17" x14ac:dyDescent="0.3">
      <c r="A518" t="s">
        <v>17</v>
      </c>
      <c r="B518" t="str">
        <f>"600616"</f>
        <v>600616</v>
      </c>
      <c r="C518" t="s">
        <v>1081</v>
      </c>
      <c r="D518" t="s">
        <v>123</v>
      </c>
      <c r="F518">
        <v>876825</v>
      </c>
      <c r="G518">
        <v>-102486132</v>
      </c>
      <c r="H518">
        <v>-19074088</v>
      </c>
      <c r="I518">
        <v>-46840433</v>
      </c>
      <c r="J518">
        <v>6061551</v>
      </c>
      <c r="K518">
        <v>-45328001</v>
      </c>
      <c r="L518">
        <v>1546744</v>
      </c>
      <c r="M518">
        <v>-74861984</v>
      </c>
      <c r="N518">
        <v>15709354</v>
      </c>
      <c r="O518">
        <v>-70005353</v>
      </c>
      <c r="P518">
        <v>180</v>
      </c>
      <c r="Q518" t="s">
        <v>1082</v>
      </c>
    </row>
    <row r="519" spans="1:17" x14ac:dyDescent="0.3">
      <c r="A519" t="s">
        <v>17</v>
      </c>
      <c r="B519" t="str">
        <f>"600617"</f>
        <v>600617</v>
      </c>
      <c r="C519" t="s">
        <v>1083</v>
      </c>
      <c r="D519" t="s">
        <v>41</v>
      </c>
      <c r="F519">
        <v>1476779758</v>
      </c>
      <c r="G519">
        <v>-210738414</v>
      </c>
      <c r="H519">
        <v>-1120936822</v>
      </c>
      <c r="I519">
        <v>-1061561871</v>
      </c>
      <c r="J519">
        <v>-1499229833</v>
      </c>
      <c r="K519">
        <v>-1514409913</v>
      </c>
      <c r="L519">
        <v>-1301934046</v>
      </c>
      <c r="M519">
        <v>-1690666867</v>
      </c>
      <c r="N519">
        <v>799391</v>
      </c>
      <c r="O519">
        <v>-6583532</v>
      </c>
      <c r="P519">
        <v>104</v>
      </c>
      <c r="Q519" t="s">
        <v>1084</v>
      </c>
    </row>
    <row r="520" spans="1:17" x14ac:dyDescent="0.3">
      <c r="A520" t="s">
        <v>17</v>
      </c>
      <c r="B520" t="str">
        <f>"600618"</f>
        <v>600618</v>
      </c>
      <c r="C520" t="s">
        <v>1085</v>
      </c>
      <c r="D520" t="s">
        <v>133</v>
      </c>
      <c r="F520">
        <v>-245999860</v>
      </c>
      <c r="G520">
        <v>195476084</v>
      </c>
      <c r="H520">
        <v>385245613</v>
      </c>
      <c r="I520">
        <v>464858234</v>
      </c>
      <c r="J520">
        <v>302028877</v>
      </c>
      <c r="K520">
        <v>226467837</v>
      </c>
      <c r="L520">
        <v>19378511</v>
      </c>
      <c r="M520">
        <v>-198381714</v>
      </c>
      <c r="N520">
        <v>19431332</v>
      </c>
      <c r="O520">
        <v>311667018</v>
      </c>
      <c r="P520">
        <v>253</v>
      </c>
      <c r="Q520" t="s">
        <v>1086</v>
      </c>
    </row>
    <row r="521" spans="1:17" x14ac:dyDescent="0.3">
      <c r="A521" t="s">
        <v>17</v>
      </c>
      <c r="B521" t="str">
        <f>"600619"</f>
        <v>600619</v>
      </c>
      <c r="C521" t="s">
        <v>1087</v>
      </c>
      <c r="D521" t="s">
        <v>126</v>
      </c>
      <c r="F521">
        <v>-458388720</v>
      </c>
      <c r="G521">
        <v>-1402210553</v>
      </c>
      <c r="H521">
        <v>-184734785</v>
      </c>
      <c r="I521">
        <v>-670794814</v>
      </c>
      <c r="J521">
        <v>-312379082</v>
      </c>
      <c r="K521">
        <v>357387897</v>
      </c>
      <c r="L521">
        <v>148126085</v>
      </c>
      <c r="M521">
        <v>4781977</v>
      </c>
      <c r="N521">
        <v>-127328790</v>
      </c>
      <c r="O521">
        <v>50018776</v>
      </c>
      <c r="P521">
        <v>121</v>
      </c>
      <c r="Q521" t="s">
        <v>1088</v>
      </c>
    </row>
    <row r="522" spans="1:17" x14ac:dyDescent="0.3">
      <c r="A522" t="s">
        <v>17</v>
      </c>
      <c r="B522" t="str">
        <f>"600620"</f>
        <v>600620</v>
      </c>
      <c r="C522" t="s">
        <v>1089</v>
      </c>
      <c r="D522" t="s">
        <v>103</v>
      </c>
      <c r="F522">
        <v>-161712712</v>
      </c>
      <c r="G522">
        <v>-5714493</v>
      </c>
      <c r="H522">
        <v>-15859808</v>
      </c>
      <c r="I522">
        <v>-7361930</v>
      </c>
      <c r="J522">
        <v>-27876988</v>
      </c>
      <c r="K522">
        <v>-22738578</v>
      </c>
      <c r="L522">
        <v>-11313973</v>
      </c>
      <c r="M522">
        <v>-24963298</v>
      </c>
      <c r="N522">
        <v>-27476636</v>
      </c>
      <c r="O522">
        <v>-10174963</v>
      </c>
      <c r="P522">
        <v>66</v>
      </c>
      <c r="Q522" t="s">
        <v>1090</v>
      </c>
    </row>
    <row r="523" spans="1:17" x14ac:dyDescent="0.3">
      <c r="A523" t="s">
        <v>17</v>
      </c>
      <c r="B523" t="str">
        <f>"600621"</f>
        <v>600621</v>
      </c>
      <c r="C523" t="s">
        <v>1091</v>
      </c>
      <c r="D523" t="s">
        <v>75</v>
      </c>
      <c r="F523">
        <v>-1088200861</v>
      </c>
      <c r="G523">
        <v>108873463</v>
      </c>
      <c r="H523">
        <v>2495953807</v>
      </c>
      <c r="I523">
        <v>-1280902539</v>
      </c>
      <c r="J523">
        <v>-1418813979</v>
      </c>
      <c r="K523">
        <v>-414515102</v>
      </c>
      <c r="L523">
        <v>-217747933</v>
      </c>
      <c r="M523">
        <v>208329526</v>
      </c>
      <c r="N523">
        <v>232430665</v>
      </c>
      <c r="O523">
        <v>-307165542</v>
      </c>
      <c r="P523">
        <v>594</v>
      </c>
      <c r="Q523" t="s">
        <v>1092</v>
      </c>
    </row>
    <row r="524" spans="1:17" x14ac:dyDescent="0.3">
      <c r="A524" t="s">
        <v>17</v>
      </c>
      <c r="B524" t="str">
        <f>"600622"</f>
        <v>600622</v>
      </c>
      <c r="C524" t="s">
        <v>1093</v>
      </c>
      <c r="D524" t="s">
        <v>30</v>
      </c>
      <c r="F524">
        <v>2809151589</v>
      </c>
      <c r="G524">
        <v>361269638</v>
      </c>
      <c r="H524">
        <v>660118384</v>
      </c>
      <c r="I524">
        <v>1638760478</v>
      </c>
      <c r="J524">
        <v>141212341</v>
      </c>
      <c r="K524">
        <v>1524902769</v>
      </c>
      <c r="L524">
        <v>432726438</v>
      </c>
      <c r="M524">
        <v>-1313252897</v>
      </c>
      <c r="N524">
        <v>331392403</v>
      </c>
      <c r="O524">
        <v>-419801957</v>
      </c>
      <c r="P524">
        <v>246</v>
      </c>
      <c r="Q524" t="s">
        <v>1094</v>
      </c>
    </row>
    <row r="525" spans="1:17" x14ac:dyDescent="0.3">
      <c r="A525" t="s">
        <v>17</v>
      </c>
      <c r="B525" t="str">
        <f>"600623"</f>
        <v>600623</v>
      </c>
      <c r="C525" t="s">
        <v>1095</v>
      </c>
      <c r="D525" t="s">
        <v>133</v>
      </c>
      <c r="F525">
        <v>240878405</v>
      </c>
      <c r="G525">
        <v>-757291087</v>
      </c>
      <c r="H525">
        <v>-2261717705</v>
      </c>
      <c r="I525">
        <v>-216587411</v>
      </c>
      <c r="J525">
        <v>-1071730036</v>
      </c>
      <c r="K525">
        <v>664950793</v>
      </c>
      <c r="L525">
        <v>999566799</v>
      </c>
      <c r="M525">
        <v>-255440339</v>
      </c>
      <c r="N525">
        <v>-438558617</v>
      </c>
      <c r="O525">
        <v>-733948300</v>
      </c>
      <c r="P525">
        <v>241</v>
      </c>
      <c r="Q525" t="s">
        <v>1096</v>
      </c>
    </row>
    <row r="526" spans="1:17" x14ac:dyDescent="0.3">
      <c r="A526" t="s">
        <v>17</v>
      </c>
      <c r="B526" t="str">
        <f>"600624"</f>
        <v>600624</v>
      </c>
      <c r="C526" t="s">
        <v>1097</v>
      </c>
      <c r="D526" t="s">
        <v>113</v>
      </c>
      <c r="F526">
        <v>106644397</v>
      </c>
      <c r="G526">
        <v>18091441</v>
      </c>
      <c r="H526">
        <v>-32099796</v>
      </c>
      <c r="I526">
        <v>94754411</v>
      </c>
      <c r="J526">
        <v>37417187</v>
      </c>
      <c r="K526">
        <v>-71936805</v>
      </c>
      <c r="L526">
        <v>-9153175</v>
      </c>
      <c r="M526">
        <v>-21582507</v>
      </c>
      <c r="N526">
        <v>-244286304</v>
      </c>
      <c r="O526">
        <v>183479978</v>
      </c>
      <c r="P526">
        <v>122</v>
      </c>
      <c r="Q526" t="s">
        <v>1098</v>
      </c>
    </row>
    <row r="527" spans="1:17" x14ac:dyDescent="0.3">
      <c r="A527" t="s">
        <v>17</v>
      </c>
      <c r="B527" t="str">
        <f>"600625"</f>
        <v>600625</v>
      </c>
      <c r="C527" t="s">
        <v>1099</v>
      </c>
      <c r="K527">
        <v>-4991649.6399999997</v>
      </c>
      <c r="L527">
        <v>617312.61</v>
      </c>
      <c r="M527">
        <v>-1641305.02</v>
      </c>
      <c r="N527">
        <v>-3227573.12</v>
      </c>
      <c r="O527">
        <v>-3019856.53</v>
      </c>
      <c r="P527">
        <v>5</v>
      </c>
      <c r="Q527" t="s">
        <v>1100</v>
      </c>
    </row>
    <row r="528" spans="1:17" x14ac:dyDescent="0.3">
      <c r="A528" t="s">
        <v>17</v>
      </c>
      <c r="B528" t="str">
        <f>"600626"</f>
        <v>600626</v>
      </c>
      <c r="C528" t="s">
        <v>1101</v>
      </c>
      <c r="D528" t="s">
        <v>27</v>
      </c>
      <c r="F528">
        <v>-415479496</v>
      </c>
      <c r="G528">
        <v>-301323602</v>
      </c>
      <c r="H528">
        <v>-436662795</v>
      </c>
      <c r="I528">
        <v>-527367245</v>
      </c>
      <c r="J528">
        <v>-2116605457</v>
      </c>
      <c r="K528">
        <v>-156507400</v>
      </c>
      <c r="L528">
        <v>-159075546</v>
      </c>
      <c r="M528">
        <v>-148641341</v>
      </c>
      <c r="N528">
        <v>-212097603</v>
      </c>
      <c r="O528">
        <v>-96927351</v>
      </c>
      <c r="P528">
        <v>93</v>
      </c>
      <c r="Q528" t="s">
        <v>1102</v>
      </c>
    </row>
    <row r="529" spans="1:17" x14ac:dyDescent="0.3">
      <c r="A529" t="s">
        <v>17</v>
      </c>
      <c r="B529" t="str">
        <f>"600628"</f>
        <v>600628</v>
      </c>
      <c r="C529" t="s">
        <v>1103</v>
      </c>
      <c r="D529" t="s">
        <v>120</v>
      </c>
      <c r="F529">
        <v>84452579</v>
      </c>
      <c r="G529">
        <v>-50520210</v>
      </c>
      <c r="H529">
        <v>-678064696</v>
      </c>
      <c r="I529">
        <v>209433652</v>
      </c>
      <c r="J529">
        <v>178117013</v>
      </c>
      <c r="K529">
        <v>172452596</v>
      </c>
      <c r="L529">
        <v>190766807</v>
      </c>
      <c r="M529">
        <v>175326655</v>
      </c>
      <c r="N529">
        <v>115757359</v>
      </c>
      <c r="O529">
        <v>164411984</v>
      </c>
      <c r="P529">
        <v>112</v>
      </c>
      <c r="Q529" t="s">
        <v>1104</v>
      </c>
    </row>
    <row r="530" spans="1:17" x14ac:dyDescent="0.3">
      <c r="A530" t="s">
        <v>17</v>
      </c>
      <c r="B530" t="str">
        <f>"600629"</f>
        <v>600629</v>
      </c>
      <c r="C530" t="s">
        <v>1105</v>
      </c>
      <c r="D530" t="s">
        <v>95</v>
      </c>
      <c r="F530">
        <v>-448097508</v>
      </c>
      <c r="G530">
        <v>-258082960</v>
      </c>
      <c r="H530">
        <v>-335577508</v>
      </c>
      <c r="I530">
        <v>-476571915</v>
      </c>
      <c r="J530">
        <v>-56782972</v>
      </c>
      <c r="K530">
        <v>-319854668</v>
      </c>
      <c r="L530">
        <v>-236969456</v>
      </c>
      <c r="M530">
        <v>-24790325</v>
      </c>
      <c r="N530">
        <v>-176027789</v>
      </c>
      <c r="O530">
        <v>-4590725</v>
      </c>
      <c r="P530">
        <v>151</v>
      </c>
      <c r="Q530" t="s">
        <v>1106</v>
      </c>
    </row>
    <row r="531" spans="1:17" x14ac:dyDescent="0.3">
      <c r="A531" t="s">
        <v>17</v>
      </c>
      <c r="B531" t="str">
        <f>"600630"</f>
        <v>600630</v>
      </c>
      <c r="C531" t="s">
        <v>1107</v>
      </c>
      <c r="D531" t="s">
        <v>227</v>
      </c>
      <c r="F531">
        <v>-95921190</v>
      </c>
      <c r="G531">
        <v>-52450611</v>
      </c>
      <c r="H531">
        <v>-261342818</v>
      </c>
      <c r="I531">
        <v>-399411092</v>
      </c>
      <c r="J531">
        <v>-348345214</v>
      </c>
      <c r="K531">
        <v>-145774004</v>
      </c>
      <c r="L531">
        <v>-172390853</v>
      </c>
      <c r="M531">
        <v>-26551146</v>
      </c>
      <c r="N531">
        <v>-104835896</v>
      </c>
      <c r="O531">
        <v>81015344</v>
      </c>
      <c r="P531">
        <v>110</v>
      </c>
      <c r="Q531" t="s">
        <v>1108</v>
      </c>
    </row>
    <row r="532" spans="1:17" x14ac:dyDescent="0.3">
      <c r="A532" t="s">
        <v>17</v>
      </c>
      <c r="B532" t="str">
        <f>"600631"</f>
        <v>600631</v>
      </c>
      <c r="C532" t="s">
        <v>1109</v>
      </c>
      <c r="N532">
        <v>3221717258.5900002</v>
      </c>
      <c r="O532">
        <v>-2849044.13</v>
      </c>
      <c r="P532">
        <v>18</v>
      </c>
      <c r="Q532" t="s">
        <v>1110</v>
      </c>
    </row>
    <row r="533" spans="1:17" x14ac:dyDescent="0.3">
      <c r="A533" t="s">
        <v>17</v>
      </c>
      <c r="B533" t="str">
        <f>"600633"</f>
        <v>600633</v>
      </c>
      <c r="C533" t="s">
        <v>1111</v>
      </c>
      <c r="D533" t="s">
        <v>89</v>
      </c>
      <c r="F533">
        <v>421650648</v>
      </c>
      <c r="G533">
        <v>189784191</v>
      </c>
      <c r="H533">
        <v>263333754</v>
      </c>
      <c r="I533">
        <v>-294559949</v>
      </c>
      <c r="J533">
        <v>-431004680</v>
      </c>
      <c r="K533">
        <v>-171202131</v>
      </c>
      <c r="L533">
        <v>-36558409</v>
      </c>
      <c r="M533">
        <v>156388118</v>
      </c>
      <c r="N533">
        <v>237621525</v>
      </c>
      <c r="O533">
        <v>-126696179</v>
      </c>
      <c r="P533">
        <v>325</v>
      </c>
      <c r="Q533" t="s">
        <v>1112</v>
      </c>
    </row>
    <row r="534" spans="1:17" x14ac:dyDescent="0.3">
      <c r="A534" t="s">
        <v>17</v>
      </c>
      <c r="B534" t="str">
        <f>"600634"</f>
        <v>600634</v>
      </c>
      <c r="C534" t="s">
        <v>1113</v>
      </c>
      <c r="G534">
        <v>-67893103</v>
      </c>
      <c r="H534">
        <v>67380534</v>
      </c>
      <c r="I534">
        <v>-701965865</v>
      </c>
      <c r="J534">
        <v>343775718</v>
      </c>
      <c r="K534">
        <v>-305911974</v>
      </c>
      <c r="L534">
        <v>46490711</v>
      </c>
      <c r="M534">
        <v>-224281521</v>
      </c>
      <c r="N534">
        <v>1411792</v>
      </c>
      <c r="O534">
        <v>-19327270</v>
      </c>
      <c r="P534">
        <v>48</v>
      </c>
      <c r="Q534" t="s">
        <v>1114</v>
      </c>
    </row>
    <row r="535" spans="1:17" x14ac:dyDescent="0.3">
      <c r="A535" t="s">
        <v>17</v>
      </c>
      <c r="B535" t="str">
        <f>"600635"</f>
        <v>600635</v>
      </c>
      <c r="C535" t="s">
        <v>1115</v>
      </c>
      <c r="D535" t="s">
        <v>41</v>
      </c>
      <c r="F535">
        <v>339403847</v>
      </c>
      <c r="G535">
        <v>-495593275</v>
      </c>
      <c r="H535">
        <v>718433326</v>
      </c>
      <c r="I535">
        <v>-392636797</v>
      </c>
      <c r="J535">
        <v>39382286</v>
      </c>
      <c r="K535">
        <v>431307168</v>
      </c>
      <c r="L535">
        <v>-137010761</v>
      </c>
      <c r="M535">
        <v>150379090</v>
      </c>
      <c r="N535">
        <v>-68022943</v>
      </c>
      <c r="O535">
        <v>-327178633</v>
      </c>
      <c r="P535">
        <v>180</v>
      </c>
      <c r="Q535" t="s">
        <v>1116</v>
      </c>
    </row>
    <row r="536" spans="1:17" x14ac:dyDescent="0.3">
      <c r="A536" t="s">
        <v>17</v>
      </c>
      <c r="B536" t="str">
        <f>"600636"</f>
        <v>600636</v>
      </c>
      <c r="C536" t="s">
        <v>1117</v>
      </c>
      <c r="D536" t="s">
        <v>110</v>
      </c>
      <c r="F536">
        <v>12411730</v>
      </c>
      <c r="G536">
        <v>102790047</v>
      </c>
      <c r="H536">
        <v>-35466533</v>
      </c>
      <c r="I536">
        <v>-100560883</v>
      </c>
      <c r="J536">
        <v>-386096609</v>
      </c>
      <c r="K536">
        <v>87483046</v>
      </c>
      <c r="L536">
        <v>76913868</v>
      </c>
      <c r="M536">
        <v>29994961</v>
      </c>
      <c r="N536">
        <v>381877261</v>
      </c>
      <c r="O536">
        <v>204466416</v>
      </c>
      <c r="P536">
        <v>136</v>
      </c>
      <c r="Q536" t="s">
        <v>1118</v>
      </c>
    </row>
    <row r="537" spans="1:17" x14ac:dyDescent="0.3">
      <c r="A537" t="s">
        <v>17</v>
      </c>
      <c r="B537" t="str">
        <f>"600637"</f>
        <v>600637</v>
      </c>
      <c r="C537" t="s">
        <v>1119</v>
      </c>
      <c r="D537" t="s">
        <v>89</v>
      </c>
      <c r="F537">
        <v>-293097428</v>
      </c>
      <c r="G537">
        <v>870544216</v>
      </c>
      <c r="H537">
        <v>-23085845</v>
      </c>
      <c r="I537">
        <v>1206087615</v>
      </c>
      <c r="J537">
        <v>-729759105</v>
      </c>
      <c r="K537">
        <v>746035596</v>
      </c>
      <c r="L537">
        <v>237090669</v>
      </c>
      <c r="M537">
        <v>-113295931</v>
      </c>
      <c r="N537">
        <v>-24975429</v>
      </c>
      <c r="O537">
        <v>275883301</v>
      </c>
      <c r="P537">
        <v>442</v>
      </c>
      <c r="Q537" t="s">
        <v>1120</v>
      </c>
    </row>
    <row r="538" spans="1:17" x14ac:dyDescent="0.3">
      <c r="A538" t="s">
        <v>17</v>
      </c>
      <c r="B538" t="str">
        <f>"600638"</f>
        <v>600638</v>
      </c>
      <c r="C538" t="s">
        <v>1121</v>
      </c>
      <c r="D538" t="s">
        <v>30</v>
      </c>
      <c r="F538">
        <v>951693869</v>
      </c>
      <c r="G538">
        <v>808782265</v>
      </c>
      <c r="H538">
        <v>-805686250</v>
      </c>
      <c r="I538">
        <v>-646497482</v>
      </c>
      <c r="J538">
        <v>-316360894</v>
      </c>
      <c r="K538">
        <v>359577090</v>
      </c>
      <c r="L538">
        <v>288252862</v>
      </c>
      <c r="M538">
        <v>222554108</v>
      </c>
      <c r="N538">
        <v>-229540521</v>
      </c>
      <c r="O538">
        <v>498089760</v>
      </c>
      <c r="P538">
        <v>106</v>
      </c>
      <c r="Q538" t="s">
        <v>1122</v>
      </c>
    </row>
    <row r="539" spans="1:17" x14ac:dyDescent="0.3">
      <c r="A539" t="s">
        <v>17</v>
      </c>
      <c r="B539" t="str">
        <f>"600639"</f>
        <v>600639</v>
      </c>
      <c r="C539" t="s">
        <v>1123</v>
      </c>
      <c r="D539" t="s">
        <v>30</v>
      </c>
      <c r="F539">
        <v>-99448996</v>
      </c>
      <c r="G539">
        <v>2892059223</v>
      </c>
      <c r="H539">
        <v>-2288118017</v>
      </c>
      <c r="I539">
        <v>-522418599</v>
      </c>
      <c r="J539">
        <v>259599821</v>
      </c>
      <c r="K539">
        <v>402083306</v>
      </c>
      <c r="L539">
        <v>-606352245</v>
      </c>
      <c r="M539">
        <v>-130025</v>
      </c>
      <c r="N539">
        <v>-38170328</v>
      </c>
      <c r="O539">
        <v>-187961351</v>
      </c>
      <c r="P539">
        <v>189</v>
      </c>
      <c r="Q539" t="s">
        <v>1124</v>
      </c>
    </row>
    <row r="540" spans="1:17" x14ac:dyDescent="0.3">
      <c r="A540" t="s">
        <v>17</v>
      </c>
      <c r="B540" t="str">
        <f>"600640"</f>
        <v>600640</v>
      </c>
      <c r="C540" t="s">
        <v>1125</v>
      </c>
      <c r="D540" t="s">
        <v>89</v>
      </c>
      <c r="F540">
        <v>30631141</v>
      </c>
      <c r="G540">
        <v>-205157287</v>
      </c>
      <c r="H540">
        <v>-363426847</v>
      </c>
      <c r="I540">
        <v>346023275</v>
      </c>
      <c r="J540">
        <v>253206521</v>
      </c>
      <c r="K540">
        <v>-53135041</v>
      </c>
      <c r="L540">
        <v>-306801009</v>
      </c>
      <c r="M540">
        <v>-55610362</v>
      </c>
      <c r="N540">
        <v>-1851398</v>
      </c>
      <c r="O540">
        <v>70528585</v>
      </c>
      <c r="P540">
        <v>163</v>
      </c>
      <c r="Q540" t="s">
        <v>1126</v>
      </c>
    </row>
    <row r="541" spans="1:17" x14ac:dyDescent="0.3">
      <c r="A541" t="s">
        <v>17</v>
      </c>
      <c r="B541" t="str">
        <f>"600641"</f>
        <v>600641</v>
      </c>
      <c r="C541" t="s">
        <v>1127</v>
      </c>
      <c r="D541" t="s">
        <v>30</v>
      </c>
      <c r="F541">
        <v>-156943345</v>
      </c>
      <c r="G541">
        <v>222875351</v>
      </c>
      <c r="H541">
        <v>112765529</v>
      </c>
      <c r="I541">
        <v>48609438</v>
      </c>
      <c r="J541">
        <v>104955444</v>
      </c>
      <c r="K541">
        <v>1980351429</v>
      </c>
      <c r="L541">
        <v>735503714</v>
      </c>
      <c r="M541">
        <v>262568329</v>
      </c>
      <c r="N541">
        <v>596949532</v>
      </c>
      <c r="O541">
        <v>245309730</v>
      </c>
      <c r="P541">
        <v>404</v>
      </c>
      <c r="Q541" t="s">
        <v>1128</v>
      </c>
    </row>
    <row r="542" spans="1:17" x14ac:dyDescent="0.3">
      <c r="A542" t="s">
        <v>17</v>
      </c>
      <c r="B542" t="str">
        <f>"600642"</f>
        <v>600642</v>
      </c>
      <c r="C542" t="s">
        <v>1129</v>
      </c>
      <c r="D542" t="s">
        <v>41</v>
      </c>
      <c r="F542">
        <v>-178746537</v>
      </c>
      <c r="G542">
        <v>1446299077</v>
      </c>
      <c r="H542">
        <v>2575544515</v>
      </c>
      <c r="I542">
        <v>-407430439</v>
      </c>
      <c r="J542">
        <v>227625010</v>
      </c>
      <c r="K542">
        <v>989442482</v>
      </c>
      <c r="L542">
        <v>747520997</v>
      </c>
      <c r="M542">
        <v>3062659198</v>
      </c>
      <c r="N542">
        <v>2291545597</v>
      </c>
      <c r="O542">
        <v>2070273587</v>
      </c>
      <c r="P542">
        <v>458</v>
      </c>
      <c r="Q542" t="s">
        <v>1130</v>
      </c>
    </row>
    <row r="543" spans="1:17" x14ac:dyDescent="0.3">
      <c r="A543" t="s">
        <v>17</v>
      </c>
      <c r="B543" t="str">
        <f>"600643"</f>
        <v>600643</v>
      </c>
      <c r="C543" t="s">
        <v>1131</v>
      </c>
      <c r="D543" t="s">
        <v>75</v>
      </c>
      <c r="F543">
        <v>-3621066186</v>
      </c>
      <c r="G543">
        <v>866556634</v>
      </c>
      <c r="H543">
        <v>-1555878725</v>
      </c>
      <c r="I543">
        <v>926649286</v>
      </c>
      <c r="J543">
        <v>658457579</v>
      </c>
      <c r="K543">
        <v>544219853</v>
      </c>
      <c r="L543">
        <v>626714777</v>
      </c>
      <c r="M543">
        <v>-88790559</v>
      </c>
      <c r="N543">
        <v>-179338610</v>
      </c>
      <c r="O543">
        <v>-688505039</v>
      </c>
      <c r="P543">
        <v>344</v>
      </c>
      <c r="Q543" t="s">
        <v>1132</v>
      </c>
    </row>
    <row r="544" spans="1:17" x14ac:dyDescent="0.3">
      <c r="A544" t="s">
        <v>17</v>
      </c>
      <c r="B544" t="str">
        <f>"600644"</f>
        <v>600644</v>
      </c>
      <c r="C544" t="s">
        <v>1133</v>
      </c>
      <c r="D544" t="s">
        <v>41</v>
      </c>
      <c r="F544">
        <v>112976666</v>
      </c>
      <c r="G544">
        <v>-10549913</v>
      </c>
      <c r="H544">
        <v>53239230</v>
      </c>
      <c r="I544">
        <v>-58751276</v>
      </c>
      <c r="J544">
        <v>-69864837</v>
      </c>
      <c r="K544">
        <v>195436059</v>
      </c>
      <c r="L544">
        <v>15337816</v>
      </c>
      <c r="M544">
        <v>39699920</v>
      </c>
      <c r="N544">
        <v>57329554</v>
      </c>
      <c r="O544">
        <v>47779048</v>
      </c>
      <c r="P544">
        <v>81</v>
      </c>
      <c r="Q544" t="s">
        <v>1134</v>
      </c>
    </row>
    <row r="545" spans="1:17" x14ac:dyDescent="0.3">
      <c r="A545" t="s">
        <v>17</v>
      </c>
      <c r="B545" t="str">
        <f>"600645"</f>
        <v>600645</v>
      </c>
      <c r="C545" t="s">
        <v>1135</v>
      </c>
      <c r="D545" t="s">
        <v>113</v>
      </c>
      <c r="F545">
        <v>158436606</v>
      </c>
      <c r="G545">
        <v>88016918</v>
      </c>
      <c r="H545">
        <v>110105543</v>
      </c>
      <c r="I545">
        <v>-8662326</v>
      </c>
      <c r="J545">
        <v>9443792</v>
      </c>
      <c r="K545">
        <v>-144590083</v>
      </c>
      <c r="L545">
        <v>-80637866</v>
      </c>
      <c r="M545">
        <v>68232704</v>
      </c>
      <c r="N545">
        <v>831898</v>
      </c>
      <c r="O545">
        <v>74579978</v>
      </c>
      <c r="P545">
        <v>223</v>
      </c>
      <c r="Q545" t="s">
        <v>1136</v>
      </c>
    </row>
    <row r="546" spans="1:17" x14ac:dyDescent="0.3">
      <c r="A546" t="s">
        <v>17</v>
      </c>
      <c r="B546" t="str">
        <f>"600646"</f>
        <v>600646</v>
      </c>
      <c r="C546" t="s">
        <v>1137</v>
      </c>
      <c r="K546">
        <v>53483.53</v>
      </c>
      <c r="P546">
        <v>2</v>
      </c>
      <c r="Q546" t="s">
        <v>1138</v>
      </c>
    </row>
    <row r="547" spans="1:17" x14ac:dyDescent="0.3">
      <c r="A547" t="s">
        <v>17</v>
      </c>
      <c r="B547" t="str">
        <f>"600647"</f>
        <v>600647</v>
      </c>
      <c r="C547" t="s">
        <v>1139</v>
      </c>
      <c r="D547" t="s">
        <v>103</v>
      </c>
      <c r="F547">
        <v>-167945511</v>
      </c>
      <c r="G547">
        <v>-159271675</v>
      </c>
      <c r="H547">
        <v>-10672263</v>
      </c>
      <c r="I547">
        <v>-4309422</v>
      </c>
      <c r="J547">
        <v>-16143013</v>
      </c>
      <c r="K547">
        <v>-4011902</v>
      </c>
      <c r="L547">
        <v>11492983</v>
      </c>
      <c r="M547">
        <v>-41142280</v>
      </c>
      <c r="N547">
        <v>78753105</v>
      </c>
      <c r="O547">
        <v>37207729</v>
      </c>
      <c r="P547">
        <v>75</v>
      </c>
      <c r="Q547" t="s">
        <v>1140</v>
      </c>
    </row>
    <row r="548" spans="1:17" x14ac:dyDescent="0.3">
      <c r="A548" t="s">
        <v>17</v>
      </c>
      <c r="B548" t="str">
        <f>"600648"</f>
        <v>600648</v>
      </c>
      <c r="C548" t="s">
        <v>1141</v>
      </c>
      <c r="D548" t="s">
        <v>30</v>
      </c>
      <c r="F548">
        <v>687426224</v>
      </c>
      <c r="G548">
        <v>1615478247</v>
      </c>
      <c r="H548">
        <v>559653651</v>
      </c>
      <c r="I548">
        <v>-83624731</v>
      </c>
      <c r="J548">
        <v>1074591900</v>
      </c>
      <c r="K548">
        <v>-378345299</v>
      </c>
      <c r="L548">
        <v>-357546422</v>
      </c>
      <c r="M548">
        <v>206802629</v>
      </c>
      <c r="N548">
        <v>-1126348356</v>
      </c>
      <c r="O548">
        <v>-224874685</v>
      </c>
      <c r="P548">
        <v>139</v>
      </c>
      <c r="Q548" t="s">
        <v>1142</v>
      </c>
    </row>
    <row r="549" spans="1:17" x14ac:dyDescent="0.3">
      <c r="A549" t="s">
        <v>17</v>
      </c>
      <c r="B549" t="str">
        <f>"600649"</f>
        <v>600649</v>
      </c>
      <c r="C549" t="s">
        <v>1143</v>
      </c>
      <c r="D549" t="s">
        <v>30</v>
      </c>
      <c r="F549">
        <v>-11237057665</v>
      </c>
      <c r="G549">
        <v>-1767683547</v>
      </c>
      <c r="H549">
        <v>-4735843115</v>
      </c>
      <c r="I549">
        <v>-619580484</v>
      </c>
      <c r="J549">
        <v>-2057402638</v>
      </c>
      <c r="K549">
        <v>-344911006</v>
      </c>
      <c r="L549">
        <v>1373514797</v>
      </c>
      <c r="M549">
        <v>-1861684729</v>
      </c>
      <c r="N549">
        <v>-316960500</v>
      </c>
      <c r="O549">
        <v>-607397108</v>
      </c>
      <c r="P549">
        <v>205</v>
      </c>
      <c r="Q549" t="s">
        <v>1144</v>
      </c>
    </row>
    <row r="550" spans="1:17" x14ac:dyDescent="0.3">
      <c r="A550" t="s">
        <v>17</v>
      </c>
      <c r="B550" t="str">
        <f>"600650"</f>
        <v>600650</v>
      </c>
      <c r="C550" t="s">
        <v>1145</v>
      </c>
      <c r="D550" t="s">
        <v>22</v>
      </c>
      <c r="F550">
        <v>-123966386</v>
      </c>
      <c r="G550">
        <v>76636633</v>
      </c>
      <c r="H550">
        <v>113709358</v>
      </c>
      <c r="I550">
        <v>3232276</v>
      </c>
      <c r="J550">
        <v>95432104</v>
      </c>
      <c r="K550">
        <v>-38680787</v>
      </c>
      <c r="L550">
        <v>-27948230</v>
      </c>
      <c r="M550">
        <v>-7401095</v>
      </c>
      <c r="N550">
        <v>16928442</v>
      </c>
      <c r="O550">
        <v>101694690</v>
      </c>
      <c r="P550">
        <v>114</v>
      </c>
      <c r="Q550" t="s">
        <v>1146</v>
      </c>
    </row>
    <row r="551" spans="1:17" x14ac:dyDescent="0.3">
      <c r="A551" t="s">
        <v>17</v>
      </c>
      <c r="B551" t="str">
        <f>"600651"</f>
        <v>600651</v>
      </c>
      <c r="C551" t="s">
        <v>1147</v>
      </c>
      <c r="D551" t="s">
        <v>150</v>
      </c>
      <c r="F551">
        <v>-120736343</v>
      </c>
      <c r="G551">
        <v>-470582744</v>
      </c>
      <c r="H551">
        <v>-120575255</v>
      </c>
      <c r="I551">
        <v>-267091931</v>
      </c>
      <c r="J551">
        <v>-928581539</v>
      </c>
      <c r="K551">
        <v>-1508204808</v>
      </c>
      <c r="L551">
        <v>-620760014</v>
      </c>
      <c r="M551">
        <v>-82332551</v>
      </c>
      <c r="N551">
        <v>-174047146</v>
      </c>
      <c r="O551">
        <v>-111307499</v>
      </c>
      <c r="P551">
        <v>112</v>
      </c>
      <c r="Q551" t="s">
        <v>1148</v>
      </c>
    </row>
    <row r="552" spans="1:17" x14ac:dyDescent="0.3">
      <c r="A552" t="s">
        <v>17</v>
      </c>
      <c r="B552" t="str">
        <f>"600652"</f>
        <v>600652</v>
      </c>
      <c r="C552" t="s">
        <v>1149</v>
      </c>
      <c r="D552" t="s">
        <v>89</v>
      </c>
      <c r="F552">
        <v>-31952340</v>
      </c>
      <c r="G552">
        <v>-2178293</v>
      </c>
      <c r="H552">
        <v>-29261689</v>
      </c>
      <c r="I552">
        <v>-49637294</v>
      </c>
      <c r="J552">
        <v>75763521</v>
      </c>
      <c r="K552">
        <v>32990927</v>
      </c>
      <c r="L552">
        <v>289786992</v>
      </c>
      <c r="M552">
        <v>33197947</v>
      </c>
      <c r="N552">
        <v>-274997369</v>
      </c>
      <c r="O552">
        <v>126840846</v>
      </c>
      <c r="P552">
        <v>79</v>
      </c>
      <c r="Q552" t="s">
        <v>1150</v>
      </c>
    </row>
    <row r="553" spans="1:17" x14ac:dyDescent="0.3">
      <c r="A553" t="s">
        <v>17</v>
      </c>
      <c r="B553" t="str">
        <f>"600653"</f>
        <v>600653</v>
      </c>
      <c r="C553" t="s">
        <v>1151</v>
      </c>
      <c r="D553" t="s">
        <v>27</v>
      </c>
      <c r="F553">
        <v>310813951</v>
      </c>
      <c r="G553">
        <v>205708544</v>
      </c>
      <c r="H553">
        <v>-614606031</v>
      </c>
      <c r="I553">
        <v>84771403</v>
      </c>
      <c r="J553">
        <v>-738046653</v>
      </c>
      <c r="K553">
        <v>-373183296</v>
      </c>
      <c r="L553">
        <v>-104719344</v>
      </c>
      <c r="M553">
        <v>-2523302</v>
      </c>
      <c r="N553">
        <v>-13731414</v>
      </c>
      <c r="O553">
        <v>-190236249</v>
      </c>
      <c r="P553">
        <v>93</v>
      </c>
      <c r="Q553" t="s">
        <v>1152</v>
      </c>
    </row>
    <row r="554" spans="1:17" x14ac:dyDescent="0.3">
      <c r="A554" t="s">
        <v>17</v>
      </c>
      <c r="B554" t="str">
        <f>"600654"</f>
        <v>600654</v>
      </c>
      <c r="C554" t="s">
        <v>1153</v>
      </c>
      <c r="D554" t="s">
        <v>212</v>
      </c>
      <c r="F554">
        <v>-135165373</v>
      </c>
      <c r="G554">
        <v>58373477</v>
      </c>
      <c r="H554">
        <v>-8600625</v>
      </c>
      <c r="I554">
        <v>851640635</v>
      </c>
      <c r="J554">
        <v>-44983583</v>
      </c>
      <c r="K554">
        <v>-784957462</v>
      </c>
      <c r="L554">
        <v>290704742</v>
      </c>
      <c r="M554">
        <v>-91523843</v>
      </c>
      <c r="N554">
        <v>-67983634</v>
      </c>
      <c r="O554">
        <v>-74359900</v>
      </c>
      <c r="P554">
        <v>76</v>
      </c>
      <c r="Q554" t="s">
        <v>1154</v>
      </c>
    </row>
    <row r="555" spans="1:17" x14ac:dyDescent="0.3">
      <c r="A555" t="s">
        <v>17</v>
      </c>
      <c r="B555" t="str">
        <f>"600655"</f>
        <v>600655</v>
      </c>
      <c r="C555" t="s">
        <v>1155</v>
      </c>
      <c r="D555" t="s">
        <v>120</v>
      </c>
      <c r="F555">
        <v>-6149492013</v>
      </c>
      <c r="G555">
        <v>-3750362376</v>
      </c>
      <c r="H555">
        <v>-972548075</v>
      </c>
      <c r="I555">
        <v>834280339</v>
      </c>
      <c r="J555">
        <v>85473976</v>
      </c>
      <c r="K555">
        <v>-1218273297</v>
      </c>
      <c r="L555">
        <v>-1388773115</v>
      </c>
      <c r="M555">
        <v>83504882</v>
      </c>
      <c r="N555">
        <v>-174011334</v>
      </c>
      <c r="O555">
        <v>1031443909</v>
      </c>
      <c r="P555">
        <v>409</v>
      </c>
      <c r="Q555" t="s">
        <v>1156</v>
      </c>
    </row>
    <row r="556" spans="1:17" x14ac:dyDescent="0.3">
      <c r="A556" t="s">
        <v>17</v>
      </c>
      <c r="B556" t="str">
        <f>"600656"</f>
        <v>600656</v>
      </c>
      <c r="C556" t="s">
        <v>1157</v>
      </c>
      <c r="L556">
        <v>52374.54</v>
      </c>
      <c r="M556">
        <v>-114287930.23999999</v>
      </c>
      <c r="N556">
        <v>-8110945.1200000001</v>
      </c>
      <c r="O556">
        <v>-12197408.82</v>
      </c>
      <c r="P556">
        <v>3</v>
      </c>
      <c r="Q556" t="s">
        <v>1158</v>
      </c>
    </row>
    <row r="557" spans="1:17" x14ac:dyDescent="0.3">
      <c r="A557" t="s">
        <v>17</v>
      </c>
      <c r="B557" t="str">
        <f>"600657"</f>
        <v>600657</v>
      </c>
      <c r="C557" t="s">
        <v>1159</v>
      </c>
      <c r="D557" t="s">
        <v>30</v>
      </c>
      <c r="F557">
        <v>7476170860</v>
      </c>
      <c r="G557">
        <v>5681065871</v>
      </c>
      <c r="H557">
        <v>2608382476</v>
      </c>
      <c r="I557">
        <v>4868071201</v>
      </c>
      <c r="J557">
        <v>5412929468</v>
      </c>
      <c r="K557">
        <v>-4895697579</v>
      </c>
      <c r="L557">
        <v>-2758439886</v>
      </c>
      <c r="M557">
        <v>-6607678431</v>
      </c>
      <c r="N557">
        <v>-1757688931</v>
      </c>
      <c r="O557">
        <v>-767663040</v>
      </c>
      <c r="P557">
        <v>423</v>
      </c>
      <c r="Q557" t="s">
        <v>1160</v>
      </c>
    </row>
    <row r="558" spans="1:17" x14ac:dyDescent="0.3">
      <c r="A558" t="s">
        <v>17</v>
      </c>
      <c r="B558" t="str">
        <f>"600658"</f>
        <v>600658</v>
      </c>
      <c r="C558" t="s">
        <v>1161</v>
      </c>
      <c r="D558" t="s">
        <v>30</v>
      </c>
      <c r="F558">
        <v>508194597</v>
      </c>
      <c r="G558">
        <v>77477561</v>
      </c>
      <c r="H558">
        <v>-2927514904</v>
      </c>
      <c r="I558">
        <v>-4387702558</v>
      </c>
      <c r="J558">
        <v>-1055108228</v>
      </c>
      <c r="K558">
        <v>-395094462</v>
      </c>
      <c r="L558">
        <v>-93427267</v>
      </c>
      <c r="M558">
        <v>269471379</v>
      </c>
      <c r="N558">
        <v>53038669</v>
      </c>
      <c r="O558">
        <v>388299167</v>
      </c>
      <c r="P558">
        <v>136</v>
      </c>
      <c r="Q558" t="s">
        <v>1162</v>
      </c>
    </row>
    <row r="559" spans="1:17" x14ac:dyDescent="0.3">
      <c r="A559" t="s">
        <v>17</v>
      </c>
      <c r="B559" t="str">
        <f>"600660"</f>
        <v>600660</v>
      </c>
      <c r="C559" t="s">
        <v>1163</v>
      </c>
      <c r="D559" t="s">
        <v>27</v>
      </c>
      <c r="F559">
        <v>2946829027</v>
      </c>
      <c r="G559">
        <v>1783719294</v>
      </c>
      <c r="H559">
        <v>1549891090</v>
      </c>
      <c r="I559">
        <v>1883445501</v>
      </c>
      <c r="J559">
        <v>444628601</v>
      </c>
      <c r="K559">
        <v>6998111</v>
      </c>
      <c r="L559">
        <v>13828917</v>
      </c>
      <c r="M559">
        <v>499807435</v>
      </c>
      <c r="N559">
        <v>862658347</v>
      </c>
      <c r="O559">
        <v>824796372</v>
      </c>
      <c r="P559">
        <v>13821</v>
      </c>
      <c r="Q559" t="s">
        <v>1164</v>
      </c>
    </row>
    <row r="560" spans="1:17" x14ac:dyDescent="0.3">
      <c r="A560" t="s">
        <v>17</v>
      </c>
      <c r="B560" t="str">
        <f>"600661"</f>
        <v>600661</v>
      </c>
      <c r="C560" t="s">
        <v>1165</v>
      </c>
      <c r="D560" t="s">
        <v>110</v>
      </c>
      <c r="F560">
        <v>-13879247</v>
      </c>
      <c r="G560">
        <v>-58144508</v>
      </c>
      <c r="H560">
        <v>-187769004</v>
      </c>
      <c r="I560">
        <v>130408283</v>
      </c>
      <c r="J560">
        <v>144336311</v>
      </c>
      <c r="K560">
        <v>274639171</v>
      </c>
      <c r="L560">
        <v>113501832</v>
      </c>
      <c r="M560">
        <v>118342388</v>
      </c>
      <c r="N560">
        <v>8632473</v>
      </c>
      <c r="O560">
        <v>-11431680</v>
      </c>
      <c r="P560">
        <v>147</v>
      </c>
      <c r="Q560" t="s">
        <v>1166</v>
      </c>
    </row>
    <row r="561" spans="1:17" x14ac:dyDescent="0.3">
      <c r="A561" t="s">
        <v>17</v>
      </c>
      <c r="B561" t="str">
        <f>"600662"</f>
        <v>600662</v>
      </c>
      <c r="C561" t="s">
        <v>1167</v>
      </c>
      <c r="D561" t="s">
        <v>22</v>
      </c>
      <c r="F561">
        <v>900670050</v>
      </c>
      <c r="G561">
        <v>-5481387</v>
      </c>
      <c r="H561">
        <v>-97445222</v>
      </c>
      <c r="I561">
        <v>39438262</v>
      </c>
      <c r="J561">
        <v>251112427</v>
      </c>
      <c r="K561">
        <v>434637855</v>
      </c>
      <c r="L561">
        <v>-41340374</v>
      </c>
      <c r="M561">
        <v>156429338</v>
      </c>
      <c r="N561">
        <v>242332415</v>
      </c>
      <c r="O561">
        <v>-53943943</v>
      </c>
      <c r="P561">
        <v>131</v>
      </c>
      <c r="Q561" t="s">
        <v>1168</v>
      </c>
    </row>
    <row r="562" spans="1:17" x14ac:dyDescent="0.3">
      <c r="A562" t="s">
        <v>17</v>
      </c>
      <c r="B562" t="str">
        <f>"600663"</f>
        <v>600663</v>
      </c>
      <c r="C562" t="s">
        <v>1169</v>
      </c>
      <c r="D562" t="s">
        <v>30</v>
      </c>
      <c r="F562">
        <v>1317233083</v>
      </c>
      <c r="G562">
        <v>-3245574492</v>
      </c>
      <c r="H562">
        <v>-11353658532</v>
      </c>
      <c r="I562">
        <v>998159442</v>
      </c>
      <c r="J562">
        <v>-2143091591</v>
      </c>
      <c r="K562">
        <v>4236402933</v>
      </c>
      <c r="L562">
        <v>2019144315</v>
      </c>
      <c r="M562">
        <v>-1583091528</v>
      </c>
      <c r="N562">
        <v>130283616</v>
      </c>
      <c r="O562">
        <v>1760152037</v>
      </c>
      <c r="P562">
        <v>701</v>
      </c>
      <c r="Q562" t="s">
        <v>1170</v>
      </c>
    </row>
    <row r="563" spans="1:17" x14ac:dyDescent="0.3">
      <c r="A563" t="s">
        <v>17</v>
      </c>
      <c r="B563" t="str">
        <f>"600664"</f>
        <v>600664</v>
      </c>
      <c r="C563" t="s">
        <v>1171</v>
      </c>
      <c r="D563" t="s">
        <v>113</v>
      </c>
      <c r="F563">
        <v>-59159340</v>
      </c>
      <c r="G563">
        <v>-137184213</v>
      </c>
      <c r="H563">
        <v>-170343982</v>
      </c>
      <c r="I563">
        <v>114700305</v>
      </c>
      <c r="J563">
        <v>51090042</v>
      </c>
      <c r="K563">
        <v>2208265775</v>
      </c>
      <c r="L563">
        <v>555912231</v>
      </c>
      <c r="M563">
        <v>758304532</v>
      </c>
      <c r="N563">
        <v>159171097</v>
      </c>
      <c r="O563">
        <v>480376794</v>
      </c>
      <c r="P563">
        <v>499</v>
      </c>
      <c r="Q563" t="s">
        <v>1172</v>
      </c>
    </row>
    <row r="564" spans="1:17" x14ac:dyDescent="0.3">
      <c r="A564" t="s">
        <v>17</v>
      </c>
      <c r="B564" t="str">
        <f>"600665"</f>
        <v>600665</v>
      </c>
      <c r="C564" t="s">
        <v>1173</v>
      </c>
      <c r="D564" t="s">
        <v>30</v>
      </c>
      <c r="F564">
        <v>281000783</v>
      </c>
      <c r="G564">
        <v>1183852795</v>
      </c>
      <c r="H564">
        <v>-983654013</v>
      </c>
      <c r="I564">
        <v>1788983174</v>
      </c>
      <c r="J564">
        <v>502733359</v>
      </c>
      <c r="K564">
        <v>996526955</v>
      </c>
      <c r="L564">
        <v>-950346330</v>
      </c>
      <c r="M564">
        <v>69605420</v>
      </c>
      <c r="N564">
        <v>-1803603600</v>
      </c>
      <c r="O564">
        <v>-97619878</v>
      </c>
      <c r="P564">
        <v>455</v>
      </c>
      <c r="Q564" t="s">
        <v>1174</v>
      </c>
    </row>
    <row r="565" spans="1:17" x14ac:dyDescent="0.3">
      <c r="A565" t="s">
        <v>17</v>
      </c>
      <c r="B565" t="str">
        <f>"600666"</f>
        <v>600666</v>
      </c>
      <c r="C565" t="s">
        <v>1175</v>
      </c>
      <c r="D565" t="s">
        <v>150</v>
      </c>
      <c r="F565">
        <v>25775222</v>
      </c>
      <c r="G565">
        <v>-54583888</v>
      </c>
      <c r="H565">
        <v>79906148</v>
      </c>
      <c r="I565">
        <v>-171974458</v>
      </c>
      <c r="J565">
        <v>-74663871</v>
      </c>
      <c r="K565">
        <v>-614048042</v>
      </c>
      <c r="L565">
        <v>-688214010</v>
      </c>
      <c r="M565">
        <v>120658665</v>
      </c>
      <c r="N565">
        <v>59405577</v>
      </c>
      <c r="O565">
        <v>137609809</v>
      </c>
      <c r="P565">
        <v>75</v>
      </c>
      <c r="Q565" t="s">
        <v>1176</v>
      </c>
    </row>
    <row r="566" spans="1:17" x14ac:dyDescent="0.3">
      <c r="A566" t="s">
        <v>17</v>
      </c>
      <c r="B566" t="str">
        <f>"600667"</f>
        <v>600667</v>
      </c>
      <c r="C566" t="s">
        <v>1177</v>
      </c>
      <c r="D566" t="s">
        <v>150</v>
      </c>
      <c r="F566">
        <v>-756552895</v>
      </c>
      <c r="G566">
        <v>425032807</v>
      </c>
      <c r="H566">
        <v>-644928609</v>
      </c>
      <c r="I566">
        <v>-277089950</v>
      </c>
      <c r="J566">
        <v>-1224858566</v>
      </c>
      <c r="K566">
        <v>-197981310</v>
      </c>
      <c r="L566">
        <v>-271166053</v>
      </c>
      <c r="M566">
        <v>-148186270</v>
      </c>
      <c r="N566">
        <v>-261228588</v>
      </c>
      <c r="O566">
        <v>373586438</v>
      </c>
      <c r="P566">
        <v>445</v>
      </c>
      <c r="Q566" t="s">
        <v>1178</v>
      </c>
    </row>
    <row r="567" spans="1:17" x14ac:dyDescent="0.3">
      <c r="A567" t="s">
        <v>17</v>
      </c>
      <c r="B567" t="str">
        <f>"600668"</f>
        <v>600668</v>
      </c>
      <c r="C567" t="s">
        <v>1179</v>
      </c>
      <c r="D567" t="s">
        <v>103</v>
      </c>
      <c r="F567">
        <v>49568765</v>
      </c>
      <c r="G567">
        <v>-112228540</v>
      </c>
      <c r="H567">
        <v>168131331</v>
      </c>
      <c r="I567">
        <v>298881159</v>
      </c>
      <c r="J567">
        <v>134944520</v>
      </c>
      <c r="K567">
        <v>160318292</v>
      </c>
      <c r="L567">
        <v>-132812715</v>
      </c>
      <c r="M567">
        <v>98975424</v>
      </c>
      <c r="N567">
        <v>-89335556</v>
      </c>
      <c r="O567">
        <v>-168438715</v>
      </c>
      <c r="P567">
        <v>343</v>
      </c>
      <c r="Q567" t="s">
        <v>1180</v>
      </c>
    </row>
    <row r="568" spans="1:17" x14ac:dyDescent="0.3">
      <c r="A568" t="s">
        <v>17</v>
      </c>
      <c r="B568" t="str">
        <f>"600669"</f>
        <v>600669</v>
      </c>
      <c r="C568" t="s">
        <v>1181</v>
      </c>
      <c r="K568">
        <v>56094371.390000001</v>
      </c>
      <c r="P568">
        <v>2</v>
      </c>
      <c r="Q568" t="s">
        <v>1182</v>
      </c>
    </row>
    <row r="569" spans="1:17" x14ac:dyDescent="0.3">
      <c r="A569" t="s">
        <v>17</v>
      </c>
      <c r="B569" t="str">
        <f>"600670"</f>
        <v>600670</v>
      </c>
      <c r="C569" t="s">
        <v>1183</v>
      </c>
      <c r="K569">
        <v>590565.96</v>
      </c>
      <c r="P569">
        <v>2</v>
      </c>
      <c r="Q569" t="s">
        <v>1184</v>
      </c>
    </row>
    <row r="570" spans="1:17" x14ac:dyDescent="0.3">
      <c r="A570" t="s">
        <v>17</v>
      </c>
      <c r="B570" t="str">
        <f>"600671"</f>
        <v>600671</v>
      </c>
      <c r="C570" t="s">
        <v>1185</v>
      </c>
      <c r="D570" t="s">
        <v>113</v>
      </c>
      <c r="F570">
        <v>-5987824</v>
      </c>
      <c r="G570">
        <v>-22169807</v>
      </c>
      <c r="H570">
        <v>50532064</v>
      </c>
      <c r="I570">
        <v>16979304</v>
      </c>
      <c r="J570">
        <v>-14078913</v>
      </c>
      <c r="K570">
        <v>-19825026</v>
      </c>
      <c r="L570">
        <v>-18510458</v>
      </c>
      <c r="M570">
        <v>-26520621</v>
      </c>
      <c r="N570">
        <v>32798964</v>
      </c>
      <c r="O570">
        <v>-22992363</v>
      </c>
      <c r="P570">
        <v>104</v>
      </c>
      <c r="Q570" t="s">
        <v>1186</v>
      </c>
    </row>
    <row r="571" spans="1:17" x14ac:dyDescent="0.3">
      <c r="A571" t="s">
        <v>17</v>
      </c>
      <c r="B571" t="str">
        <f>"600672"</f>
        <v>600672</v>
      </c>
      <c r="C571" t="s">
        <v>1187</v>
      </c>
      <c r="K571">
        <v>30022847.289999999</v>
      </c>
      <c r="P571">
        <v>2</v>
      </c>
      <c r="Q571" t="s">
        <v>1188</v>
      </c>
    </row>
    <row r="572" spans="1:17" x14ac:dyDescent="0.3">
      <c r="A572" t="s">
        <v>17</v>
      </c>
      <c r="B572" t="str">
        <f>"600673"</f>
        <v>600673</v>
      </c>
      <c r="C572" t="s">
        <v>1189</v>
      </c>
      <c r="D572" t="s">
        <v>113</v>
      </c>
      <c r="F572">
        <v>148537566</v>
      </c>
      <c r="G572">
        <v>409495006</v>
      </c>
      <c r="H572">
        <v>-116064822</v>
      </c>
      <c r="I572">
        <v>567022423</v>
      </c>
      <c r="J572">
        <v>-439842860</v>
      </c>
      <c r="K572">
        <v>421502293</v>
      </c>
      <c r="L572">
        <v>-138476356</v>
      </c>
      <c r="M572">
        <v>479266756</v>
      </c>
      <c r="N572">
        <v>-36621208</v>
      </c>
      <c r="O572">
        <v>307157470</v>
      </c>
      <c r="P572">
        <v>275</v>
      </c>
      <c r="Q572" t="s">
        <v>1190</v>
      </c>
    </row>
    <row r="573" spans="1:17" x14ac:dyDescent="0.3">
      <c r="A573" t="s">
        <v>17</v>
      </c>
      <c r="B573" t="str">
        <f>"600674"</f>
        <v>600674</v>
      </c>
      <c r="C573" t="s">
        <v>1191</v>
      </c>
      <c r="D573" t="s">
        <v>41</v>
      </c>
      <c r="F573">
        <v>-247342171</v>
      </c>
      <c r="G573">
        <v>-19897782</v>
      </c>
      <c r="H573">
        <v>274581232</v>
      </c>
      <c r="I573">
        <v>340960724</v>
      </c>
      <c r="J573">
        <v>487286296</v>
      </c>
      <c r="K573">
        <v>257809818</v>
      </c>
      <c r="L573">
        <v>542552884</v>
      </c>
      <c r="M573">
        <v>337843501</v>
      </c>
      <c r="N573">
        <v>508244708</v>
      </c>
      <c r="O573">
        <v>380865889</v>
      </c>
      <c r="P573">
        <v>1531</v>
      </c>
      <c r="Q573" t="s">
        <v>1192</v>
      </c>
    </row>
    <row r="574" spans="1:17" x14ac:dyDescent="0.3">
      <c r="A574" t="s">
        <v>17</v>
      </c>
      <c r="B574" t="str">
        <f>"600675"</f>
        <v>600675</v>
      </c>
      <c r="C574" t="s">
        <v>1193</v>
      </c>
      <c r="D574" t="s">
        <v>30</v>
      </c>
      <c r="F574">
        <v>-616350380</v>
      </c>
      <c r="G574">
        <v>1562906303</v>
      </c>
      <c r="H574">
        <v>-1552910005</v>
      </c>
      <c r="I574">
        <v>1747317445</v>
      </c>
      <c r="J574">
        <v>3232784994</v>
      </c>
      <c r="K574">
        <v>7371664822</v>
      </c>
      <c r="L574">
        <v>2519143331</v>
      </c>
      <c r="M574">
        <v>-855355469</v>
      </c>
      <c r="N574">
        <v>753814635</v>
      </c>
      <c r="O574">
        <v>831154005</v>
      </c>
      <c r="P574">
        <v>186</v>
      </c>
      <c r="Q574" t="s">
        <v>1194</v>
      </c>
    </row>
    <row r="575" spans="1:17" x14ac:dyDescent="0.3">
      <c r="A575" t="s">
        <v>17</v>
      </c>
      <c r="B575" t="str">
        <f>"600676"</f>
        <v>600676</v>
      </c>
      <c r="C575" t="s">
        <v>1195</v>
      </c>
      <c r="D575" t="s">
        <v>103</v>
      </c>
      <c r="F575">
        <v>81357409</v>
      </c>
      <c r="G575">
        <v>162595190</v>
      </c>
      <c r="H575">
        <v>228892025</v>
      </c>
      <c r="I575">
        <v>118779995</v>
      </c>
      <c r="J575">
        <v>-12715333</v>
      </c>
      <c r="K575">
        <v>648622</v>
      </c>
      <c r="L575">
        <v>188913435</v>
      </c>
      <c r="M575">
        <v>198564347</v>
      </c>
      <c r="N575">
        <v>-160180519</v>
      </c>
      <c r="O575">
        <v>87822486</v>
      </c>
      <c r="P575">
        <v>88</v>
      </c>
      <c r="Q575" t="s">
        <v>1196</v>
      </c>
    </row>
    <row r="576" spans="1:17" x14ac:dyDescent="0.3">
      <c r="A576" t="s">
        <v>17</v>
      </c>
      <c r="B576" t="str">
        <f>"600677"</f>
        <v>600677</v>
      </c>
      <c r="C576" t="s">
        <v>1197</v>
      </c>
      <c r="G576">
        <v>-263956123</v>
      </c>
      <c r="H576">
        <v>-113696919</v>
      </c>
      <c r="I576">
        <v>-412086128</v>
      </c>
      <c r="J576">
        <v>-1271746711</v>
      </c>
      <c r="K576">
        <v>-1213511667</v>
      </c>
      <c r="L576">
        <v>-1124384155</v>
      </c>
      <c r="M576">
        <v>-1453847787</v>
      </c>
      <c r="N576">
        <v>-527452661</v>
      </c>
      <c r="O576">
        <v>-799884353</v>
      </c>
      <c r="P576">
        <v>77</v>
      </c>
      <c r="Q576" t="s">
        <v>1198</v>
      </c>
    </row>
    <row r="577" spans="1:17" x14ac:dyDescent="0.3">
      <c r="A577" t="s">
        <v>17</v>
      </c>
      <c r="B577" t="str">
        <f>"600678"</f>
        <v>600678</v>
      </c>
      <c r="C577" t="s">
        <v>1199</v>
      </c>
      <c r="D577" t="s">
        <v>350</v>
      </c>
      <c r="F577">
        <v>9308848</v>
      </c>
      <c r="G577">
        <v>21846068</v>
      </c>
      <c r="H577">
        <v>52371241</v>
      </c>
      <c r="I577">
        <v>-63521671</v>
      </c>
      <c r="J577">
        <v>5289938</v>
      </c>
      <c r="K577">
        <v>-5061982</v>
      </c>
      <c r="L577">
        <v>-46101030</v>
      </c>
      <c r="M577">
        <v>-31197211</v>
      </c>
      <c r="N577">
        <v>-75823580</v>
      </c>
      <c r="O577">
        <v>-43038606</v>
      </c>
      <c r="P577">
        <v>195</v>
      </c>
      <c r="Q577" t="s">
        <v>1200</v>
      </c>
    </row>
    <row r="578" spans="1:17" x14ac:dyDescent="0.3">
      <c r="A578" t="s">
        <v>17</v>
      </c>
      <c r="B578" t="str">
        <f>"600679"</f>
        <v>600679</v>
      </c>
      <c r="C578" t="s">
        <v>1201</v>
      </c>
      <c r="D578" t="s">
        <v>27</v>
      </c>
      <c r="F578">
        <v>-39744628</v>
      </c>
      <c r="G578">
        <v>-4553057</v>
      </c>
      <c r="H578">
        <v>-175826</v>
      </c>
      <c r="I578">
        <v>-70386131</v>
      </c>
      <c r="J578">
        <v>22881636</v>
      </c>
      <c r="K578">
        <v>-16111342</v>
      </c>
      <c r="L578">
        <v>5300879</v>
      </c>
      <c r="M578">
        <v>-23360282</v>
      </c>
      <c r="N578">
        <v>-68386624</v>
      </c>
      <c r="O578">
        <v>31266496</v>
      </c>
      <c r="P578">
        <v>77</v>
      </c>
      <c r="Q578" t="s">
        <v>1202</v>
      </c>
    </row>
    <row r="579" spans="1:17" x14ac:dyDescent="0.3">
      <c r="A579" t="s">
        <v>17</v>
      </c>
      <c r="B579" t="str">
        <f>"600680"</f>
        <v>600680</v>
      </c>
      <c r="C579" t="s">
        <v>1203</v>
      </c>
      <c r="H579">
        <v>116165780</v>
      </c>
      <c r="I579">
        <v>-17618744</v>
      </c>
      <c r="J579">
        <v>-67564385</v>
      </c>
      <c r="K579">
        <v>-36444942.460000001</v>
      </c>
      <c r="L579">
        <v>-153812006.61000001</v>
      </c>
      <c r="M579">
        <v>-301902062.02999997</v>
      </c>
      <c r="N579">
        <v>-249216111.31999999</v>
      </c>
      <c r="O579">
        <v>-237229405.21000001</v>
      </c>
      <c r="P579">
        <v>20</v>
      </c>
      <c r="Q579" t="s">
        <v>1204</v>
      </c>
    </row>
    <row r="580" spans="1:17" x14ac:dyDescent="0.3">
      <c r="A580" t="s">
        <v>17</v>
      </c>
      <c r="B580" t="str">
        <f>"600681"</f>
        <v>600681</v>
      </c>
      <c r="C580" t="s">
        <v>1205</v>
      </c>
      <c r="D580" t="s">
        <v>41</v>
      </c>
      <c r="F580">
        <v>166070236</v>
      </c>
      <c r="G580">
        <v>139943874</v>
      </c>
      <c r="H580">
        <v>104864787</v>
      </c>
      <c r="I580">
        <v>-148412773</v>
      </c>
      <c r="J580">
        <v>-517682764</v>
      </c>
      <c r="K580">
        <v>65505071</v>
      </c>
      <c r="L580">
        <v>378558</v>
      </c>
      <c r="M580">
        <v>-5102835</v>
      </c>
      <c r="N580">
        <v>-4214871</v>
      </c>
      <c r="O580">
        <v>1371393</v>
      </c>
      <c r="P580">
        <v>472</v>
      </c>
      <c r="Q580" t="s">
        <v>1206</v>
      </c>
    </row>
    <row r="581" spans="1:17" x14ac:dyDescent="0.3">
      <c r="A581" t="s">
        <v>17</v>
      </c>
      <c r="B581" t="str">
        <f>"600682"</f>
        <v>600682</v>
      </c>
      <c r="C581" t="s">
        <v>1207</v>
      </c>
      <c r="D581" t="s">
        <v>113</v>
      </c>
      <c r="F581">
        <v>931958823</v>
      </c>
      <c r="G581">
        <v>1056169217</v>
      </c>
      <c r="H581">
        <v>-132476792</v>
      </c>
      <c r="I581">
        <v>171783520</v>
      </c>
      <c r="J581">
        <v>-1851115239</v>
      </c>
      <c r="K581">
        <v>601557208</v>
      </c>
      <c r="L581">
        <v>-598544827</v>
      </c>
      <c r="M581">
        <v>-172188105</v>
      </c>
      <c r="N581">
        <v>127362438</v>
      </c>
      <c r="O581">
        <v>69660883</v>
      </c>
      <c r="P581">
        <v>237</v>
      </c>
      <c r="Q581" t="s">
        <v>1208</v>
      </c>
    </row>
    <row r="582" spans="1:17" x14ac:dyDescent="0.3">
      <c r="A582" t="s">
        <v>17</v>
      </c>
      <c r="B582" t="str">
        <f>"600683"</f>
        <v>600683</v>
      </c>
      <c r="C582" t="s">
        <v>1209</v>
      </c>
      <c r="D582" t="s">
        <v>30</v>
      </c>
      <c r="F582">
        <v>5476606292</v>
      </c>
      <c r="G582">
        <v>5818160937</v>
      </c>
      <c r="H582">
        <v>-8425222338</v>
      </c>
      <c r="I582">
        <v>-691497147</v>
      </c>
      <c r="J582">
        <v>-188156014</v>
      </c>
      <c r="K582">
        <v>2626405792</v>
      </c>
      <c r="L582">
        <v>3798735171</v>
      </c>
      <c r="M582">
        <v>2204022618</v>
      </c>
      <c r="N582">
        <v>-9467004620</v>
      </c>
      <c r="O582">
        <v>-277749222</v>
      </c>
      <c r="P582">
        <v>224</v>
      </c>
      <c r="Q582" t="s">
        <v>1210</v>
      </c>
    </row>
    <row r="583" spans="1:17" x14ac:dyDescent="0.3">
      <c r="A583" t="s">
        <v>17</v>
      </c>
      <c r="B583" t="str">
        <f>"600684"</f>
        <v>600684</v>
      </c>
      <c r="C583" t="s">
        <v>1211</v>
      </c>
      <c r="D583" t="s">
        <v>30</v>
      </c>
      <c r="F583">
        <v>-579683393</v>
      </c>
      <c r="G583">
        <v>-838472670</v>
      </c>
      <c r="H583">
        <v>799207713</v>
      </c>
      <c r="I583">
        <v>-190837779</v>
      </c>
      <c r="J583">
        <v>436510418</v>
      </c>
      <c r="K583">
        <v>411471725</v>
      </c>
      <c r="L583">
        <v>551034853</v>
      </c>
      <c r="M583">
        <v>-512985433</v>
      </c>
      <c r="N583">
        <v>295080578</v>
      </c>
      <c r="O583">
        <v>588748347</v>
      </c>
      <c r="P583">
        <v>124</v>
      </c>
      <c r="Q583" t="s">
        <v>1212</v>
      </c>
    </row>
    <row r="584" spans="1:17" x14ac:dyDescent="0.3">
      <c r="A584" t="s">
        <v>17</v>
      </c>
      <c r="B584" t="str">
        <f>"600685"</f>
        <v>600685</v>
      </c>
      <c r="C584" t="s">
        <v>1213</v>
      </c>
      <c r="D584" t="s">
        <v>92</v>
      </c>
      <c r="F584">
        <v>-1296700932</v>
      </c>
      <c r="G584">
        <v>-3417751444</v>
      </c>
      <c r="H584">
        <v>-4769441098</v>
      </c>
      <c r="I584">
        <v>-2624673783</v>
      </c>
      <c r="J584">
        <v>-4363850767</v>
      </c>
      <c r="K584">
        <v>-6510241848</v>
      </c>
      <c r="L584">
        <v>-5430157444</v>
      </c>
      <c r="M584">
        <v>-2238904336</v>
      </c>
      <c r="N584">
        <v>-542997006</v>
      </c>
      <c r="O584">
        <v>-778291585</v>
      </c>
      <c r="P584">
        <v>263</v>
      </c>
      <c r="Q584" t="s">
        <v>1214</v>
      </c>
    </row>
    <row r="585" spans="1:17" x14ac:dyDescent="0.3">
      <c r="A585" t="s">
        <v>17</v>
      </c>
      <c r="B585" t="str">
        <f>"600686"</f>
        <v>600686</v>
      </c>
      <c r="C585" t="s">
        <v>1215</v>
      </c>
      <c r="D585" t="s">
        <v>27</v>
      </c>
      <c r="F585">
        <v>101340860</v>
      </c>
      <c r="G585">
        <v>-1394780436</v>
      </c>
      <c r="H585">
        <v>-167614008</v>
      </c>
      <c r="I585">
        <v>-205076531</v>
      </c>
      <c r="J585">
        <v>-794575538</v>
      </c>
      <c r="K585">
        <v>-3389446483</v>
      </c>
      <c r="L585">
        <v>464834364</v>
      </c>
      <c r="M585">
        <v>-1486173039</v>
      </c>
      <c r="N585">
        <v>-486204302</v>
      </c>
      <c r="O585">
        <v>386012313</v>
      </c>
      <c r="P585">
        <v>177</v>
      </c>
      <c r="Q585" t="s">
        <v>1216</v>
      </c>
    </row>
    <row r="586" spans="1:17" x14ac:dyDescent="0.3">
      <c r="A586" t="s">
        <v>17</v>
      </c>
      <c r="B586" t="str">
        <f>"600687"</f>
        <v>600687</v>
      </c>
      <c r="C586" t="s">
        <v>1217</v>
      </c>
      <c r="G586">
        <v>-5133015</v>
      </c>
      <c r="H586">
        <v>172901865</v>
      </c>
      <c r="I586">
        <v>-457315173</v>
      </c>
      <c r="J586">
        <v>-1613234078</v>
      </c>
      <c r="K586">
        <v>-2818968433</v>
      </c>
      <c r="L586">
        <v>-869588610</v>
      </c>
      <c r="M586">
        <v>-363644515</v>
      </c>
      <c r="N586">
        <v>-346375421</v>
      </c>
      <c r="O586">
        <v>-21728482</v>
      </c>
      <c r="P586">
        <v>58</v>
      </c>
      <c r="Q586" t="s">
        <v>1218</v>
      </c>
    </row>
    <row r="587" spans="1:17" x14ac:dyDescent="0.3">
      <c r="A587" t="s">
        <v>17</v>
      </c>
      <c r="B587" t="str">
        <f>"600688"</f>
        <v>600688</v>
      </c>
      <c r="C587" t="s">
        <v>1219</v>
      </c>
      <c r="D587" t="s">
        <v>70</v>
      </c>
      <c r="F587">
        <v>-2892474000</v>
      </c>
      <c r="G587">
        <v>-3040503000</v>
      </c>
      <c r="H587">
        <v>-1137970000</v>
      </c>
      <c r="I587">
        <v>2975813000</v>
      </c>
      <c r="J587">
        <v>4298464000</v>
      </c>
      <c r="K587">
        <v>4654251000</v>
      </c>
      <c r="L587">
        <v>2914473000</v>
      </c>
      <c r="M587">
        <v>1104134000</v>
      </c>
      <c r="N587">
        <v>4055418000</v>
      </c>
      <c r="O587">
        <v>-2281524000</v>
      </c>
      <c r="P587">
        <v>585</v>
      </c>
      <c r="Q587" t="s">
        <v>1220</v>
      </c>
    </row>
    <row r="588" spans="1:17" x14ac:dyDescent="0.3">
      <c r="A588" t="s">
        <v>17</v>
      </c>
      <c r="B588" t="str">
        <f>"600689"</f>
        <v>600689</v>
      </c>
      <c r="C588" t="s">
        <v>1221</v>
      </c>
      <c r="D588" t="s">
        <v>227</v>
      </c>
      <c r="F588">
        <v>-3058157</v>
      </c>
      <c r="G588">
        <v>37041686</v>
      </c>
      <c r="H588">
        <v>-14243489</v>
      </c>
      <c r="I588">
        <v>-24544838</v>
      </c>
      <c r="J588">
        <v>-10371660</v>
      </c>
      <c r="K588">
        <v>68296440</v>
      </c>
      <c r="L588">
        <v>-7204497</v>
      </c>
      <c r="M588">
        <v>-46908396</v>
      </c>
      <c r="N588">
        <v>-187591947</v>
      </c>
      <c r="O588">
        <v>-185531420</v>
      </c>
      <c r="P588">
        <v>74</v>
      </c>
      <c r="Q588" t="s">
        <v>1222</v>
      </c>
    </row>
    <row r="589" spans="1:17" x14ac:dyDescent="0.3">
      <c r="A589" t="s">
        <v>17</v>
      </c>
      <c r="B589" t="str">
        <f>"600690"</f>
        <v>600690</v>
      </c>
      <c r="C589" t="s">
        <v>1223</v>
      </c>
      <c r="D589" t="s">
        <v>126</v>
      </c>
      <c r="F589">
        <v>8494375482</v>
      </c>
      <c r="G589">
        <v>692037796</v>
      </c>
      <c r="H589">
        <v>4627866016</v>
      </c>
      <c r="I589">
        <v>6913227397</v>
      </c>
      <c r="J589">
        <v>11590422544</v>
      </c>
      <c r="K589">
        <v>2921736619</v>
      </c>
      <c r="L589">
        <v>-101560739</v>
      </c>
      <c r="M589">
        <v>3958174919</v>
      </c>
      <c r="N589">
        <v>4209212577</v>
      </c>
      <c r="O589">
        <v>3980599819</v>
      </c>
      <c r="P589">
        <v>41093</v>
      </c>
      <c r="Q589" t="s">
        <v>1224</v>
      </c>
    </row>
    <row r="590" spans="1:17" x14ac:dyDescent="0.3">
      <c r="A590" t="s">
        <v>17</v>
      </c>
      <c r="B590" t="str">
        <f>"600691"</f>
        <v>600691</v>
      </c>
      <c r="C590" t="s">
        <v>1225</v>
      </c>
      <c r="D590" t="s">
        <v>133</v>
      </c>
      <c r="F590">
        <v>477283767</v>
      </c>
      <c r="G590">
        <v>-735167377</v>
      </c>
      <c r="H590">
        <v>169890359</v>
      </c>
      <c r="I590">
        <v>1372565179</v>
      </c>
      <c r="J590">
        <v>792698316</v>
      </c>
      <c r="K590">
        <v>496608048</v>
      </c>
      <c r="L590">
        <v>-352072718</v>
      </c>
      <c r="M590">
        <v>678034555</v>
      </c>
      <c r="N590">
        <v>-1278057333</v>
      </c>
      <c r="O590">
        <v>-3431293</v>
      </c>
      <c r="P590">
        <v>130</v>
      </c>
      <c r="Q590" t="s">
        <v>1226</v>
      </c>
    </row>
    <row r="591" spans="1:17" x14ac:dyDescent="0.3">
      <c r="A591" t="s">
        <v>17</v>
      </c>
      <c r="B591" t="str">
        <f>"600692"</f>
        <v>600692</v>
      </c>
      <c r="C591" t="s">
        <v>1227</v>
      </c>
      <c r="D591" t="s">
        <v>30</v>
      </c>
      <c r="F591">
        <v>-184590413</v>
      </c>
      <c r="G591">
        <v>524976260</v>
      </c>
      <c r="H591">
        <v>-63666786</v>
      </c>
      <c r="I591">
        <v>-278866277</v>
      </c>
      <c r="J591">
        <v>-109269467</v>
      </c>
      <c r="K591">
        <v>142324160</v>
      </c>
      <c r="L591">
        <v>248981176</v>
      </c>
      <c r="M591">
        <v>-79389142</v>
      </c>
      <c r="N591">
        <v>194781005</v>
      </c>
      <c r="O591">
        <v>-38478759</v>
      </c>
      <c r="P591">
        <v>76</v>
      </c>
      <c r="Q591" t="s">
        <v>1228</v>
      </c>
    </row>
    <row r="592" spans="1:17" x14ac:dyDescent="0.3">
      <c r="A592" t="s">
        <v>17</v>
      </c>
      <c r="B592" t="str">
        <f>"600693"</f>
        <v>600693</v>
      </c>
      <c r="C592" t="s">
        <v>1229</v>
      </c>
      <c r="D592" t="s">
        <v>120</v>
      </c>
      <c r="F592">
        <v>-824902994</v>
      </c>
      <c r="G592">
        <v>-795688426</v>
      </c>
      <c r="H592">
        <v>-559719108</v>
      </c>
      <c r="I592">
        <v>-656095338</v>
      </c>
      <c r="J592">
        <v>-331302513</v>
      </c>
      <c r="K592">
        <v>-411305252</v>
      </c>
      <c r="L592">
        <v>-188548361</v>
      </c>
      <c r="M592">
        <v>-694622199</v>
      </c>
      <c r="N592">
        <v>-247538970</v>
      </c>
      <c r="O592">
        <v>-1794205</v>
      </c>
      <c r="P592">
        <v>103</v>
      </c>
      <c r="Q592" t="s">
        <v>1230</v>
      </c>
    </row>
    <row r="593" spans="1:17" x14ac:dyDescent="0.3">
      <c r="A593" t="s">
        <v>17</v>
      </c>
      <c r="B593" t="str">
        <f>"600694"</f>
        <v>600694</v>
      </c>
      <c r="C593" t="s">
        <v>1231</v>
      </c>
      <c r="D593" t="s">
        <v>120</v>
      </c>
      <c r="F593">
        <v>322055447</v>
      </c>
      <c r="G593">
        <v>25805089</v>
      </c>
      <c r="H593">
        <v>577188029</v>
      </c>
      <c r="I593">
        <v>-121072636</v>
      </c>
      <c r="J593">
        <v>960269350</v>
      </c>
      <c r="K593">
        <v>1555616642</v>
      </c>
      <c r="L593">
        <v>822176702</v>
      </c>
      <c r="M593">
        <v>957429691</v>
      </c>
      <c r="N593">
        <v>1587903349</v>
      </c>
      <c r="O593">
        <v>1998917202</v>
      </c>
      <c r="P593">
        <v>543</v>
      </c>
      <c r="Q593" t="s">
        <v>1232</v>
      </c>
    </row>
    <row r="594" spans="1:17" x14ac:dyDescent="0.3">
      <c r="A594" t="s">
        <v>17</v>
      </c>
      <c r="B594" t="str">
        <f>"600695"</f>
        <v>600695</v>
      </c>
      <c r="C594" t="s">
        <v>1233</v>
      </c>
      <c r="D594" t="s">
        <v>75</v>
      </c>
      <c r="F594">
        <v>-2834648</v>
      </c>
      <c r="G594">
        <v>59958188</v>
      </c>
      <c r="H594">
        <v>-15048285</v>
      </c>
      <c r="I594">
        <v>-24088449</v>
      </c>
      <c r="J594">
        <v>17760297</v>
      </c>
      <c r="K594">
        <v>49704103</v>
      </c>
      <c r="L594">
        <v>14188667</v>
      </c>
      <c r="M594">
        <v>-84048023</v>
      </c>
      <c r="N594">
        <v>-55607575</v>
      </c>
      <c r="O594">
        <v>-84821591</v>
      </c>
      <c r="P594">
        <v>74</v>
      </c>
      <c r="Q594" t="s">
        <v>1234</v>
      </c>
    </row>
    <row r="595" spans="1:17" x14ac:dyDescent="0.3">
      <c r="A595" t="s">
        <v>17</v>
      </c>
      <c r="B595" t="str">
        <f>"600696"</f>
        <v>600696</v>
      </c>
      <c r="C595" t="s">
        <v>1235</v>
      </c>
      <c r="D595" t="s">
        <v>103</v>
      </c>
      <c r="F595">
        <v>92652135</v>
      </c>
      <c r="G595">
        <v>183528185</v>
      </c>
      <c r="H595">
        <v>-56269487</v>
      </c>
      <c r="I595">
        <v>97027409</v>
      </c>
      <c r="J595">
        <v>-270000180</v>
      </c>
      <c r="K595">
        <v>-50451603</v>
      </c>
      <c r="L595">
        <v>-86346793</v>
      </c>
      <c r="M595">
        <v>2757591</v>
      </c>
      <c r="N595">
        <v>-24918855</v>
      </c>
      <c r="O595">
        <v>-54731833</v>
      </c>
      <c r="P595">
        <v>95</v>
      </c>
      <c r="Q595" t="s">
        <v>1236</v>
      </c>
    </row>
    <row r="596" spans="1:17" x14ac:dyDescent="0.3">
      <c r="A596" t="s">
        <v>17</v>
      </c>
      <c r="B596" t="str">
        <f>"600697"</f>
        <v>600697</v>
      </c>
      <c r="C596" t="s">
        <v>1237</v>
      </c>
      <c r="D596" t="s">
        <v>120</v>
      </c>
      <c r="F596">
        <v>375587087</v>
      </c>
      <c r="G596">
        <v>299258780</v>
      </c>
      <c r="H596">
        <v>67980271</v>
      </c>
      <c r="I596">
        <v>99235883</v>
      </c>
      <c r="J596">
        <v>-176822323</v>
      </c>
      <c r="K596">
        <v>-605022897</v>
      </c>
      <c r="L596">
        <v>-932367994</v>
      </c>
      <c r="M596">
        <v>-1370526600</v>
      </c>
      <c r="N596">
        <v>-529063831</v>
      </c>
      <c r="O596">
        <v>-415979891</v>
      </c>
      <c r="P596">
        <v>275</v>
      </c>
      <c r="Q596" t="s">
        <v>1238</v>
      </c>
    </row>
    <row r="597" spans="1:17" x14ac:dyDescent="0.3">
      <c r="A597" t="s">
        <v>17</v>
      </c>
      <c r="B597" t="str">
        <f>"600698"</f>
        <v>600698</v>
      </c>
      <c r="C597" t="s">
        <v>1239</v>
      </c>
      <c r="D597" t="s">
        <v>27</v>
      </c>
      <c r="F597">
        <v>-12911729</v>
      </c>
      <c r="G597">
        <v>29374394</v>
      </c>
      <c r="H597">
        <v>10618649</v>
      </c>
      <c r="I597">
        <v>-15929710</v>
      </c>
      <c r="J597">
        <v>-39133510</v>
      </c>
      <c r="K597">
        <v>-46029690</v>
      </c>
      <c r="L597">
        <v>-79705003</v>
      </c>
      <c r="M597">
        <v>-51364031</v>
      </c>
      <c r="N597">
        <v>-73184872</v>
      </c>
      <c r="O597">
        <v>108619370</v>
      </c>
      <c r="P597">
        <v>93</v>
      </c>
      <c r="Q597" t="s">
        <v>1240</v>
      </c>
    </row>
    <row r="598" spans="1:17" x14ac:dyDescent="0.3">
      <c r="A598" t="s">
        <v>17</v>
      </c>
      <c r="B598" t="str">
        <f>"600699"</f>
        <v>600699</v>
      </c>
      <c r="C598" t="s">
        <v>1241</v>
      </c>
      <c r="D598" t="s">
        <v>27</v>
      </c>
      <c r="F598">
        <v>-1286732666</v>
      </c>
      <c r="G598">
        <v>-1786078720</v>
      </c>
      <c r="H598">
        <v>-699745279</v>
      </c>
      <c r="I598">
        <v>-957284324</v>
      </c>
      <c r="J598">
        <v>-1263420405</v>
      </c>
      <c r="K598">
        <v>-837038516</v>
      </c>
      <c r="L598">
        <v>-214611599</v>
      </c>
      <c r="M598">
        <v>-442849693</v>
      </c>
      <c r="N598">
        <v>-137161841</v>
      </c>
      <c r="O598">
        <v>18829773</v>
      </c>
      <c r="P598">
        <v>958</v>
      </c>
      <c r="Q598" t="s">
        <v>1242</v>
      </c>
    </row>
    <row r="599" spans="1:17" x14ac:dyDescent="0.3">
      <c r="A599" t="s">
        <v>17</v>
      </c>
      <c r="B599" t="str">
        <f>"600700"</f>
        <v>600700</v>
      </c>
      <c r="C599" t="s">
        <v>1243</v>
      </c>
      <c r="K599">
        <v>-441646.04</v>
      </c>
      <c r="L599">
        <v>-19482.62</v>
      </c>
      <c r="M599">
        <v>-848383.81</v>
      </c>
      <c r="N599">
        <v>148621.64000000001</v>
      </c>
      <c r="O599">
        <v>-317648.7</v>
      </c>
      <c r="P599">
        <v>5</v>
      </c>
      <c r="Q599" t="s">
        <v>1244</v>
      </c>
    </row>
    <row r="600" spans="1:17" x14ac:dyDescent="0.3">
      <c r="A600" t="s">
        <v>17</v>
      </c>
      <c r="B600" t="str">
        <f>"600701"</f>
        <v>600701</v>
      </c>
      <c r="C600" t="s">
        <v>1245</v>
      </c>
      <c r="G600">
        <v>-6821826</v>
      </c>
      <c r="H600">
        <v>189153011</v>
      </c>
      <c r="I600">
        <v>-88666279</v>
      </c>
      <c r="J600">
        <v>-980377310</v>
      </c>
      <c r="K600">
        <v>7878009</v>
      </c>
      <c r="L600">
        <v>30501167</v>
      </c>
      <c r="M600">
        <v>-49707602</v>
      </c>
      <c r="N600">
        <v>-172599771</v>
      </c>
      <c r="O600">
        <v>-20830873</v>
      </c>
      <c r="P600">
        <v>55</v>
      </c>
      <c r="Q600" t="s">
        <v>1246</v>
      </c>
    </row>
    <row r="601" spans="1:17" x14ac:dyDescent="0.3">
      <c r="A601" t="s">
        <v>17</v>
      </c>
      <c r="B601" t="str">
        <f>"600702"</f>
        <v>600702</v>
      </c>
      <c r="C601" t="s">
        <v>1247</v>
      </c>
      <c r="D601" t="s">
        <v>123</v>
      </c>
      <c r="F601">
        <v>1463404037</v>
      </c>
      <c r="G601">
        <v>174598813</v>
      </c>
      <c r="H601">
        <v>122801904</v>
      </c>
      <c r="I601">
        <v>80818473</v>
      </c>
      <c r="J601">
        <v>234076755</v>
      </c>
      <c r="K601">
        <v>36057373</v>
      </c>
      <c r="L601">
        <v>-17727952</v>
      </c>
      <c r="M601">
        <v>-92124409</v>
      </c>
      <c r="N601">
        <v>67744995</v>
      </c>
      <c r="O601">
        <v>376130804</v>
      </c>
      <c r="P601">
        <v>1463</v>
      </c>
      <c r="Q601" t="s">
        <v>1248</v>
      </c>
    </row>
    <row r="602" spans="1:17" x14ac:dyDescent="0.3">
      <c r="A602" t="s">
        <v>17</v>
      </c>
      <c r="B602" t="str">
        <f>"600703"</f>
        <v>600703</v>
      </c>
      <c r="C602" t="s">
        <v>1249</v>
      </c>
      <c r="D602" t="s">
        <v>150</v>
      </c>
      <c r="F602">
        <v>-4994862067</v>
      </c>
      <c r="G602">
        <v>-1653394277</v>
      </c>
      <c r="H602">
        <v>-51656564</v>
      </c>
      <c r="I602">
        <v>-1470541343</v>
      </c>
      <c r="J602">
        <v>-1130863382</v>
      </c>
      <c r="K602">
        <v>329974201</v>
      </c>
      <c r="L602">
        <v>-856880694</v>
      </c>
      <c r="M602">
        <v>-788577340</v>
      </c>
      <c r="N602">
        <v>-22583694</v>
      </c>
      <c r="O602">
        <v>-1029193920</v>
      </c>
      <c r="P602">
        <v>2761</v>
      </c>
      <c r="Q602" t="s">
        <v>1250</v>
      </c>
    </row>
    <row r="603" spans="1:17" x14ac:dyDescent="0.3">
      <c r="A603" t="s">
        <v>17</v>
      </c>
      <c r="B603" t="str">
        <f>"600704"</f>
        <v>600704</v>
      </c>
      <c r="C603" t="s">
        <v>1251</v>
      </c>
      <c r="D603" t="s">
        <v>22</v>
      </c>
      <c r="F603">
        <v>-14483964921</v>
      </c>
      <c r="G603">
        <v>-7622132331</v>
      </c>
      <c r="H603">
        <v>-2278182536</v>
      </c>
      <c r="I603">
        <v>-1467507200</v>
      </c>
      <c r="J603">
        <v>-11055944559</v>
      </c>
      <c r="K603">
        <v>-743883777</v>
      </c>
      <c r="L603">
        <v>2765088307</v>
      </c>
      <c r="M603">
        <v>-1580490876</v>
      </c>
      <c r="N603">
        <v>-2462477871</v>
      </c>
      <c r="O603">
        <v>-735117679</v>
      </c>
      <c r="P603">
        <v>749</v>
      </c>
      <c r="Q603" t="s">
        <v>1252</v>
      </c>
    </row>
    <row r="604" spans="1:17" x14ac:dyDescent="0.3">
      <c r="A604" t="s">
        <v>17</v>
      </c>
      <c r="B604" t="str">
        <f>"600705"</f>
        <v>600705</v>
      </c>
      <c r="C604" t="s">
        <v>1253</v>
      </c>
      <c r="D604" t="s">
        <v>75</v>
      </c>
      <c r="F604">
        <v>-23845090299</v>
      </c>
      <c r="G604">
        <v>-30443668104</v>
      </c>
      <c r="H604">
        <v>-30182335854</v>
      </c>
      <c r="I604">
        <v>-45864252912</v>
      </c>
      <c r="J604">
        <v>-32612990561</v>
      </c>
      <c r="K604">
        <v>-41276764387</v>
      </c>
      <c r="L604">
        <v>-13062726587</v>
      </c>
      <c r="M604">
        <v>-17741174345</v>
      </c>
      <c r="N604">
        <v>-15568393665</v>
      </c>
      <c r="O604">
        <v>-10194150589</v>
      </c>
      <c r="P604">
        <v>440</v>
      </c>
      <c r="Q604" t="s">
        <v>1254</v>
      </c>
    </row>
    <row r="605" spans="1:17" x14ac:dyDescent="0.3">
      <c r="A605" t="s">
        <v>17</v>
      </c>
      <c r="B605" t="str">
        <f>"600706"</f>
        <v>600706</v>
      </c>
      <c r="C605" t="s">
        <v>1255</v>
      </c>
      <c r="D605" t="s">
        <v>110</v>
      </c>
      <c r="F605">
        <v>-115722433</v>
      </c>
      <c r="G605">
        <v>-214355977</v>
      </c>
      <c r="H605">
        <v>-189829609</v>
      </c>
      <c r="I605">
        <v>5836054</v>
      </c>
      <c r="J605">
        <v>37173589</v>
      </c>
      <c r="K605">
        <v>28624902</v>
      </c>
      <c r="L605">
        <v>23253810</v>
      </c>
      <c r="M605">
        <v>-139966673</v>
      </c>
      <c r="N605">
        <v>-337376899</v>
      </c>
      <c r="O605">
        <v>-67548167</v>
      </c>
      <c r="P605">
        <v>122</v>
      </c>
      <c r="Q605" t="s">
        <v>1256</v>
      </c>
    </row>
    <row r="606" spans="1:17" x14ac:dyDescent="0.3">
      <c r="A606" t="s">
        <v>17</v>
      </c>
      <c r="B606" t="str">
        <f>"600707"</f>
        <v>600707</v>
      </c>
      <c r="C606" t="s">
        <v>1257</v>
      </c>
      <c r="D606" t="s">
        <v>150</v>
      </c>
      <c r="F606">
        <v>3022375337</v>
      </c>
      <c r="G606">
        <v>394974973</v>
      </c>
      <c r="H606">
        <v>-3716452617</v>
      </c>
      <c r="I606">
        <v>-8513055099</v>
      </c>
      <c r="J606">
        <v>-61794977</v>
      </c>
      <c r="K606">
        <v>-250241144</v>
      </c>
      <c r="L606">
        <v>-402604878</v>
      </c>
      <c r="M606">
        <v>-209407556</v>
      </c>
      <c r="N606">
        <v>-288904317</v>
      </c>
      <c r="O606">
        <v>-628021563</v>
      </c>
      <c r="P606">
        <v>251</v>
      </c>
      <c r="Q606" t="s">
        <v>1258</v>
      </c>
    </row>
    <row r="607" spans="1:17" x14ac:dyDescent="0.3">
      <c r="A607" t="s">
        <v>17</v>
      </c>
      <c r="B607" t="str">
        <f>"600708"</f>
        <v>600708</v>
      </c>
      <c r="C607" t="s">
        <v>1259</v>
      </c>
      <c r="D607" t="s">
        <v>30</v>
      </c>
      <c r="F607">
        <v>1423785345</v>
      </c>
      <c r="G607">
        <v>1734539479</v>
      </c>
      <c r="H607">
        <v>-5602644691</v>
      </c>
      <c r="I607">
        <v>-6734955576</v>
      </c>
      <c r="J607">
        <v>908763070</v>
      </c>
      <c r="K607">
        <v>4478394251</v>
      </c>
      <c r="L607">
        <v>-3541469189</v>
      </c>
      <c r="M607">
        <v>-14647354</v>
      </c>
      <c r="N607">
        <v>207344740</v>
      </c>
      <c r="O607">
        <v>93142426</v>
      </c>
      <c r="P607">
        <v>677</v>
      </c>
      <c r="Q607" t="s">
        <v>1260</v>
      </c>
    </row>
    <row r="608" spans="1:17" x14ac:dyDescent="0.3">
      <c r="A608" t="s">
        <v>17</v>
      </c>
      <c r="B608" t="str">
        <f>"600709"</f>
        <v>600709</v>
      </c>
      <c r="C608" t="s">
        <v>1261</v>
      </c>
      <c r="K608">
        <v>-10695843.26</v>
      </c>
      <c r="L608">
        <v>-5956096.4900000002</v>
      </c>
      <c r="M608">
        <v>-3971679.2</v>
      </c>
      <c r="N608">
        <v>-2381873.59</v>
      </c>
      <c r="P608">
        <v>4</v>
      </c>
      <c r="Q608" t="s">
        <v>1262</v>
      </c>
    </row>
    <row r="609" spans="1:17" x14ac:dyDescent="0.3">
      <c r="A609" t="s">
        <v>17</v>
      </c>
      <c r="B609" t="str">
        <f>"600710"</f>
        <v>600710</v>
      </c>
      <c r="C609" t="s">
        <v>1263</v>
      </c>
      <c r="D609" t="s">
        <v>120</v>
      </c>
      <c r="F609">
        <v>-1008621111</v>
      </c>
      <c r="G609">
        <v>2708857400</v>
      </c>
      <c r="H609">
        <v>1692682382</v>
      </c>
      <c r="I609">
        <v>-469549119</v>
      </c>
      <c r="J609">
        <v>-801541866</v>
      </c>
      <c r="K609">
        <v>-24686075</v>
      </c>
      <c r="L609">
        <v>-19181993</v>
      </c>
      <c r="M609">
        <v>-203079943</v>
      </c>
      <c r="N609">
        <v>-139814212</v>
      </c>
      <c r="O609">
        <v>-79894601</v>
      </c>
      <c r="P609">
        <v>166</v>
      </c>
      <c r="Q609" t="s">
        <v>1264</v>
      </c>
    </row>
    <row r="610" spans="1:17" x14ac:dyDescent="0.3">
      <c r="A610" t="s">
        <v>17</v>
      </c>
      <c r="B610" t="str">
        <f>"600711"</f>
        <v>600711</v>
      </c>
      <c r="C610" t="s">
        <v>1265</v>
      </c>
      <c r="D610" t="s">
        <v>234</v>
      </c>
      <c r="F610">
        <v>144485596</v>
      </c>
      <c r="G610">
        <v>-1038012625</v>
      </c>
      <c r="H610">
        <v>133407899</v>
      </c>
      <c r="I610">
        <v>-57302930</v>
      </c>
      <c r="J610">
        <v>159767473</v>
      </c>
      <c r="K610">
        <v>-239932928</v>
      </c>
      <c r="L610">
        <v>-649244693</v>
      </c>
      <c r="M610">
        <v>-556407241</v>
      </c>
      <c r="N610">
        <v>1882726</v>
      </c>
      <c r="O610">
        <v>12206504</v>
      </c>
      <c r="P610">
        <v>378</v>
      </c>
      <c r="Q610" t="s">
        <v>1266</v>
      </c>
    </row>
    <row r="611" spans="1:17" x14ac:dyDescent="0.3">
      <c r="A611" t="s">
        <v>17</v>
      </c>
      <c r="B611" t="str">
        <f>"600712"</f>
        <v>600712</v>
      </c>
      <c r="C611" t="s">
        <v>1267</v>
      </c>
      <c r="D611" t="s">
        <v>120</v>
      </c>
      <c r="F611">
        <v>-14745893</v>
      </c>
      <c r="G611">
        <v>-49182537</v>
      </c>
      <c r="H611">
        <v>21951149</v>
      </c>
      <c r="I611">
        <v>-122944532</v>
      </c>
      <c r="J611">
        <v>-278623430</v>
      </c>
      <c r="K611">
        <v>-96142843</v>
      </c>
      <c r="L611">
        <v>14603576</v>
      </c>
      <c r="M611">
        <v>-290339636</v>
      </c>
      <c r="N611">
        <v>-156956271</v>
      </c>
      <c r="O611">
        <v>-253239089</v>
      </c>
      <c r="P611">
        <v>87</v>
      </c>
      <c r="Q611" t="s">
        <v>1268</v>
      </c>
    </row>
    <row r="612" spans="1:17" x14ac:dyDescent="0.3">
      <c r="A612" t="s">
        <v>17</v>
      </c>
      <c r="B612" t="str">
        <f>"600713"</f>
        <v>600713</v>
      </c>
      <c r="C612" t="s">
        <v>1269</v>
      </c>
      <c r="D612" t="s">
        <v>113</v>
      </c>
      <c r="F612">
        <v>-2197192021</v>
      </c>
      <c r="G612">
        <v>-2317262829</v>
      </c>
      <c r="H612">
        <v>-2100790914</v>
      </c>
      <c r="I612">
        <v>-1331990461</v>
      </c>
      <c r="J612">
        <v>-1150283901</v>
      </c>
      <c r="K612">
        <v>-933434983</v>
      </c>
      <c r="L612">
        <v>-464711168</v>
      </c>
      <c r="M612">
        <v>-9728958</v>
      </c>
      <c r="N612">
        <v>-318391068</v>
      </c>
      <c r="O612">
        <v>-297563970</v>
      </c>
      <c r="P612">
        <v>188</v>
      </c>
      <c r="Q612" t="s">
        <v>1270</v>
      </c>
    </row>
    <row r="613" spans="1:17" x14ac:dyDescent="0.3">
      <c r="A613" t="s">
        <v>17</v>
      </c>
      <c r="B613" t="str">
        <f>"600714"</f>
        <v>600714</v>
      </c>
      <c r="C613" t="s">
        <v>1271</v>
      </c>
      <c r="D613" t="s">
        <v>133</v>
      </c>
      <c r="F613">
        <v>47621114</v>
      </c>
      <c r="G613">
        <v>-14299273</v>
      </c>
      <c r="H613">
        <v>21901035</v>
      </c>
      <c r="I613">
        <v>-42801218</v>
      </c>
      <c r="J613">
        <v>-11183738</v>
      </c>
      <c r="K613">
        <v>-77566694</v>
      </c>
      <c r="L613">
        <v>189681695</v>
      </c>
      <c r="M613">
        <v>-131097835</v>
      </c>
      <c r="N613">
        <v>-84214429</v>
      </c>
      <c r="O613">
        <v>-3537322</v>
      </c>
      <c r="P613">
        <v>68</v>
      </c>
      <c r="Q613" t="s">
        <v>1272</v>
      </c>
    </row>
    <row r="614" spans="1:17" x14ac:dyDescent="0.3">
      <c r="A614" t="s">
        <v>17</v>
      </c>
      <c r="B614" t="str">
        <f>"600715"</f>
        <v>600715</v>
      </c>
      <c r="C614" t="s">
        <v>1273</v>
      </c>
      <c r="D614" t="s">
        <v>89</v>
      </c>
      <c r="F614">
        <v>332520</v>
      </c>
      <c r="G614">
        <v>-272276804</v>
      </c>
      <c r="H614">
        <v>-488110097</v>
      </c>
      <c r="I614">
        <v>-902707059</v>
      </c>
      <c r="J614">
        <v>-67170898</v>
      </c>
      <c r="K614">
        <v>-495522096</v>
      </c>
      <c r="L614">
        <v>8026428</v>
      </c>
      <c r="M614">
        <v>13000464</v>
      </c>
      <c r="N614">
        <v>-26738908</v>
      </c>
      <c r="O614">
        <v>-20137187</v>
      </c>
      <c r="P614">
        <v>127</v>
      </c>
      <c r="Q614" t="s">
        <v>1274</v>
      </c>
    </row>
    <row r="615" spans="1:17" x14ac:dyDescent="0.3">
      <c r="A615" t="s">
        <v>17</v>
      </c>
      <c r="B615" t="str">
        <f>"600716"</f>
        <v>600716</v>
      </c>
      <c r="C615" t="s">
        <v>1275</v>
      </c>
      <c r="D615" t="s">
        <v>30</v>
      </c>
      <c r="F615">
        <v>-255706489</v>
      </c>
      <c r="G615">
        <v>-95255028</v>
      </c>
      <c r="H615">
        <v>316473344</v>
      </c>
      <c r="I615">
        <v>-74809767</v>
      </c>
      <c r="J615">
        <v>113468197</v>
      </c>
      <c r="K615">
        <v>-181558662</v>
      </c>
      <c r="L615">
        <v>-157320669</v>
      </c>
      <c r="M615">
        <v>111715912</v>
      </c>
      <c r="N615">
        <v>-587205786</v>
      </c>
      <c r="O615">
        <v>22648245</v>
      </c>
      <c r="P615">
        <v>95</v>
      </c>
      <c r="Q615" t="s">
        <v>1276</v>
      </c>
    </row>
    <row r="616" spans="1:17" x14ac:dyDescent="0.3">
      <c r="A616" t="s">
        <v>17</v>
      </c>
      <c r="B616" t="str">
        <f>"600717"</f>
        <v>600717</v>
      </c>
      <c r="C616" t="s">
        <v>1277</v>
      </c>
      <c r="D616" t="s">
        <v>22</v>
      </c>
      <c r="F616">
        <v>1185050959</v>
      </c>
      <c r="G616">
        <v>1349164079</v>
      </c>
      <c r="H616">
        <v>1115127114</v>
      </c>
      <c r="I616">
        <v>1351065723</v>
      </c>
      <c r="J616">
        <v>844869164</v>
      </c>
      <c r="K616">
        <v>1680308274</v>
      </c>
      <c r="L616">
        <v>959812971</v>
      </c>
      <c r="M616">
        <v>647782928</v>
      </c>
      <c r="N616">
        <v>-1202861015</v>
      </c>
      <c r="O616">
        <v>496917979</v>
      </c>
      <c r="P616">
        <v>262</v>
      </c>
      <c r="Q616" t="s">
        <v>1278</v>
      </c>
    </row>
    <row r="617" spans="1:17" x14ac:dyDescent="0.3">
      <c r="A617" t="s">
        <v>17</v>
      </c>
      <c r="B617" t="str">
        <f>"600718"</f>
        <v>600718</v>
      </c>
      <c r="C617" t="s">
        <v>1279</v>
      </c>
      <c r="D617" t="s">
        <v>212</v>
      </c>
      <c r="F617">
        <v>-571259239</v>
      </c>
      <c r="G617">
        <v>-928934058</v>
      </c>
      <c r="H617">
        <v>-1646921577</v>
      </c>
      <c r="I617">
        <v>-1601386454</v>
      </c>
      <c r="J617">
        <v>-1290829815</v>
      </c>
      <c r="K617">
        <v>-1816696830</v>
      </c>
      <c r="L617">
        <v>-1485612037</v>
      </c>
      <c r="M617">
        <v>-1420618209</v>
      </c>
      <c r="N617">
        <v>-1216030767</v>
      </c>
      <c r="O617">
        <v>-968830130</v>
      </c>
      <c r="P617">
        <v>396</v>
      </c>
      <c r="Q617" t="s">
        <v>1280</v>
      </c>
    </row>
    <row r="618" spans="1:17" x14ac:dyDescent="0.3">
      <c r="A618" t="s">
        <v>17</v>
      </c>
      <c r="B618" t="str">
        <f>"600719"</f>
        <v>600719</v>
      </c>
      <c r="C618" t="s">
        <v>1281</v>
      </c>
      <c r="D618" t="s">
        <v>41</v>
      </c>
      <c r="F618">
        <v>-450953389</v>
      </c>
      <c r="G618">
        <v>-335685869</v>
      </c>
      <c r="H618">
        <v>-247415435</v>
      </c>
      <c r="I618">
        <v>-382402948</v>
      </c>
      <c r="J618">
        <v>-140607782</v>
      </c>
      <c r="K618">
        <v>-177934000</v>
      </c>
      <c r="L618">
        <v>-136216338</v>
      </c>
      <c r="M618">
        <v>161928335</v>
      </c>
      <c r="N618">
        <v>-10687408</v>
      </c>
      <c r="O618">
        <v>-61194832</v>
      </c>
      <c r="P618">
        <v>68</v>
      </c>
      <c r="Q618" t="s">
        <v>1282</v>
      </c>
    </row>
    <row r="619" spans="1:17" x14ac:dyDescent="0.3">
      <c r="A619" t="s">
        <v>17</v>
      </c>
      <c r="B619" t="str">
        <f>"600720"</f>
        <v>600720</v>
      </c>
      <c r="C619" t="s">
        <v>1283</v>
      </c>
      <c r="D619" t="s">
        <v>350</v>
      </c>
      <c r="F619">
        <v>888178936</v>
      </c>
      <c r="G619">
        <v>1863427604</v>
      </c>
      <c r="H619">
        <v>1586622554</v>
      </c>
      <c r="I619">
        <v>962740277</v>
      </c>
      <c r="J619">
        <v>1039190967</v>
      </c>
      <c r="K619">
        <v>809813032</v>
      </c>
      <c r="L619">
        <v>548601974</v>
      </c>
      <c r="M619">
        <v>698160743</v>
      </c>
      <c r="N619">
        <v>406929677</v>
      </c>
      <c r="O619">
        <v>-186220593</v>
      </c>
      <c r="P619">
        <v>864</v>
      </c>
      <c r="Q619" t="s">
        <v>1284</v>
      </c>
    </row>
    <row r="620" spans="1:17" x14ac:dyDescent="0.3">
      <c r="A620" t="s">
        <v>17</v>
      </c>
      <c r="B620" t="str">
        <f>"600721"</f>
        <v>600721</v>
      </c>
      <c r="C620" t="s">
        <v>1285</v>
      </c>
      <c r="D620" t="s">
        <v>113</v>
      </c>
      <c r="F620">
        <v>-12333386</v>
      </c>
      <c r="G620">
        <v>-7890381</v>
      </c>
      <c r="H620">
        <v>-52263686</v>
      </c>
      <c r="I620">
        <v>-32266487</v>
      </c>
      <c r="J620">
        <v>7853162</v>
      </c>
      <c r="K620">
        <v>-67447716</v>
      </c>
      <c r="L620">
        <v>122690552</v>
      </c>
      <c r="M620">
        <v>68248559</v>
      </c>
      <c r="N620">
        <v>35561852</v>
      </c>
      <c r="O620">
        <v>39102986</v>
      </c>
      <c r="P620">
        <v>78</v>
      </c>
      <c r="Q620" t="s">
        <v>1286</v>
      </c>
    </row>
    <row r="621" spans="1:17" x14ac:dyDescent="0.3">
      <c r="A621" t="s">
        <v>17</v>
      </c>
      <c r="B621" t="str">
        <f>"600722"</f>
        <v>600722</v>
      </c>
      <c r="C621" t="s">
        <v>1287</v>
      </c>
      <c r="D621" t="s">
        <v>133</v>
      </c>
      <c r="F621">
        <v>135206518</v>
      </c>
      <c r="G621">
        <v>-5153194</v>
      </c>
      <c r="H621">
        <v>124764636</v>
      </c>
      <c r="I621">
        <v>192877508</v>
      </c>
      <c r="J621">
        <v>-8212285</v>
      </c>
      <c r="K621">
        <v>-70595732</v>
      </c>
      <c r="L621">
        <v>-212575769</v>
      </c>
      <c r="M621">
        <v>-206711952</v>
      </c>
      <c r="N621">
        <v>-125353147</v>
      </c>
      <c r="O621">
        <v>-93593233</v>
      </c>
      <c r="P621">
        <v>97</v>
      </c>
      <c r="Q621" t="s">
        <v>1288</v>
      </c>
    </row>
    <row r="622" spans="1:17" x14ac:dyDescent="0.3">
      <c r="A622" t="s">
        <v>17</v>
      </c>
      <c r="B622" t="str">
        <f>"600723"</f>
        <v>600723</v>
      </c>
      <c r="C622" t="s">
        <v>1289</v>
      </c>
      <c r="G622">
        <v>-264119076</v>
      </c>
      <c r="H622">
        <v>66722930</v>
      </c>
      <c r="I622">
        <v>237675227</v>
      </c>
      <c r="J622">
        <v>134406530</v>
      </c>
      <c r="K622">
        <v>149611188</v>
      </c>
      <c r="L622">
        <v>102814776</v>
      </c>
      <c r="M622">
        <v>117418939</v>
      </c>
      <c r="N622">
        <v>-310668054</v>
      </c>
      <c r="O622">
        <v>392691997</v>
      </c>
      <c r="P622">
        <v>180</v>
      </c>
      <c r="Q622" t="s">
        <v>1290</v>
      </c>
    </row>
    <row r="623" spans="1:17" x14ac:dyDescent="0.3">
      <c r="A623" t="s">
        <v>17</v>
      </c>
      <c r="B623" t="str">
        <f>"600724"</f>
        <v>600724</v>
      </c>
      <c r="C623" t="s">
        <v>1291</v>
      </c>
      <c r="D623" t="s">
        <v>350</v>
      </c>
      <c r="F623">
        <v>186856614</v>
      </c>
      <c r="G623">
        <v>503957498</v>
      </c>
      <c r="H623">
        <v>383568160</v>
      </c>
      <c r="I623">
        <v>1498927861</v>
      </c>
      <c r="J623">
        <v>1776025578</v>
      </c>
      <c r="K623">
        <v>857866649</v>
      </c>
      <c r="L623">
        <v>291993908</v>
      </c>
      <c r="M623">
        <v>-509923244</v>
      </c>
      <c r="N623">
        <v>946952372</v>
      </c>
      <c r="O623">
        <v>762976444</v>
      </c>
      <c r="P623">
        <v>169</v>
      </c>
      <c r="Q623" t="s">
        <v>1292</v>
      </c>
    </row>
    <row r="624" spans="1:17" x14ac:dyDescent="0.3">
      <c r="A624" t="s">
        <v>17</v>
      </c>
      <c r="B624" t="str">
        <f>"600725"</f>
        <v>600725</v>
      </c>
      <c r="C624" t="s">
        <v>1293</v>
      </c>
      <c r="D624" t="s">
        <v>257</v>
      </c>
      <c r="F624">
        <v>-103739697</v>
      </c>
      <c r="G624">
        <v>-72927957</v>
      </c>
      <c r="H624">
        <v>21896036</v>
      </c>
      <c r="I624">
        <v>2103531</v>
      </c>
      <c r="J624">
        <v>-136542003</v>
      </c>
      <c r="K624">
        <v>-29122057</v>
      </c>
      <c r="L624">
        <v>-127475034</v>
      </c>
      <c r="M624">
        <v>244162223</v>
      </c>
      <c r="N624">
        <v>-592716537</v>
      </c>
      <c r="O624">
        <v>-1077688511</v>
      </c>
      <c r="P624">
        <v>69</v>
      </c>
      <c r="Q624" t="s">
        <v>1294</v>
      </c>
    </row>
    <row r="625" spans="1:17" x14ac:dyDescent="0.3">
      <c r="A625" t="s">
        <v>17</v>
      </c>
      <c r="B625" t="str">
        <f>"600726"</f>
        <v>600726</v>
      </c>
      <c r="C625" t="s">
        <v>1295</v>
      </c>
      <c r="D625" t="s">
        <v>41</v>
      </c>
      <c r="F625">
        <v>-1250162014</v>
      </c>
      <c r="G625">
        <v>316333662</v>
      </c>
      <c r="H625">
        <v>315237717</v>
      </c>
      <c r="I625">
        <v>475539361</v>
      </c>
      <c r="J625">
        <v>-1570392499</v>
      </c>
      <c r="K625">
        <v>-539264670</v>
      </c>
      <c r="L625">
        <v>702458639</v>
      </c>
      <c r="M625">
        <v>1254236898</v>
      </c>
      <c r="N625">
        <v>949740940</v>
      </c>
      <c r="O625">
        <v>160500902</v>
      </c>
      <c r="P625">
        <v>110</v>
      </c>
      <c r="Q625" t="s">
        <v>1296</v>
      </c>
    </row>
    <row r="626" spans="1:17" x14ac:dyDescent="0.3">
      <c r="A626" t="s">
        <v>17</v>
      </c>
      <c r="B626" t="str">
        <f>"600727"</f>
        <v>600727</v>
      </c>
      <c r="C626" t="s">
        <v>1297</v>
      </c>
      <c r="D626" t="s">
        <v>133</v>
      </c>
      <c r="F626">
        <v>16344731</v>
      </c>
      <c r="G626">
        <v>-16619309</v>
      </c>
      <c r="H626">
        <v>118017395</v>
      </c>
      <c r="I626">
        <v>97120862</v>
      </c>
      <c r="J626">
        <v>53049973</v>
      </c>
      <c r="K626">
        <v>55165848</v>
      </c>
      <c r="L626">
        <v>20676200</v>
      </c>
      <c r="M626">
        <v>92966115</v>
      </c>
      <c r="N626">
        <v>-25041611</v>
      </c>
      <c r="O626">
        <v>20260396</v>
      </c>
      <c r="P626">
        <v>138</v>
      </c>
      <c r="Q626" t="s">
        <v>1298</v>
      </c>
    </row>
    <row r="627" spans="1:17" x14ac:dyDescent="0.3">
      <c r="A627" t="s">
        <v>17</v>
      </c>
      <c r="B627" t="str">
        <f>"600728"</f>
        <v>600728</v>
      </c>
      <c r="C627" t="s">
        <v>1299</v>
      </c>
      <c r="D627" t="s">
        <v>212</v>
      </c>
      <c r="F627">
        <v>-747506592</v>
      </c>
      <c r="G627">
        <v>-362540737</v>
      </c>
      <c r="H627">
        <v>-660112559</v>
      </c>
      <c r="I627">
        <v>-530986348</v>
      </c>
      <c r="J627">
        <v>-380891298</v>
      </c>
      <c r="K627">
        <v>-520063384</v>
      </c>
      <c r="L627">
        <v>-217147485</v>
      </c>
      <c r="M627">
        <v>-225856051</v>
      </c>
      <c r="N627">
        <v>-177962701</v>
      </c>
      <c r="O627">
        <v>-34529213</v>
      </c>
      <c r="P627">
        <v>345</v>
      </c>
      <c r="Q627" t="s">
        <v>1300</v>
      </c>
    </row>
    <row r="628" spans="1:17" x14ac:dyDescent="0.3">
      <c r="A628" t="s">
        <v>17</v>
      </c>
      <c r="B628" t="str">
        <f>"600729"</f>
        <v>600729</v>
      </c>
      <c r="C628" t="s">
        <v>1301</v>
      </c>
      <c r="D628" t="s">
        <v>120</v>
      </c>
      <c r="F628">
        <v>1608635677</v>
      </c>
      <c r="G628">
        <v>1558906049</v>
      </c>
      <c r="H628">
        <v>694993848</v>
      </c>
      <c r="I628">
        <v>1026867844</v>
      </c>
      <c r="J628">
        <v>1005598030</v>
      </c>
      <c r="K628">
        <v>190924543</v>
      </c>
      <c r="L628">
        <v>81641991</v>
      </c>
      <c r="M628">
        <v>-565015541</v>
      </c>
      <c r="N628">
        <v>-59478900</v>
      </c>
      <c r="O628">
        <v>103244983</v>
      </c>
      <c r="P628">
        <v>539</v>
      </c>
      <c r="Q628" t="s">
        <v>1302</v>
      </c>
    </row>
    <row r="629" spans="1:17" x14ac:dyDescent="0.3">
      <c r="A629" t="s">
        <v>17</v>
      </c>
      <c r="B629" t="str">
        <f>"600730"</f>
        <v>600730</v>
      </c>
      <c r="C629" t="s">
        <v>1303</v>
      </c>
      <c r="D629" t="s">
        <v>110</v>
      </c>
      <c r="F629">
        <v>-18297594</v>
      </c>
      <c r="G629">
        <v>-111015646</v>
      </c>
      <c r="H629">
        <v>-18715334</v>
      </c>
      <c r="I629">
        <v>4072600</v>
      </c>
      <c r="J629">
        <v>-248429019</v>
      </c>
      <c r="K629">
        <v>-45232293</v>
      </c>
      <c r="L629">
        <v>-197487895</v>
      </c>
      <c r="M629">
        <v>-139879700</v>
      </c>
      <c r="N629">
        <v>254638132</v>
      </c>
      <c r="O629">
        <v>-55323322</v>
      </c>
      <c r="P629">
        <v>99</v>
      </c>
      <c r="Q629" t="s">
        <v>1304</v>
      </c>
    </row>
    <row r="630" spans="1:17" x14ac:dyDescent="0.3">
      <c r="A630" t="s">
        <v>17</v>
      </c>
      <c r="B630" t="str">
        <f>"600731"</f>
        <v>600731</v>
      </c>
      <c r="C630" t="s">
        <v>1305</v>
      </c>
      <c r="D630" t="s">
        <v>133</v>
      </c>
      <c r="F630">
        <v>-53790248</v>
      </c>
      <c r="G630">
        <v>138694772</v>
      </c>
      <c r="H630">
        <v>27614217</v>
      </c>
      <c r="I630">
        <v>13824367</v>
      </c>
      <c r="J630">
        <v>81787858</v>
      </c>
      <c r="K630">
        <v>54846919</v>
      </c>
      <c r="L630">
        <v>-5487056</v>
      </c>
      <c r="M630">
        <v>-17818145</v>
      </c>
      <c r="N630">
        <v>-3704145</v>
      </c>
      <c r="O630">
        <v>8695700</v>
      </c>
      <c r="P630">
        <v>244</v>
      </c>
      <c r="Q630" t="s">
        <v>1306</v>
      </c>
    </row>
    <row r="631" spans="1:17" x14ac:dyDescent="0.3">
      <c r="A631" t="s">
        <v>17</v>
      </c>
      <c r="B631" t="str">
        <f>"600732"</f>
        <v>600732</v>
      </c>
      <c r="C631" t="s">
        <v>1307</v>
      </c>
      <c r="D631" t="s">
        <v>188</v>
      </c>
      <c r="F631">
        <v>-655124930</v>
      </c>
      <c r="G631">
        <v>-1501828630</v>
      </c>
      <c r="H631">
        <v>-794518539</v>
      </c>
      <c r="I631">
        <v>17455072</v>
      </c>
      <c r="J631">
        <v>-30275618</v>
      </c>
      <c r="K631">
        <v>98519307</v>
      </c>
      <c r="L631">
        <v>-16139197</v>
      </c>
      <c r="M631">
        <v>-8260150</v>
      </c>
      <c r="N631">
        <v>-63813268</v>
      </c>
      <c r="O631">
        <v>-70513945</v>
      </c>
      <c r="P631">
        <v>357</v>
      </c>
      <c r="Q631" t="s">
        <v>1308</v>
      </c>
    </row>
    <row r="632" spans="1:17" x14ac:dyDescent="0.3">
      <c r="A632" t="s">
        <v>17</v>
      </c>
      <c r="B632" t="str">
        <f>"600733"</f>
        <v>600733</v>
      </c>
      <c r="C632" t="s">
        <v>1309</v>
      </c>
      <c r="D632" t="s">
        <v>27</v>
      </c>
      <c r="F632">
        <v>1766497357</v>
      </c>
      <c r="G632">
        <v>-7556404464</v>
      </c>
      <c r="H632">
        <v>-7987442501</v>
      </c>
      <c r="I632">
        <v>-4819289886</v>
      </c>
      <c r="J632">
        <v>-10741822</v>
      </c>
      <c r="K632">
        <v>-48502666</v>
      </c>
      <c r="L632">
        <v>-64060099</v>
      </c>
      <c r="M632">
        <v>-83399974</v>
      </c>
      <c r="N632">
        <v>4890933</v>
      </c>
      <c r="O632">
        <v>-109975761</v>
      </c>
      <c r="P632">
        <v>369</v>
      </c>
      <c r="Q632" t="s">
        <v>1310</v>
      </c>
    </row>
    <row r="633" spans="1:17" x14ac:dyDescent="0.3">
      <c r="A633" t="s">
        <v>17</v>
      </c>
      <c r="B633" t="str">
        <f>"600734"</f>
        <v>600734</v>
      </c>
      <c r="C633" t="s">
        <v>1311</v>
      </c>
      <c r="D633" t="s">
        <v>100</v>
      </c>
      <c r="F633">
        <v>77166695</v>
      </c>
      <c r="G633">
        <v>-117706920</v>
      </c>
      <c r="H633">
        <v>-294692942</v>
      </c>
      <c r="I633">
        <v>-511211499</v>
      </c>
      <c r="J633">
        <v>-179577646</v>
      </c>
      <c r="K633">
        <v>-181395947</v>
      </c>
      <c r="L633">
        <v>-56500344</v>
      </c>
      <c r="M633">
        <v>-156332380</v>
      </c>
      <c r="N633">
        <v>-13624554</v>
      </c>
      <c r="O633">
        <v>-58594622</v>
      </c>
      <c r="P633">
        <v>175</v>
      </c>
      <c r="Q633" t="s">
        <v>1312</v>
      </c>
    </row>
    <row r="634" spans="1:17" x14ac:dyDescent="0.3">
      <c r="A634" t="s">
        <v>17</v>
      </c>
      <c r="B634" t="str">
        <f>"600735"</f>
        <v>600735</v>
      </c>
      <c r="C634" t="s">
        <v>1313</v>
      </c>
      <c r="D634" t="s">
        <v>227</v>
      </c>
      <c r="F634">
        <v>39487549</v>
      </c>
      <c r="G634">
        <v>6784736</v>
      </c>
      <c r="H634">
        <v>82803207</v>
      </c>
      <c r="I634">
        <v>101247222</v>
      </c>
      <c r="J634">
        <v>77276891</v>
      </c>
      <c r="K634">
        <v>75782357</v>
      </c>
      <c r="L634">
        <v>75793864</v>
      </c>
      <c r="M634">
        <v>44853038</v>
      </c>
      <c r="N634">
        <v>26790032</v>
      </c>
      <c r="O634">
        <v>17007079</v>
      </c>
      <c r="P634">
        <v>105</v>
      </c>
      <c r="Q634" t="s">
        <v>1314</v>
      </c>
    </row>
    <row r="635" spans="1:17" x14ac:dyDescent="0.3">
      <c r="A635" t="s">
        <v>17</v>
      </c>
      <c r="B635" t="str">
        <f>"600736"</f>
        <v>600736</v>
      </c>
      <c r="C635" t="s">
        <v>1315</v>
      </c>
      <c r="D635" t="s">
        <v>30</v>
      </c>
      <c r="F635">
        <v>606419878</v>
      </c>
      <c r="G635">
        <v>1853780155</v>
      </c>
      <c r="H635">
        <v>-2250074065</v>
      </c>
      <c r="I635">
        <v>-3941637443</v>
      </c>
      <c r="J635">
        <v>3921146239</v>
      </c>
      <c r="K635">
        <v>4252629582</v>
      </c>
      <c r="L635">
        <v>-893537803</v>
      </c>
      <c r="M635">
        <v>-757692768</v>
      </c>
      <c r="N635">
        <v>-974023303</v>
      </c>
      <c r="O635">
        <v>-1098443753</v>
      </c>
      <c r="P635">
        <v>142</v>
      </c>
      <c r="Q635" t="s">
        <v>1316</v>
      </c>
    </row>
    <row r="636" spans="1:17" x14ac:dyDescent="0.3">
      <c r="A636" t="s">
        <v>17</v>
      </c>
      <c r="B636" t="str">
        <f>"600737"</f>
        <v>600737</v>
      </c>
      <c r="C636" t="s">
        <v>1317</v>
      </c>
      <c r="D636" t="s">
        <v>205</v>
      </c>
      <c r="F636">
        <v>2420082969</v>
      </c>
      <c r="G636">
        <v>3120420389</v>
      </c>
      <c r="H636">
        <v>2917406803</v>
      </c>
      <c r="I636">
        <v>3457954051</v>
      </c>
      <c r="J636">
        <v>5446758861</v>
      </c>
      <c r="K636">
        <v>1280699595</v>
      </c>
      <c r="L636">
        <v>-109802211</v>
      </c>
      <c r="M636">
        <v>-641123438</v>
      </c>
      <c r="N636">
        <v>521230993</v>
      </c>
      <c r="O636">
        <v>614115558</v>
      </c>
      <c r="P636">
        <v>515</v>
      </c>
      <c r="Q636" t="s">
        <v>1318</v>
      </c>
    </row>
    <row r="637" spans="1:17" x14ac:dyDescent="0.3">
      <c r="A637" t="s">
        <v>17</v>
      </c>
      <c r="B637" t="str">
        <f>"600738"</f>
        <v>600738</v>
      </c>
      <c r="C637" t="s">
        <v>1319</v>
      </c>
      <c r="D637" t="s">
        <v>120</v>
      </c>
      <c r="F637">
        <v>-263964194</v>
      </c>
      <c r="G637">
        <v>-91505126</v>
      </c>
      <c r="H637">
        <v>-84159248</v>
      </c>
      <c r="I637">
        <v>-30171775</v>
      </c>
      <c r="J637">
        <v>107315989</v>
      </c>
      <c r="K637">
        <v>-131612495</v>
      </c>
      <c r="L637">
        <v>-136026829</v>
      </c>
      <c r="M637">
        <v>-138813569</v>
      </c>
      <c r="N637">
        <v>-27528302</v>
      </c>
      <c r="O637">
        <v>23152910</v>
      </c>
      <c r="P637">
        <v>153</v>
      </c>
      <c r="Q637" t="s">
        <v>1320</v>
      </c>
    </row>
    <row r="638" spans="1:17" x14ac:dyDescent="0.3">
      <c r="A638" t="s">
        <v>17</v>
      </c>
      <c r="B638" t="str">
        <f>"600739"</f>
        <v>600739</v>
      </c>
      <c r="C638" t="s">
        <v>1321</v>
      </c>
      <c r="D638" t="s">
        <v>113</v>
      </c>
      <c r="F638">
        <v>-799017478</v>
      </c>
      <c r="G638">
        <v>472316670</v>
      </c>
      <c r="H638">
        <v>-40129292</v>
      </c>
      <c r="I638">
        <v>-179320473</v>
      </c>
      <c r="J638">
        <v>-722984298</v>
      </c>
      <c r="K638">
        <v>150498638</v>
      </c>
      <c r="L638">
        <v>-485241940</v>
      </c>
      <c r="M638">
        <v>-979733413</v>
      </c>
      <c r="N638">
        <v>-1205530524</v>
      </c>
      <c r="O638">
        <v>-996547447</v>
      </c>
      <c r="P638">
        <v>338</v>
      </c>
      <c r="Q638" t="s">
        <v>1322</v>
      </c>
    </row>
    <row r="639" spans="1:17" x14ac:dyDescent="0.3">
      <c r="A639" t="s">
        <v>17</v>
      </c>
      <c r="B639" t="str">
        <f>"600740"</f>
        <v>600740</v>
      </c>
      <c r="C639" t="s">
        <v>1323</v>
      </c>
      <c r="D639" t="s">
        <v>257</v>
      </c>
      <c r="F639">
        <v>436884528</v>
      </c>
      <c r="G639">
        <v>-191696006</v>
      </c>
      <c r="H639">
        <v>-8092481</v>
      </c>
      <c r="I639">
        <v>-66875563</v>
      </c>
      <c r="J639">
        <v>70125300</v>
      </c>
      <c r="K639">
        <v>-108516262</v>
      </c>
      <c r="L639">
        <v>-884770244</v>
      </c>
      <c r="M639">
        <v>-102801706</v>
      </c>
      <c r="N639">
        <v>-258864733</v>
      </c>
      <c r="O639">
        <v>-93710177</v>
      </c>
      <c r="P639">
        <v>331</v>
      </c>
      <c r="Q639" t="s">
        <v>1324</v>
      </c>
    </row>
    <row r="640" spans="1:17" x14ac:dyDescent="0.3">
      <c r="A640" t="s">
        <v>17</v>
      </c>
      <c r="B640" t="str">
        <f>"600741"</f>
        <v>600741</v>
      </c>
      <c r="C640" t="s">
        <v>1325</v>
      </c>
      <c r="D640" t="s">
        <v>27</v>
      </c>
      <c r="F640">
        <v>5655183142</v>
      </c>
      <c r="G640">
        <v>3639681398</v>
      </c>
      <c r="H640">
        <v>2272650950</v>
      </c>
      <c r="I640">
        <v>-3544306511</v>
      </c>
      <c r="J640">
        <v>1254046823</v>
      </c>
      <c r="K640">
        <v>4634175999</v>
      </c>
      <c r="L640">
        <v>2080554801</v>
      </c>
      <c r="M640">
        <v>2613947306</v>
      </c>
      <c r="N640">
        <v>2665058715</v>
      </c>
      <c r="O640">
        <v>1283089221</v>
      </c>
      <c r="P640">
        <v>6373</v>
      </c>
      <c r="Q640" t="s">
        <v>1326</v>
      </c>
    </row>
    <row r="641" spans="1:17" x14ac:dyDescent="0.3">
      <c r="A641" t="s">
        <v>17</v>
      </c>
      <c r="B641" t="str">
        <f>"600742"</f>
        <v>600742</v>
      </c>
      <c r="C641" t="s">
        <v>1327</v>
      </c>
      <c r="D641" t="s">
        <v>27</v>
      </c>
      <c r="F641">
        <v>1945384720</v>
      </c>
      <c r="G641">
        <v>1453375713</v>
      </c>
      <c r="H641">
        <v>-270795080</v>
      </c>
      <c r="I641">
        <v>-127511797</v>
      </c>
      <c r="J641">
        <v>-348042464</v>
      </c>
      <c r="K641">
        <v>220538008</v>
      </c>
      <c r="L641">
        <v>61992874</v>
      </c>
      <c r="M641">
        <v>-52767850</v>
      </c>
      <c r="N641">
        <v>-141159358</v>
      </c>
      <c r="O641">
        <v>-71317384</v>
      </c>
      <c r="P641">
        <v>417</v>
      </c>
      <c r="Q641" t="s">
        <v>1328</v>
      </c>
    </row>
    <row r="642" spans="1:17" x14ac:dyDescent="0.3">
      <c r="A642" t="s">
        <v>17</v>
      </c>
      <c r="B642" t="str">
        <f>"600743"</f>
        <v>600743</v>
      </c>
      <c r="C642" t="s">
        <v>1329</v>
      </c>
      <c r="D642" t="s">
        <v>30</v>
      </c>
      <c r="F642">
        <v>5230035332</v>
      </c>
      <c r="G642">
        <v>1914087815</v>
      </c>
      <c r="H642">
        <v>-4151190647</v>
      </c>
      <c r="I642">
        <v>-5134240988</v>
      </c>
      <c r="J642">
        <v>657072109</v>
      </c>
      <c r="K642">
        <v>483422813</v>
      </c>
      <c r="L642">
        <v>185035791</v>
      </c>
      <c r="M642">
        <v>-2768665525</v>
      </c>
      <c r="N642">
        <v>151542855</v>
      </c>
      <c r="O642">
        <v>1113445779</v>
      </c>
      <c r="P642">
        <v>603</v>
      </c>
      <c r="Q642" t="s">
        <v>1330</v>
      </c>
    </row>
    <row r="643" spans="1:17" x14ac:dyDescent="0.3">
      <c r="A643" t="s">
        <v>17</v>
      </c>
      <c r="B643" t="str">
        <f>"600744"</f>
        <v>600744</v>
      </c>
      <c r="C643" t="s">
        <v>1331</v>
      </c>
      <c r="D643" t="s">
        <v>41</v>
      </c>
      <c r="F643">
        <v>-313525697</v>
      </c>
      <c r="G643">
        <v>1601851887</v>
      </c>
      <c r="H643">
        <v>706675009</v>
      </c>
      <c r="I643">
        <v>1783707675</v>
      </c>
      <c r="J643">
        <v>59520381</v>
      </c>
      <c r="K643">
        <v>1141373264</v>
      </c>
      <c r="L643">
        <v>1569643390</v>
      </c>
      <c r="M643">
        <v>1288234864</v>
      </c>
      <c r="N643">
        <v>97627495</v>
      </c>
      <c r="O643">
        <v>-571698180</v>
      </c>
      <c r="P643">
        <v>182</v>
      </c>
      <c r="Q643" t="s">
        <v>1332</v>
      </c>
    </row>
    <row r="644" spans="1:17" x14ac:dyDescent="0.3">
      <c r="A644" t="s">
        <v>17</v>
      </c>
      <c r="B644" t="str">
        <f>"600745"</f>
        <v>600745</v>
      </c>
      <c r="C644" t="s">
        <v>1333</v>
      </c>
      <c r="D644" t="s">
        <v>150</v>
      </c>
      <c r="F644">
        <v>-4001595009</v>
      </c>
      <c r="G644">
        <v>2994688440</v>
      </c>
      <c r="H644">
        <v>749987907</v>
      </c>
      <c r="I644">
        <v>1739014293</v>
      </c>
      <c r="J644">
        <v>852452908</v>
      </c>
      <c r="K644">
        <v>441230192</v>
      </c>
      <c r="L644">
        <v>-404748272</v>
      </c>
      <c r="M644">
        <v>-670150433</v>
      </c>
      <c r="N644">
        <v>53172318</v>
      </c>
      <c r="O644">
        <v>42399272</v>
      </c>
      <c r="P644">
        <v>1618</v>
      </c>
      <c r="Q644" t="s">
        <v>1334</v>
      </c>
    </row>
    <row r="645" spans="1:17" x14ac:dyDescent="0.3">
      <c r="A645" t="s">
        <v>17</v>
      </c>
      <c r="B645" t="str">
        <f>"600746"</f>
        <v>600746</v>
      </c>
      <c r="C645" t="s">
        <v>1335</v>
      </c>
      <c r="D645" t="s">
        <v>133</v>
      </c>
      <c r="F645">
        <v>1423031255</v>
      </c>
      <c r="G645">
        <v>158601836</v>
      </c>
      <c r="H645">
        <v>59213399</v>
      </c>
      <c r="I645">
        <v>-21145509</v>
      </c>
      <c r="J645">
        <v>108105839</v>
      </c>
      <c r="K645">
        <v>49709385</v>
      </c>
      <c r="L645">
        <v>7181416</v>
      </c>
      <c r="M645">
        <v>30921681</v>
      </c>
      <c r="N645">
        <v>28373269</v>
      </c>
      <c r="O645">
        <v>18285827</v>
      </c>
      <c r="P645">
        <v>230</v>
      </c>
      <c r="Q645" t="s">
        <v>1336</v>
      </c>
    </row>
    <row r="646" spans="1:17" x14ac:dyDescent="0.3">
      <c r="A646" t="s">
        <v>17</v>
      </c>
      <c r="B646" t="str">
        <f>"600747"</f>
        <v>600747</v>
      </c>
      <c r="C646" t="s">
        <v>1337</v>
      </c>
      <c r="H646">
        <v>3280877</v>
      </c>
      <c r="I646">
        <v>-66073684</v>
      </c>
      <c r="J646">
        <v>36432970</v>
      </c>
      <c r="K646">
        <v>-405443977</v>
      </c>
      <c r="L646">
        <v>-145582963</v>
      </c>
      <c r="M646">
        <v>-480941298</v>
      </c>
      <c r="N646">
        <v>197803916</v>
      </c>
      <c r="O646">
        <v>-76280915</v>
      </c>
      <c r="P646">
        <v>21</v>
      </c>
      <c r="Q646" t="s">
        <v>1338</v>
      </c>
    </row>
    <row r="647" spans="1:17" x14ac:dyDescent="0.3">
      <c r="A647" t="s">
        <v>17</v>
      </c>
      <c r="B647" t="str">
        <f>"600748"</f>
        <v>600748</v>
      </c>
      <c r="C647" t="s">
        <v>1339</v>
      </c>
      <c r="D647" t="s">
        <v>30</v>
      </c>
      <c r="F647">
        <v>-3230726659</v>
      </c>
      <c r="G647">
        <v>488251526</v>
      </c>
      <c r="H647">
        <v>-1375802373</v>
      </c>
      <c r="I647">
        <v>295614343</v>
      </c>
      <c r="J647">
        <v>-1163355105</v>
      </c>
      <c r="K647">
        <v>3355171525</v>
      </c>
      <c r="L647">
        <v>-695356874</v>
      </c>
      <c r="M647">
        <v>-2614343986</v>
      </c>
      <c r="N647">
        <v>869040465</v>
      </c>
      <c r="O647">
        <v>-410423253</v>
      </c>
      <c r="P647">
        <v>188</v>
      </c>
      <c r="Q647" t="s">
        <v>1340</v>
      </c>
    </row>
    <row r="648" spans="1:17" x14ac:dyDescent="0.3">
      <c r="A648" t="s">
        <v>17</v>
      </c>
      <c r="B648" t="str">
        <f>"600749"</f>
        <v>600749</v>
      </c>
      <c r="C648" t="s">
        <v>1341</v>
      </c>
      <c r="D648" t="s">
        <v>110</v>
      </c>
      <c r="F648">
        <v>-39264283</v>
      </c>
      <c r="G648">
        <v>-27127289</v>
      </c>
      <c r="H648">
        <v>-14583850</v>
      </c>
      <c r="I648">
        <v>585594483</v>
      </c>
      <c r="J648">
        <v>-17511726</v>
      </c>
      <c r="K648">
        <v>-67746335</v>
      </c>
      <c r="L648">
        <v>10636575</v>
      </c>
      <c r="M648">
        <v>-73313618</v>
      </c>
      <c r="N648">
        <v>-46736898</v>
      </c>
      <c r="O648">
        <v>-118395302</v>
      </c>
      <c r="P648">
        <v>106</v>
      </c>
      <c r="Q648" t="s">
        <v>1342</v>
      </c>
    </row>
    <row r="649" spans="1:17" x14ac:dyDescent="0.3">
      <c r="A649" t="s">
        <v>17</v>
      </c>
      <c r="B649" t="str">
        <f>"600750"</f>
        <v>600750</v>
      </c>
      <c r="C649" t="s">
        <v>1343</v>
      </c>
      <c r="D649" t="s">
        <v>113</v>
      </c>
      <c r="F649">
        <v>365400203</v>
      </c>
      <c r="G649">
        <v>609350496</v>
      </c>
      <c r="H649">
        <v>576434794</v>
      </c>
      <c r="I649">
        <v>280806300</v>
      </c>
      <c r="J649">
        <v>-8434307</v>
      </c>
      <c r="K649">
        <v>531664634</v>
      </c>
      <c r="L649">
        <v>383148119</v>
      </c>
      <c r="M649">
        <v>214986040</v>
      </c>
      <c r="N649">
        <v>108260212</v>
      </c>
      <c r="O649">
        <v>42893840</v>
      </c>
      <c r="P649">
        <v>817</v>
      </c>
      <c r="Q649" t="s">
        <v>1344</v>
      </c>
    </row>
    <row r="650" spans="1:17" x14ac:dyDescent="0.3">
      <c r="A650" t="s">
        <v>17</v>
      </c>
      <c r="B650" t="str">
        <f>"600751"</f>
        <v>600751</v>
      </c>
      <c r="C650" t="s">
        <v>1345</v>
      </c>
      <c r="D650" t="s">
        <v>150</v>
      </c>
      <c r="F650">
        <v>10194196000</v>
      </c>
      <c r="G650">
        <v>6550021000</v>
      </c>
      <c r="H650">
        <v>2056077000</v>
      </c>
      <c r="I650">
        <v>7116949000</v>
      </c>
      <c r="J650">
        <v>-5702133000</v>
      </c>
      <c r="K650">
        <v>-536143919</v>
      </c>
      <c r="L650">
        <v>20585931</v>
      </c>
      <c r="M650">
        <v>-30436594</v>
      </c>
      <c r="N650">
        <v>-33947092</v>
      </c>
      <c r="O650">
        <v>170613880</v>
      </c>
      <c r="P650">
        <v>226</v>
      </c>
      <c r="Q650" t="s">
        <v>1346</v>
      </c>
    </row>
    <row r="651" spans="1:17" x14ac:dyDescent="0.3">
      <c r="A651" t="s">
        <v>17</v>
      </c>
      <c r="B651" t="str">
        <f>"600752"</f>
        <v>600752</v>
      </c>
      <c r="C651" t="s">
        <v>1347</v>
      </c>
      <c r="L651">
        <v>226.81</v>
      </c>
      <c r="M651">
        <v>-516</v>
      </c>
      <c r="N651">
        <v>-1941</v>
      </c>
      <c r="P651">
        <v>2</v>
      </c>
      <c r="Q651" t="s">
        <v>1348</v>
      </c>
    </row>
    <row r="652" spans="1:17" x14ac:dyDescent="0.3">
      <c r="A652" t="s">
        <v>17</v>
      </c>
      <c r="B652" t="str">
        <f>"600753"</f>
        <v>600753</v>
      </c>
      <c r="C652" t="s">
        <v>1349</v>
      </c>
      <c r="D652" t="s">
        <v>22</v>
      </c>
      <c r="F652">
        <v>-45368782</v>
      </c>
      <c r="G652">
        <v>-30472025</v>
      </c>
      <c r="H652">
        <v>-172633963</v>
      </c>
      <c r="I652">
        <v>-183512513</v>
      </c>
      <c r="J652">
        <v>11054330</v>
      </c>
      <c r="K652">
        <v>-19397936</v>
      </c>
      <c r="L652">
        <v>244588715</v>
      </c>
      <c r="M652">
        <v>-511523</v>
      </c>
      <c r="N652">
        <v>12349</v>
      </c>
      <c r="O652">
        <v>140654</v>
      </c>
      <c r="P652">
        <v>91</v>
      </c>
      <c r="Q652" t="s">
        <v>1350</v>
      </c>
    </row>
    <row r="653" spans="1:17" x14ac:dyDescent="0.3">
      <c r="A653" t="s">
        <v>17</v>
      </c>
      <c r="B653" t="str">
        <f>"600754"</f>
        <v>600754</v>
      </c>
      <c r="C653" t="s">
        <v>1351</v>
      </c>
      <c r="D653" t="s">
        <v>110</v>
      </c>
      <c r="F653">
        <v>1075827466</v>
      </c>
      <c r="G653">
        <v>-1025061662</v>
      </c>
      <c r="H653">
        <v>942610500</v>
      </c>
      <c r="I653">
        <v>2006704963</v>
      </c>
      <c r="J653">
        <v>1896610860</v>
      </c>
      <c r="K653">
        <v>1077889201</v>
      </c>
      <c r="L653">
        <v>399696514</v>
      </c>
      <c r="M653">
        <v>130946333</v>
      </c>
      <c r="N653">
        <v>-174316332</v>
      </c>
      <c r="O653">
        <v>237521837</v>
      </c>
      <c r="P653">
        <v>670</v>
      </c>
      <c r="Q653" t="s">
        <v>1352</v>
      </c>
    </row>
    <row r="654" spans="1:17" x14ac:dyDescent="0.3">
      <c r="A654" t="s">
        <v>17</v>
      </c>
      <c r="B654" t="str">
        <f>"600755"</f>
        <v>600755</v>
      </c>
      <c r="C654" t="s">
        <v>1353</v>
      </c>
      <c r="D654" t="s">
        <v>22</v>
      </c>
      <c r="F654">
        <v>-812170023</v>
      </c>
      <c r="G654">
        <v>-5610606531</v>
      </c>
      <c r="H654">
        <v>-3089786499</v>
      </c>
      <c r="I654">
        <v>-2186219272</v>
      </c>
      <c r="J654">
        <v>-11675259957</v>
      </c>
      <c r="K654">
        <v>-6465275916</v>
      </c>
      <c r="L654">
        <v>1525847046</v>
      </c>
      <c r="M654">
        <v>-5783739587</v>
      </c>
      <c r="N654">
        <v>2007452746</v>
      </c>
      <c r="O654">
        <v>1250823761</v>
      </c>
      <c r="P654">
        <v>742</v>
      </c>
      <c r="Q654" t="s">
        <v>1354</v>
      </c>
    </row>
    <row r="655" spans="1:17" x14ac:dyDescent="0.3">
      <c r="A655" t="s">
        <v>17</v>
      </c>
      <c r="B655" t="str">
        <f>"600756"</f>
        <v>600756</v>
      </c>
      <c r="C655" t="s">
        <v>1355</v>
      </c>
      <c r="D655" t="s">
        <v>212</v>
      </c>
      <c r="F655">
        <v>-235595264</v>
      </c>
      <c r="G655">
        <v>-192638069</v>
      </c>
      <c r="H655">
        <v>-353917957</v>
      </c>
      <c r="I655">
        <v>-345326345</v>
      </c>
      <c r="J655">
        <v>-488927296</v>
      </c>
      <c r="K655">
        <v>-278292685</v>
      </c>
      <c r="L655">
        <v>-188327502</v>
      </c>
      <c r="M655">
        <v>-197509332</v>
      </c>
      <c r="N655">
        <v>-204045829</v>
      </c>
      <c r="O655">
        <v>-117028081</v>
      </c>
      <c r="P655">
        <v>265</v>
      </c>
      <c r="Q655" t="s">
        <v>1356</v>
      </c>
    </row>
    <row r="656" spans="1:17" x14ac:dyDescent="0.3">
      <c r="A656" t="s">
        <v>17</v>
      </c>
      <c r="B656" t="str">
        <f>"600757"</f>
        <v>600757</v>
      </c>
      <c r="C656" t="s">
        <v>1357</v>
      </c>
      <c r="D656" t="s">
        <v>89</v>
      </c>
      <c r="F656">
        <v>-190703728</v>
      </c>
      <c r="G656">
        <v>-175450074</v>
      </c>
      <c r="H656">
        <v>-209850186</v>
      </c>
      <c r="I656">
        <v>-333656763</v>
      </c>
      <c r="J656">
        <v>-356998396</v>
      </c>
      <c r="K656">
        <v>-24009626</v>
      </c>
      <c r="L656">
        <v>-51886739</v>
      </c>
      <c r="M656">
        <v>-105899148</v>
      </c>
      <c r="N656">
        <v>-173025050</v>
      </c>
      <c r="O656">
        <v>-201429046</v>
      </c>
      <c r="P656">
        <v>437</v>
      </c>
      <c r="Q656" t="s">
        <v>1358</v>
      </c>
    </row>
    <row r="657" spans="1:17" x14ac:dyDescent="0.3">
      <c r="A657" t="s">
        <v>17</v>
      </c>
      <c r="B657" t="str">
        <f>"600758"</f>
        <v>600758</v>
      </c>
      <c r="C657" t="s">
        <v>1359</v>
      </c>
      <c r="D657" t="s">
        <v>257</v>
      </c>
      <c r="F657">
        <v>466002387</v>
      </c>
      <c r="G657">
        <v>36473702</v>
      </c>
      <c r="H657">
        <v>314046942</v>
      </c>
      <c r="I657">
        <v>149615623</v>
      </c>
      <c r="J657">
        <v>270726778</v>
      </c>
      <c r="K657">
        <v>369447610</v>
      </c>
      <c r="L657">
        <v>-9935574</v>
      </c>
      <c r="M657">
        <v>45797690</v>
      </c>
      <c r="N657">
        <v>-34180123</v>
      </c>
      <c r="O657">
        <v>13940102</v>
      </c>
      <c r="P657">
        <v>126</v>
      </c>
      <c r="Q657" t="s">
        <v>1360</v>
      </c>
    </row>
    <row r="658" spans="1:17" x14ac:dyDescent="0.3">
      <c r="A658" t="s">
        <v>17</v>
      </c>
      <c r="B658" t="str">
        <f>"600759"</f>
        <v>600759</v>
      </c>
      <c r="C658" t="s">
        <v>1361</v>
      </c>
      <c r="D658" t="s">
        <v>70</v>
      </c>
      <c r="F658">
        <v>470421920</v>
      </c>
      <c r="G658">
        <v>333795990</v>
      </c>
      <c r="H658">
        <v>205297583</v>
      </c>
      <c r="I658">
        <v>562397140</v>
      </c>
      <c r="J658">
        <v>-228452682</v>
      </c>
      <c r="K658">
        <v>106005374</v>
      </c>
      <c r="L658">
        <v>-73439725</v>
      </c>
      <c r="M658">
        <v>188713153</v>
      </c>
      <c r="N658">
        <v>185300961</v>
      </c>
      <c r="O658">
        <v>-143009791</v>
      </c>
      <c r="P658">
        <v>125</v>
      </c>
      <c r="Q658" t="s">
        <v>1362</v>
      </c>
    </row>
    <row r="659" spans="1:17" x14ac:dyDescent="0.3">
      <c r="A659" t="s">
        <v>17</v>
      </c>
      <c r="B659" t="str">
        <f>"600760"</f>
        <v>600760</v>
      </c>
      <c r="C659" t="s">
        <v>1363</v>
      </c>
      <c r="D659" t="s">
        <v>92</v>
      </c>
      <c r="F659">
        <v>6765845958</v>
      </c>
      <c r="G659">
        <v>-3686786963</v>
      </c>
      <c r="H659">
        <v>-207173907</v>
      </c>
      <c r="I659">
        <v>-1581080627</v>
      </c>
      <c r="J659">
        <v>15896280</v>
      </c>
      <c r="K659">
        <v>19388814</v>
      </c>
      <c r="L659">
        <v>119114932</v>
      </c>
      <c r="M659">
        <v>92281265</v>
      </c>
      <c r="N659">
        <v>55409962</v>
      </c>
      <c r="O659">
        <v>172874102</v>
      </c>
      <c r="P659">
        <v>828</v>
      </c>
      <c r="Q659" t="s">
        <v>1364</v>
      </c>
    </row>
    <row r="660" spans="1:17" x14ac:dyDescent="0.3">
      <c r="A660" t="s">
        <v>17</v>
      </c>
      <c r="B660" t="str">
        <f>"600761"</f>
        <v>600761</v>
      </c>
      <c r="C660" t="s">
        <v>1365</v>
      </c>
      <c r="D660" t="s">
        <v>78</v>
      </c>
      <c r="F660">
        <v>-182586567</v>
      </c>
      <c r="G660">
        <v>640544708</v>
      </c>
      <c r="H660">
        <v>486598715</v>
      </c>
      <c r="I660">
        <v>364810322</v>
      </c>
      <c r="J660">
        <v>555381458</v>
      </c>
      <c r="K660">
        <v>644683636</v>
      </c>
      <c r="L660">
        <v>234474112</v>
      </c>
      <c r="M660">
        <v>405461736</v>
      </c>
      <c r="N660">
        <v>409294029</v>
      </c>
      <c r="O660">
        <v>68710284</v>
      </c>
      <c r="P660">
        <v>443</v>
      </c>
      <c r="Q660" t="s">
        <v>1366</v>
      </c>
    </row>
    <row r="661" spans="1:17" x14ac:dyDescent="0.3">
      <c r="A661" t="s">
        <v>17</v>
      </c>
      <c r="B661" t="str">
        <f>"600763"</f>
        <v>600763</v>
      </c>
      <c r="C661" t="s">
        <v>1367</v>
      </c>
      <c r="D661" t="s">
        <v>113</v>
      </c>
      <c r="F661">
        <v>527207253</v>
      </c>
      <c r="G661">
        <v>387980828</v>
      </c>
      <c r="H661">
        <v>427085333</v>
      </c>
      <c r="I661">
        <v>110710953</v>
      </c>
      <c r="J661">
        <v>170438464</v>
      </c>
      <c r="K661">
        <v>26886204</v>
      </c>
      <c r="L661">
        <v>74289751</v>
      </c>
      <c r="M661">
        <v>35382727</v>
      </c>
      <c r="N661">
        <v>57981451</v>
      </c>
      <c r="O661">
        <v>70012755</v>
      </c>
      <c r="P661">
        <v>38190</v>
      </c>
      <c r="Q661" t="s">
        <v>1368</v>
      </c>
    </row>
    <row r="662" spans="1:17" x14ac:dyDescent="0.3">
      <c r="A662" t="s">
        <v>17</v>
      </c>
      <c r="B662" t="str">
        <f>"600764"</f>
        <v>600764</v>
      </c>
      <c r="C662" t="s">
        <v>1369</v>
      </c>
      <c r="D662" t="s">
        <v>92</v>
      </c>
      <c r="F662">
        <v>100238756</v>
      </c>
      <c r="G662">
        <v>-255951554</v>
      </c>
      <c r="H662">
        <v>-51895242</v>
      </c>
      <c r="I662">
        <v>-122048098</v>
      </c>
      <c r="J662">
        <v>-34547118</v>
      </c>
      <c r="K662">
        <v>30627086</v>
      </c>
      <c r="L662">
        <v>78529925</v>
      </c>
      <c r="M662">
        <v>-30616473</v>
      </c>
      <c r="N662">
        <v>-213286766</v>
      </c>
      <c r="O662">
        <v>-141233808</v>
      </c>
      <c r="P662">
        <v>233</v>
      </c>
      <c r="Q662" t="s">
        <v>1370</v>
      </c>
    </row>
    <row r="663" spans="1:17" x14ac:dyDescent="0.3">
      <c r="A663" t="s">
        <v>17</v>
      </c>
      <c r="B663" t="str">
        <f>"600765"</f>
        <v>600765</v>
      </c>
      <c r="C663" t="s">
        <v>1371</v>
      </c>
      <c r="D663" t="s">
        <v>92</v>
      </c>
      <c r="F663">
        <v>695754066</v>
      </c>
      <c r="G663">
        <v>-121205720</v>
      </c>
      <c r="H663">
        <v>-136310236</v>
      </c>
      <c r="I663">
        <v>-46005414</v>
      </c>
      <c r="J663">
        <v>-171176629</v>
      </c>
      <c r="K663">
        <v>-530088835</v>
      </c>
      <c r="L663">
        <v>-565495112</v>
      </c>
      <c r="M663">
        <v>-804201282</v>
      </c>
      <c r="N663">
        <v>-721363415</v>
      </c>
      <c r="O663">
        <v>-816425842</v>
      </c>
      <c r="P663">
        <v>357</v>
      </c>
      <c r="Q663" t="s">
        <v>1372</v>
      </c>
    </row>
    <row r="664" spans="1:17" x14ac:dyDescent="0.3">
      <c r="A664" t="s">
        <v>17</v>
      </c>
      <c r="B664" t="str">
        <f>"600766"</f>
        <v>600766</v>
      </c>
      <c r="C664" t="s">
        <v>1373</v>
      </c>
      <c r="D664" t="s">
        <v>234</v>
      </c>
      <c r="F664">
        <v>-9549797</v>
      </c>
      <c r="G664">
        <v>-6089287</v>
      </c>
      <c r="H664">
        <v>-5300732</v>
      </c>
      <c r="I664">
        <v>-946353</v>
      </c>
      <c r="J664">
        <v>755424</v>
      </c>
      <c r="K664">
        <v>-461366</v>
      </c>
      <c r="L664">
        <v>11988281</v>
      </c>
      <c r="M664">
        <v>4350596</v>
      </c>
      <c r="N664">
        <v>-1001994</v>
      </c>
      <c r="O664">
        <v>84333856</v>
      </c>
      <c r="P664">
        <v>79</v>
      </c>
      <c r="Q664" t="s">
        <v>1374</v>
      </c>
    </row>
    <row r="665" spans="1:17" x14ac:dyDescent="0.3">
      <c r="A665" t="s">
        <v>17</v>
      </c>
      <c r="B665" t="str">
        <f>"600767"</f>
        <v>600767</v>
      </c>
      <c r="C665" t="s">
        <v>1375</v>
      </c>
      <c r="D665" t="s">
        <v>113</v>
      </c>
      <c r="F665">
        <v>-3647711</v>
      </c>
      <c r="G665">
        <v>-15093777</v>
      </c>
      <c r="H665">
        <v>-48536546</v>
      </c>
      <c r="I665">
        <v>-97025948</v>
      </c>
      <c r="J665">
        <v>141342299</v>
      </c>
      <c r="K665">
        <v>-40441511</v>
      </c>
      <c r="L665">
        <v>-1566984</v>
      </c>
      <c r="M665">
        <v>73222696</v>
      </c>
      <c r="N665">
        <v>-42816740</v>
      </c>
      <c r="O665">
        <v>-12179598</v>
      </c>
      <c r="P665">
        <v>62</v>
      </c>
      <c r="Q665" t="s">
        <v>1376</v>
      </c>
    </row>
    <row r="666" spans="1:17" x14ac:dyDescent="0.3">
      <c r="A666" t="s">
        <v>17</v>
      </c>
      <c r="B666" t="str">
        <f>"600768"</f>
        <v>600768</v>
      </c>
      <c r="C666" t="s">
        <v>1377</v>
      </c>
      <c r="D666" t="s">
        <v>234</v>
      </c>
      <c r="F666">
        <v>25363995</v>
      </c>
      <c r="G666">
        <v>-14516891</v>
      </c>
      <c r="H666">
        <v>-30264578</v>
      </c>
      <c r="I666">
        <v>-46531858</v>
      </c>
      <c r="J666">
        <v>74408246</v>
      </c>
      <c r="K666">
        <v>37396661</v>
      </c>
      <c r="L666">
        <v>-69326528</v>
      </c>
      <c r="M666">
        <v>-23014925</v>
      </c>
      <c r="N666">
        <v>-51617477</v>
      </c>
      <c r="O666">
        <v>-5967106</v>
      </c>
      <c r="P666">
        <v>88</v>
      </c>
      <c r="Q666" t="s">
        <v>1378</v>
      </c>
    </row>
    <row r="667" spans="1:17" x14ac:dyDescent="0.3">
      <c r="A667" t="s">
        <v>17</v>
      </c>
      <c r="B667" t="str">
        <f>"600769"</f>
        <v>600769</v>
      </c>
      <c r="C667" t="s">
        <v>1379</v>
      </c>
      <c r="D667" t="s">
        <v>33</v>
      </c>
      <c r="F667">
        <v>15669122</v>
      </c>
      <c r="G667">
        <v>678751</v>
      </c>
      <c r="H667">
        <v>-8890442</v>
      </c>
      <c r="I667">
        <v>-9896692</v>
      </c>
      <c r="J667">
        <v>-17906614</v>
      </c>
      <c r="K667">
        <v>-4689160</v>
      </c>
      <c r="L667">
        <v>-14245804</v>
      </c>
      <c r="M667">
        <v>-6431565</v>
      </c>
      <c r="N667">
        <v>-76109951</v>
      </c>
      <c r="O667">
        <v>-94687629</v>
      </c>
      <c r="P667">
        <v>64</v>
      </c>
      <c r="Q667" t="s">
        <v>1380</v>
      </c>
    </row>
    <row r="668" spans="1:17" x14ac:dyDescent="0.3">
      <c r="A668" t="s">
        <v>17</v>
      </c>
      <c r="B668" t="str">
        <f>"600770"</f>
        <v>600770</v>
      </c>
      <c r="C668" t="s">
        <v>1381</v>
      </c>
      <c r="D668" t="s">
        <v>103</v>
      </c>
      <c r="F668">
        <v>-66310023</v>
      </c>
      <c r="G668">
        <v>-102489781</v>
      </c>
      <c r="H668">
        <v>-34436285</v>
      </c>
      <c r="I668">
        <v>-56488855</v>
      </c>
      <c r="J668">
        <v>-29215182</v>
      </c>
      <c r="K668">
        <v>9121886</v>
      </c>
      <c r="L668">
        <v>-44003437</v>
      </c>
      <c r="M668">
        <v>-110415137</v>
      </c>
      <c r="N668">
        <v>138663228</v>
      </c>
      <c r="O668">
        <v>-463810447</v>
      </c>
      <c r="P668">
        <v>3055</v>
      </c>
      <c r="Q668" t="s">
        <v>1382</v>
      </c>
    </row>
    <row r="669" spans="1:17" x14ac:dyDescent="0.3">
      <c r="A669" t="s">
        <v>17</v>
      </c>
      <c r="B669" t="str">
        <f>"600771"</f>
        <v>600771</v>
      </c>
      <c r="C669" t="s">
        <v>1383</v>
      </c>
      <c r="D669" t="s">
        <v>113</v>
      </c>
      <c r="F669">
        <v>33063770</v>
      </c>
      <c r="G669">
        <v>-198927990</v>
      </c>
      <c r="H669">
        <v>-208708748</v>
      </c>
      <c r="I669">
        <v>-429659947</v>
      </c>
      <c r="J669">
        <v>-419861956</v>
      </c>
      <c r="K669">
        <v>-266063084</v>
      </c>
      <c r="L669">
        <v>-64969029</v>
      </c>
      <c r="M669">
        <v>45307285</v>
      </c>
      <c r="N669">
        <v>166926653</v>
      </c>
      <c r="O669">
        <v>-7388117</v>
      </c>
      <c r="P669">
        <v>477</v>
      </c>
      <c r="Q669" t="s">
        <v>1384</v>
      </c>
    </row>
    <row r="670" spans="1:17" x14ac:dyDescent="0.3">
      <c r="A670" t="s">
        <v>17</v>
      </c>
      <c r="B670" t="str">
        <f>"600773"</f>
        <v>600773</v>
      </c>
      <c r="C670" t="s">
        <v>1385</v>
      </c>
      <c r="D670" t="s">
        <v>30</v>
      </c>
      <c r="F670">
        <v>-192979995</v>
      </c>
      <c r="G670">
        <v>362546071</v>
      </c>
      <c r="H670">
        <v>-306197255</v>
      </c>
      <c r="I670">
        <v>-716184469</v>
      </c>
      <c r="J670">
        <v>269792422</v>
      </c>
      <c r="K670">
        <v>-321263815</v>
      </c>
      <c r="L670">
        <v>387824728</v>
      </c>
      <c r="M670">
        <v>1572326980</v>
      </c>
      <c r="N670">
        <v>-1201863979</v>
      </c>
      <c r="O670">
        <v>-553352853</v>
      </c>
      <c r="P670">
        <v>143</v>
      </c>
      <c r="Q670" t="s">
        <v>1386</v>
      </c>
    </row>
    <row r="671" spans="1:17" x14ac:dyDescent="0.3">
      <c r="A671" t="s">
        <v>17</v>
      </c>
      <c r="B671" t="str">
        <f>"600774"</f>
        <v>600774</v>
      </c>
      <c r="C671" t="s">
        <v>1387</v>
      </c>
      <c r="D671" t="s">
        <v>120</v>
      </c>
      <c r="F671">
        <v>157538162</v>
      </c>
      <c r="G671">
        <v>-42889015</v>
      </c>
      <c r="H671">
        <v>-66816841</v>
      </c>
      <c r="I671">
        <v>-4024692</v>
      </c>
      <c r="J671">
        <v>-15466558</v>
      </c>
      <c r="K671">
        <v>59916</v>
      </c>
      <c r="L671">
        <v>-23666265</v>
      </c>
      <c r="M671">
        <v>-7298487</v>
      </c>
      <c r="N671">
        <v>2746952</v>
      </c>
      <c r="O671">
        <v>3926329</v>
      </c>
      <c r="P671">
        <v>84</v>
      </c>
      <c r="Q671" t="s">
        <v>1388</v>
      </c>
    </row>
    <row r="672" spans="1:17" x14ac:dyDescent="0.3">
      <c r="A672" t="s">
        <v>17</v>
      </c>
      <c r="B672" t="str">
        <f>"600775"</f>
        <v>600775</v>
      </c>
      <c r="C672" t="s">
        <v>1389</v>
      </c>
      <c r="D672" t="s">
        <v>100</v>
      </c>
      <c r="F672">
        <v>-32448526</v>
      </c>
      <c r="G672">
        <v>202139746</v>
      </c>
      <c r="H672">
        <v>-453787400</v>
      </c>
      <c r="I672">
        <v>-179121183</v>
      </c>
      <c r="J672">
        <v>129036595</v>
      </c>
      <c r="K672">
        <v>-135965442</v>
      </c>
      <c r="L672">
        <v>-167558505</v>
      </c>
      <c r="M672">
        <v>-297647507</v>
      </c>
      <c r="N672">
        <v>-219799338</v>
      </c>
      <c r="O672">
        <v>-129995391</v>
      </c>
      <c r="P672">
        <v>179</v>
      </c>
      <c r="Q672" t="s">
        <v>1390</v>
      </c>
    </row>
    <row r="673" spans="1:17" x14ac:dyDescent="0.3">
      <c r="A673" t="s">
        <v>17</v>
      </c>
      <c r="B673" t="str">
        <f>"600776"</f>
        <v>600776</v>
      </c>
      <c r="C673" t="s">
        <v>1391</v>
      </c>
      <c r="D673" t="s">
        <v>100</v>
      </c>
      <c r="F673">
        <v>-75145339</v>
      </c>
      <c r="G673">
        <v>-380739764</v>
      </c>
      <c r="H673">
        <v>-324961577</v>
      </c>
      <c r="I673">
        <v>-332656430</v>
      </c>
      <c r="J673">
        <v>-484641778</v>
      </c>
      <c r="K673">
        <v>-463306645</v>
      </c>
      <c r="L673">
        <v>-509717678</v>
      </c>
      <c r="M673">
        <v>-423253449</v>
      </c>
      <c r="N673">
        <v>-268295037</v>
      </c>
      <c r="O673">
        <v>-221100112</v>
      </c>
      <c r="P673">
        <v>284</v>
      </c>
      <c r="Q673" t="s">
        <v>1392</v>
      </c>
    </row>
    <row r="674" spans="1:17" x14ac:dyDescent="0.3">
      <c r="A674" t="s">
        <v>17</v>
      </c>
      <c r="B674" t="str">
        <f>"600777"</f>
        <v>600777</v>
      </c>
      <c r="C674" t="s">
        <v>1393</v>
      </c>
      <c r="D674" t="s">
        <v>70</v>
      </c>
      <c r="F674">
        <v>-1755599072</v>
      </c>
      <c r="G674">
        <v>495954495</v>
      </c>
      <c r="H674">
        <v>-592421505</v>
      </c>
      <c r="I674">
        <v>-1811409270</v>
      </c>
      <c r="J674">
        <v>-926195306</v>
      </c>
      <c r="K674">
        <v>-109352983</v>
      </c>
      <c r="L674">
        <v>64641712</v>
      </c>
      <c r="M674">
        <v>-304266875</v>
      </c>
      <c r="N674">
        <v>75733657</v>
      </c>
      <c r="O674">
        <v>165460078</v>
      </c>
      <c r="P674">
        <v>212</v>
      </c>
      <c r="Q674" t="s">
        <v>1394</v>
      </c>
    </row>
    <row r="675" spans="1:17" x14ac:dyDescent="0.3">
      <c r="A675" t="s">
        <v>17</v>
      </c>
      <c r="B675" t="str">
        <f>"600778"</f>
        <v>600778</v>
      </c>
      <c r="C675" t="s">
        <v>1395</v>
      </c>
      <c r="D675" t="s">
        <v>120</v>
      </c>
      <c r="F675">
        <v>109359006</v>
      </c>
      <c r="G675">
        <v>128776359</v>
      </c>
      <c r="H675">
        <v>296894787</v>
      </c>
      <c r="I675">
        <v>80587874</v>
      </c>
      <c r="J675">
        <v>40893167</v>
      </c>
      <c r="K675">
        <v>-63268462</v>
      </c>
      <c r="L675">
        <v>-366233548</v>
      </c>
      <c r="M675">
        <v>-56715866</v>
      </c>
      <c r="N675">
        <v>871771568</v>
      </c>
      <c r="O675">
        <v>-243105835</v>
      </c>
      <c r="P675">
        <v>82</v>
      </c>
      <c r="Q675" t="s">
        <v>1396</v>
      </c>
    </row>
    <row r="676" spans="1:17" x14ac:dyDescent="0.3">
      <c r="A676" t="s">
        <v>17</v>
      </c>
      <c r="B676" t="str">
        <f>"600779"</f>
        <v>600779</v>
      </c>
      <c r="C676" t="s">
        <v>1397</v>
      </c>
      <c r="D676" t="s">
        <v>123</v>
      </c>
      <c r="F676">
        <v>1109808434</v>
      </c>
      <c r="G676">
        <v>612642449</v>
      </c>
      <c r="H676">
        <v>577443145</v>
      </c>
      <c r="I676">
        <v>60260071</v>
      </c>
      <c r="J676">
        <v>329836080</v>
      </c>
      <c r="K676">
        <v>294505591</v>
      </c>
      <c r="L676">
        <v>190881546</v>
      </c>
      <c r="M676">
        <v>-111964883</v>
      </c>
      <c r="N676">
        <v>-483139770</v>
      </c>
      <c r="O676">
        <v>13364119</v>
      </c>
      <c r="P676">
        <v>2794</v>
      </c>
      <c r="Q676" t="s">
        <v>1398</v>
      </c>
    </row>
    <row r="677" spans="1:17" x14ac:dyDescent="0.3">
      <c r="A677" t="s">
        <v>17</v>
      </c>
      <c r="B677" t="str">
        <f>"600780"</f>
        <v>600780</v>
      </c>
      <c r="C677" t="s">
        <v>1399</v>
      </c>
      <c r="D677" t="s">
        <v>41</v>
      </c>
      <c r="F677">
        <v>272095016</v>
      </c>
      <c r="G677">
        <v>443013973</v>
      </c>
      <c r="H677">
        <v>322301909</v>
      </c>
      <c r="I677">
        <v>-135253401</v>
      </c>
      <c r="J677">
        <v>84611034</v>
      </c>
      <c r="K677">
        <v>23714541</v>
      </c>
      <c r="L677">
        <v>160005158</v>
      </c>
      <c r="M677">
        <v>360180417</v>
      </c>
      <c r="N677">
        <v>341823968</v>
      </c>
      <c r="O677">
        <v>-12930482</v>
      </c>
      <c r="P677">
        <v>108</v>
      </c>
      <c r="Q677" t="s">
        <v>1400</v>
      </c>
    </row>
    <row r="678" spans="1:17" x14ac:dyDescent="0.3">
      <c r="A678" t="s">
        <v>17</v>
      </c>
      <c r="B678" t="str">
        <f>"600781"</f>
        <v>600781</v>
      </c>
      <c r="C678" t="s">
        <v>1401</v>
      </c>
      <c r="D678" t="s">
        <v>113</v>
      </c>
      <c r="F678">
        <v>33880593</v>
      </c>
      <c r="G678">
        <v>16394454</v>
      </c>
      <c r="H678">
        <v>-21510712</v>
      </c>
      <c r="I678">
        <v>201538704</v>
      </c>
      <c r="J678">
        <v>118459324</v>
      </c>
      <c r="K678">
        <v>-55071049</v>
      </c>
      <c r="L678">
        <v>-27222327</v>
      </c>
      <c r="M678">
        <v>-101212030</v>
      </c>
      <c r="N678">
        <v>-14978070</v>
      </c>
      <c r="O678">
        <v>-37902814</v>
      </c>
      <c r="P678">
        <v>194</v>
      </c>
      <c r="Q678" t="s">
        <v>1402</v>
      </c>
    </row>
    <row r="679" spans="1:17" x14ac:dyDescent="0.3">
      <c r="A679" t="s">
        <v>17</v>
      </c>
      <c r="B679" t="str">
        <f>"600782"</f>
        <v>600782</v>
      </c>
      <c r="C679" t="s">
        <v>1403</v>
      </c>
      <c r="D679" t="s">
        <v>38</v>
      </c>
      <c r="F679">
        <v>1068014836</v>
      </c>
      <c r="G679">
        <v>3148073171</v>
      </c>
      <c r="H679">
        <v>4144389771</v>
      </c>
      <c r="I679">
        <v>4130784157</v>
      </c>
      <c r="J679">
        <v>2849972707</v>
      </c>
      <c r="K679">
        <v>278278028</v>
      </c>
      <c r="L679">
        <v>-246575047</v>
      </c>
      <c r="M679">
        <v>353180866</v>
      </c>
      <c r="N679">
        <v>721786030</v>
      </c>
      <c r="O679">
        <v>-162288961</v>
      </c>
      <c r="P679">
        <v>1414</v>
      </c>
      <c r="Q679" t="s">
        <v>1404</v>
      </c>
    </row>
    <row r="680" spans="1:17" x14ac:dyDescent="0.3">
      <c r="A680" t="s">
        <v>17</v>
      </c>
      <c r="B680" t="str">
        <f>"600783"</f>
        <v>600783</v>
      </c>
      <c r="C680" t="s">
        <v>1405</v>
      </c>
      <c r="D680" t="s">
        <v>103</v>
      </c>
      <c r="F680">
        <v>-62243895</v>
      </c>
      <c r="G680">
        <v>-55550149</v>
      </c>
      <c r="H680">
        <v>-120128922</v>
      </c>
      <c r="I680">
        <v>-99902607</v>
      </c>
      <c r="J680">
        <v>-189128274</v>
      </c>
      <c r="K680">
        <v>-76141181</v>
      </c>
      <c r="L680">
        <v>-107424046</v>
      </c>
      <c r="M680">
        <v>-103087022</v>
      </c>
      <c r="N680">
        <v>-89863300</v>
      </c>
      <c r="O680">
        <v>-42423287</v>
      </c>
      <c r="P680">
        <v>124</v>
      </c>
      <c r="Q680" t="s">
        <v>1406</v>
      </c>
    </row>
    <row r="681" spans="1:17" x14ac:dyDescent="0.3">
      <c r="A681" t="s">
        <v>17</v>
      </c>
      <c r="B681" t="str">
        <f>"600784"</f>
        <v>600784</v>
      </c>
      <c r="C681" t="s">
        <v>1407</v>
      </c>
      <c r="D681" t="s">
        <v>103</v>
      </c>
      <c r="F681">
        <v>65834197</v>
      </c>
      <c r="G681">
        <v>139567860</v>
      </c>
      <c r="H681">
        <v>-88655850</v>
      </c>
      <c r="I681">
        <v>528646197</v>
      </c>
      <c r="J681">
        <v>-56661455</v>
      </c>
      <c r="K681">
        <v>697552900</v>
      </c>
      <c r="L681">
        <v>37417400</v>
      </c>
      <c r="M681">
        <v>104667961</v>
      </c>
      <c r="N681">
        <v>-762532416</v>
      </c>
      <c r="O681">
        <v>-527951894</v>
      </c>
      <c r="P681">
        <v>75</v>
      </c>
      <c r="Q681" t="s">
        <v>1408</v>
      </c>
    </row>
    <row r="682" spans="1:17" x14ac:dyDescent="0.3">
      <c r="A682" t="s">
        <v>17</v>
      </c>
      <c r="B682" t="str">
        <f>"600785"</f>
        <v>600785</v>
      </c>
      <c r="C682" t="s">
        <v>1409</v>
      </c>
      <c r="D682" t="s">
        <v>120</v>
      </c>
      <c r="F682">
        <v>403634116</v>
      </c>
      <c r="G682">
        <v>69610220</v>
      </c>
      <c r="H682">
        <v>-405798076</v>
      </c>
      <c r="I682">
        <v>-395011193</v>
      </c>
      <c r="J682">
        <v>114692249</v>
      </c>
      <c r="K682">
        <v>28441802</v>
      </c>
      <c r="L682">
        <v>-167548066</v>
      </c>
      <c r="M682">
        <v>-174707669</v>
      </c>
      <c r="N682">
        <v>-175479186</v>
      </c>
      <c r="O682">
        <v>-323606664</v>
      </c>
      <c r="P682">
        <v>99</v>
      </c>
      <c r="Q682" t="s">
        <v>1410</v>
      </c>
    </row>
    <row r="683" spans="1:17" x14ac:dyDescent="0.3">
      <c r="A683" t="s">
        <v>17</v>
      </c>
      <c r="B683" t="str">
        <f>"600787"</f>
        <v>600787</v>
      </c>
      <c r="C683" t="s">
        <v>1411</v>
      </c>
      <c r="D683" t="s">
        <v>22</v>
      </c>
      <c r="F683">
        <v>-39634171</v>
      </c>
      <c r="G683">
        <v>-889959806</v>
      </c>
      <c r="H683">
        <v>209261525</v>
      </c>
      <c r="I683">
        <v>-964333820</v>
      </c>
      <c r="J683">
        <v>2091186893</v>
      </c>
      <c r="K683">
        <v>-4737558076</v>
      </c>
      <c r="L683">
        <v>39680863</v>
      </c>
      <c r="M683">
        <v>622620371</v>
      </c>
      <c r="N683">
        <v>35704722</v>
      </c>
      <c r="O683">
        <v>509496325</v>
      </c>
      <c r="P683">
        <v>165</v>
      </c>
      <c r="Q683" t="s">
        <v>1412</v>
      </c>
    </row>
    <row r="684" spans="1:17" x14ac:dyDescent="0.3">
      <c r="A684" t="s">
        <v>17</v>
      </c>
      <c r="B684" t="str">
        <f>"600789"</f>
        <v>600789</v>
      </c>
      <c r="C684" t="s">
        <v>1413</v>
      </c>
      <c r="D684" t="s">
        <v>113</v>
      </c>
      <c r="F684">
        <v>-99320370</v>
      </c>
      <c r="G684">
        <v>-313434666</v>
      </c>
      <c r="H684">
        <v>-394359402</v>
      </c>
      <c r="I684">
        <v>-344138179</v>
      </c>
      <c r="J684">
        <v>-372246832</v>
      </c>
      <c r="K684">
        <v>-60632503</v>
      </c>
      <c r="L684">
        <v>-85073574</v>
      </c>
      <c r="M684">
        <v>818013</v>
      </c>
      <c r="N684">
        <v>-60079887</v>
      </c>
      <c r="O684">
        <v>-173195119</v>
      </c>
      <c r="P684">
        <v>245</v>
      </c>
      <c r="Q684" t="s">
        <v>1414</v>
      </c>
    </row>
    <row r="685" spans="1:17" x14ac:dyDescent="0.3">
      <c r="A685" t="s">
        <v>17</v>
      </c>
      <c r="B685" t="str">
        <f>"600790"</f>
        <v>600790</v>
      </c>
      <c r="C685" t="s">
        <v>1415</v>
      </c>
      <c r="D685" t="s">
        <v>120</v>
      </c>
      <c r="F685">
        <v>4901219</v>
      </c>
      <c r="G685">
        <v>-196411201</v>
      </c>
      <c r="H685">
        <v>-304766034</v>
      </c>
      <c r="I685">
        <v>1187759398</v>
      </c>
      <c r="J685">
        <v>-182101463</v>
      </c>
      <c r="K685">
        <v>242941428</v>
      </c>
      <c r="L685">
        <v>-277513057</v>
      </c>
      <c r="M685">
        <v>-247041165</v>
      </c>
      <c r="N685">
        <v>-248120433</v>
      </c>
      <c r="O685">
        <v>431514045</v>
      </c>
      <c r="P685">
        <v>184</v>
      </c>
      <c r="Q685" t="s">
        <v>1416</v>
      </c>
    </row>
    <row r="686" spans="1:17" x14ac:dyDescent="0.3">
      <c r="A686" t="s">
        <v>17</v>
      </c>
      <c r="B686" t="str">
        <f>"600791"</f>
        <v>600791</v>
      </c>
      <c r="C686" t="s">
        <v>1417</v>
      </c>
      <c r="D686" t="s">
        <v>30</v>
      </c>
      <c r="F686">
        <v>2081147045</v>
      </c>
      <c r="G686">
        <v>-1004624537</v>
      </c>
      <c r="H686">
        <v>-1582424798</v>
      </c>
      <c r="I686">
        <v>525965933</v>
      </c>
      <c r="J686">
        <v>693942281</v>
      </c>
      <c r="K686">
        <v>-285806239</v>
      </c>
      <c r="L686">
        <v>-734550149</v>
      </c>
      <c r="M686">
        <v>451465457</v>
      </c>
      <c r="N686">
        <v>890551780</v>
      </c>
      <c r="O686">
        <v>-606446173</v>
      </c>
      <c r="P686">
        <v>105</v>
      </c>
      <c r="Q686" t="s">
        <v>1418</v>
      </c>
    </row>
    <row r="687" spans="1:17" x14ac:dyDescent="0.3">
      <c r="A687" t="s">
        <v>17</v>
      </c>
      <c r="B687" t="str">
        <f>"600792"</f>
        <v>600792</v>
      </c>
      <c r="C687" t="s">
        <v>1419</v>
      </c>
      <c r="D687" t="s">
        <v>257</v>
      </c>
      <c r="F687">
        <v>73397465</v>
      </c>
      <c r="G687">
        <v>6411684</v>
      </c>
      <c r="H687">
        <v>-606248718</v>
      </c>
      <c r="I687">
        <v>232099173</v>
      </c>
      <c r="J687">
        <v>459428759</v>
      </c>
      <c r="K687">
        <v>47355079</v>
      </c>
      <c r="L687">
        <v>-49465858</v>
      </c>
      <c r="M687">
        <v>503236032</v>
      </c>
      <c r="N687">
        <v>337695421</v>
      </c>
      <c r="O687">
        <v>-489357627</v>
      </c>
      <c r="P687">
        <v>97</v>
      </c>
      <c r="Q687" t="s">
        <v>1420</v>
      </c>
    </row>
    <row r="688" spans="1:17" x14ac:dyDescent="0.3">
      <c r="A688" t="s">
        <v>17</v>
      </c>
      <c r="B688" t="str">
        <f>"600793"</f>
        <v>600793</v>
      </c>
      <c r="C688" t="s">
        <v>1421</v>
      </c>
      <c r="D688" t="s">
        <v>161</v>
      </c>
      <c r="F688">
        <v>113718714</v>
      </c>
      <c r="G688">
        <v>1423149</v>
      </c>
      <c r="H688">
        <v>224022122</v>
      </c>
      <c r="I688">
        <v>100794941</v>
      </c>
      <c r="J688">
        <v>14150998</v>
      </c>
      <c r="K688">
        <v>-222394593</v>
      </c>
      <c r="L688">
        <v>-435213033</v>
      </c>
      <c r="M688">
        <v>-750355684</v>
      </c>
      <c r="N688">
        <v>-320358481</v>
      </c>
      <c r="O688">
        <v>-143181258</v>
      </c>
      <c r="P688">
        <v>109</v>
      </c>
      <c r="Q688" t="s">
        <v>1422</v>
      </c>
    </row>
    <row r="689" spans="1:17" x14ac:dyDescent="0.3">
      <c r="A689" t="s">
        <v>17</v>
      </c>
      <c r="B689" t="str">
        <f>"600794"</f>
        <v>600794</v>
      </c>
      <c r="C689" t="s">
        <v>1423</v>
      </c>
      <c r="D689" t="s">
        <v>22</v>
      </c>
      <c r="F689">
        <v>467188805</v>
      </c>
      <c r="G689">
        <v>-181865300</v>
      </c>
      <c r="H689">
        <v>253590080</v>
      </c>
      <c r="I689">
        <v>51685889</v>
      </c>
      <c r="J689">
        <v>-64695668</v>
      </c>
      <c r="K689">
        <v>-1234682</v>
      </c>
      <c r="L689">
        <v>195805226</v>
      </c>
      <c r="M689">
        <v>-68359406</v>
      </c>
      <c r="N689">
        <v>-98835408</v>
      </c>
      <c r="O689">
        <v>134842014</v>
      </c>
      <c r="P689">
        <v>100</v>
      </c>
      <c r="Q689" t="s">
        <v>1424</v>
      </c>
    </row>
    <row r="690" spans="1:17" x14ac:dyDescent="0.3">
      <c r="A690" t="s">
        <v>17</v>
      </c>
      <c r="B690" t="str">
        <f>"600795"</f>
        <v>600795</v>
      </c>
      <c r="C690" t="s">
        <v>1425</v>
      </c>
      <c r="D690" t="s">
        <v>41</v>
      </c>
      <c r="F690">
        <v>8994856041</v>
      </c>
      <c r="G690">
        <v>17497267057</v>
      </c>
      <c r="H690">
        <v>19091775538</v>
      </c>
      <c r="I690">
        <v>5589705027</v>
      </c>
      <c r="J690">
        <v>5952656535</v>
      </c>
      <c r="K690">
        <v>7660263468</v>
      </c>
      <c r="L690">
        <v>5471984322</v>
      </c>
      <c r="M690">
        <v>2698609399</v>
      </c>
      <c r="N690">
        <v>56156413</v>
      </c>
      <c r="O690">
        <v>-6875745660</v>
      </c>
      <c r="P690">
        <v>548</v>
      </c>
      <c r="Q690" t="s">
        <v>1426</v>
      </c>
    </row>
    <row r="691" spans="1:17" x14ac:dyDescent="0.3">
      <c r="A691" t="s">
        <v>17</v>
      </c>
      <c r="B691" t="str">
        <f>"600796"</f>
        <v>600796</v>
      </c>
      <c r="C691" t="s">
        <v>1427</v>
      </c>
      <c r="D691" t="s">
        <v>133</v>
      </c>
      <c r="F691">
        <v>-137265358</v>
      </c>
      <c r="G691">
        <v>-90114365</v>
      </c>
      <c r="H691">
        <v>-42812158</v>
      </c>
      <c r="I691">
        <v>6684967</v>
      </c>
      <c r="J691">
        <v>11603367</v>
      </c>
      <c r="K691">
        <v>-4456934</v>
      </c>
      <c r="L691">
        <v>-1066059</v>
      </c>
      <c r="M691">
        <v>-8901743</v>
      </c>
      <c r="N691">
        <v>91374271</v>
      </c>
      <c r="O691">
        <v>-13285700</v>
      </c>
      <c r="P691">
        <v>74</v>
      </c>
      <c r="Q691" t="s">
        <v>1428</v>
      </c>
    </row>
    <row r="692" spans="1:17" x14ac:dyDescent="0.3">
      <c r="A692" t="s">
        <v>17</v>
      </c>
      <c r="B692" t="str">
        <f>"600797"</f>
        <v>600797</v>
      </c>
      <c r="C692" t="s">
        <v>1429</v>
      </c>
      <c r="D692" t="s">
        <v>212</v>
      </c>
      <c r="F692">
        <v>-496751165</v>
      </c>
      <c r="G692">
        <v>-279928882</v>
      </c>
      <c r="H692">
        <v>-269313446</v>
      </c>
      <c r="I692">
        <v>-35743720</v>
      </c>
      <c r="J692">
        <v>-406475835</v>
      </c>
      <c r="K692">
        <v>-140428716</v>
      </c>
      <c r="L692">
        <v>-216053477</v>
      </c>
      <c r="M692">
        <v>-328054985</v>
      </c>
      <c r="N692">
        <v>-280032903</v>
      </c>
      <c r="O692">
        <v>-421326677</v>
      </c>
      <c r="P692">
        <v>221</v>
      </c>
      <c r="Q692" t="s">
        <v>1430</v>
      </c>
    </row>
    <row r="693" spans="1:17" x14ac:dyDescent="0.3">
      <c r="A693" t="s">
        <v>17</v>
      </c>
      <c r="B693" t="str">
        <f>"600798"</f>
        <v>600798</v>
      </c>
      <c r="C693" t="s">
        <v>1431</v>
      </c>
      <c r="D693" t="s">
        <v>22</v>
      </c>
      <c r="F693">
        <v>487064426</v>
      </c>
      <c r="G693">
        <v>343816245</v>
      </c>
      <c r="H693">
        <v>572318957</v>
      </c>
      <c r="I693">
        <v>495111697</v>
      </c>
      <c r="J693">
        <v>330185112</v>
      </c>
      <c r="K693">
        <v>263661269</v>
      </c>
      <c r="L693">
        <v>191631656</v>
      </c>
      <c r="M693">
        <v>283295853</v>
      </c>
      <c r="N693">
        <v>286214069</v>
      </c>
      <c r="O693">
        <v>104114189</v>
      </c>
      <c r="P693">
        <v>142</v>
      </c>
      <c r="Q693" t="s">
        <v>1432</v>
      </c>
    </row>
    <row r="694" spans="1:17" x14ac:dyDescent="0.3">
      <c r="A694" t="s">
        <v>17</v>
      </c>
      <c r="B694" t="str">
        <f>"600800"</f>
        <v>600800</v>
      </c>
      <c r="C694" t="s">
        <v>1433</v>
      </c>
      <c r="D694" t="s">
        <v>70</v>
      </c>
      <c r="F694">
        <v>-133981941</v>
      </c>
      <c r="G694">
        <v>731905590</v>
      </c>
      <c r="H694">
        <v>-44830622</v>
      </c>
      <c r="I694">
        <v>-28900867</v>
      </c>
      <c r="J694">
        <v>-56330459</v>
      </c>
      <c r="K694">
        <v>-46553965</v>
      </c>
      <c r="L694">
        <v>-20246541</v>
      </c>
      <c r="M694">
        <v>-23240314</v>
      </c>
      <c r="N694">
        <v>88676250</v>
      </c>
      <c r="O694">
        <v>-76887074</v>
      </c>
      <c r="P694">
        <v>147</v>
      </c>
      <c r="Q694" t="s">
        <v>1434</v>
      </c>
    </row>
    <row r="695" spans="1:17" x14ac:dyDescent="0.3">
      <c r="A695" t="s">
        <v>17</v>
      </c>
      <c r="B695" t="str">
        <f>"600801"</f>
        <v>600801</v>
      </c>
      <c r="C695" t="s">
        <v>1435</v>
      </c>
      <c r="D695" t="s">
        <v>350</v>
      </c>
      <c r="F695">
        <v>247488546</v>
      </c>
      <c r="G695">
        <v>3022726234</v>
      </c>
      <c r="H695">
        <v>4408258564</v>
      </c>
      <c r="I695">
        <v>3918011533</v>
      </c>
      <c r="J695">
        <v>1339063544</v>
      </c>
      <c r="K695">
        <v>886538361</v>
      </c>
      <c r="L695">
        <v>573171095</v>
      </c>
      <c r="M695">
        <v>1206146553</v>
      </c>
      <c r="N695">
        <v>502020892</v>
      </c>
      <c r="O695">
        <v>-312612026</v>
      </c>
      <c r="P695">
        <v>1597</v>
      </c>
      <c r="Q695" t="s">
        <v>1436</v>
      </c>
    </row>
    <row r="696" spans="1:17" x14ac:dyDescent="0.3">
      <c r="A696" t="s">
        <v>17</v>
      </c>
      <c r="B696" t="str">
        <f>"600802"</f>
        <v>600802</v>
      </c>
      <c r="C696" t="s">
        <v>1437</v>
      </c>
      <c r="D696" t="s">
        <v>350</v>
      </c>
      <c r="F696">
        <v>-34359396</v>
      </c>
      <c r="G696">
        <v>-63130506</v>
      </c>
      <c r="H696">
        <v>514893361</v>
      </c>
      <c r="I696">
        <v>623471451</v>
      </c>
      <c r="J696">
        <v>-54680677</v>
      </c>
      <c r="K696">
        <v>-17283387</v>
      </c>
      <c r="L696">
        <v>-88861779</v>
      </c>
      <c r="M696">
        <v>498720</v>
      </c>
      <c r="N696">
        <v>-393994412</v>
      </c>
      <c r="O696">
        <v>-265287062</v>
      </c>
      <c r="P696">
        <v>249</v>
      </c>
      <c r="Q696" t="s">
        <v>1438</v>
      </c>
    </row>
    <row r="697" spans="1:17" x14ac:dyDescent="0.3">
      <c r="A697" t="s">
        <v>17</v>
      </c>
      <c r="B697" t="str">
        <f>"600803"</f>
        <v>600803</v>
      </c>
      <c r="C697" t="s">
        <v>1439</v>
      </c>
      <c r="D697" t="s">
        <v>41</v>
      </c>
      <c r="F697">
        <v>1292660000</v>
      </c>
      <c r="G697">
        <v>1870878785</v>
      </c>
      <c r="H697">
        <v>76996228</v>
      </c>
      <c r="I697">
        <v>-716982672</v>
      </c>
      <c r="J697">
        <v>-374924934</v>
      </c>
      <c r="K697">
        <v>-409019213</v>
      </c>
      <c r="L697">
        <v>748286625</v>
      </c>
      <c r="M697">
        <v>556287131</v>
      </c>
      <c r="N697">
        <v>279634728</v>
      </c>
      <c r="O697">
        <v>-160018870</v>
      </c>
      <c r="P697">
        <v>577</v>
      </c>
      <c r="Q697" t="s">
        <v>1440</v>
      </c>
    </row>
    <row r="698" spans="1:17" x14ac:dyDescent="0.3">
      <c r="A698" t="s">
        <v>17</v>
      </c>
      <c r="B698" t="str">
        <f>"600804"</f>
        <v>600804</v>
      </c>
      <c r="C698" t="s">
        <v>1441</v>
      </c>
      <c r="D698" t="s">
        <v>100</v>
      </c>
      <c r="F698">
        <v>768597217</v>
      </c>
      <c r="G698">
        <v>1328608166</v>
      </c>
      <c r="H698">
        <v>-423011359</v>
      </c>
      <c r="I698">
        <v>-1192770737</v>
      </c>
      <c r="J698">
        <v>1022499387</v>
      </c>
      <c r="K698">
        <v>286355495</v>
      </c>
      <c r="L698">
        <v>514170543</v>
      </c>
      <c r="M698">
        <v>580989477</v>
      </c>
      <c r="N698">
        <v>169015681</v>
      </c>
      <c r="O698">
        <v>-81157113</v>
      </c>
      <c r="P698">
        <v>459</v>
      </c>
      <c r="Q698" t="s">
        <v>1442</v>
      </c>
    </row>
    <row r="699" spans="1:17" x14ac:dyDescent="0.3">
      <c r="A699" t="s">
        <v>17</v>
      </c>
      <c r="B699" t="str">
        <f>"600805"</f>
        <v>600805</v>
      </c>
      <c r="C699" t="s">
        <v>1443</v>
      </c>
      <c r="D699" t="s">
        <v>103</v>
      </c>
      <c r="F699">
        <v>-143400789</v>
      </c>
      <c r="G699">
        <v>-60340646</v>
      </c>
      <c r="H699">
        <v>-135233183</v>
      </c>
      <c r="I699">
        <v>146503382</v>
      </c>
      <c r="J699">
        <v>134192153</v>
      </c>
      <c r="K699">
        <v>138131766</v>
      </c>
      <c r="L699">
        <v>148109184</v>
      </c>
      <c r="M699">
        <v>466166795</v>
      </c>
      <c r="N699">
        <v>312255399</v>
      </c>
      <c r="O699">
        <v>522251957</v>
      </c>
      <c r="P699">
        <v>106</v>
      </c>
      <c r="Q699" t="s">
        <v>1444</v>
      </c>
    </row>
    <row r="700" spans="1:17" x14ac:dyDescent="0.3">
      <c r="A700" t="s">
        <v>17</v>
      </c>
      <c r="B700" t="str">
        <f>"600806"</f>
        <v>600806</v>
      </c>
      <c r="C700" t="s">
        <v>1445</v>
      </c>
      <c r="J700">
        <v>41849357</v>
      </c>
      <c r="K700">
        <v>71365764.629999995</v>
      </c>
      <c r="L700">
        <v>-115438611.48</v>
      </c>
      <c r="M700">
        <v>-103423855.79000001</v>
      </c>
      <c r="N700">
        <v>-110612903.2</v>
      </c>
      <c r="O700">
        <v>-77477003.609999999</v>
      </c>
      <c r="P700">
        <v>11</v>
      </c>
      <c r="Q700" t="s">
        <v>1446</v>
      </c>
    </row>
    <row r="701" spans="1:17" x14ac:dyDescent="0.3">
      <c r="A701" t="s">
        <v>17</v>
      </c>
      <c r="B701" t="str">
        <f>"600807"</f>
        <v>600807</v>
      </c>
      <c r="C701" t="s">
        <v>1447</v>
      </c>
      <c r="D701" t="s">
        <v>30</v>
      </c>
      <c r="F701">
        <v>-349794960</v>
      </c>
      <c r="G701">
        <v>687370950</v>
      </c>
      <c r="H701">
        <v>574587257</v>
      </c>
      <c r="I701">
        <v>50565620</v>
      </c>
      <c r="J701">
        <v>-357894146</v>
      </c>
      <c r="K701">
        <v>-1927238652</v>
      </c>
      <c r="L701">
        <v>-452943025</v>
      </c>
      <c r="M701">
        <v>-385798288</v>
      </c>
      <c r="N701">
        <v>-101118641</v>
      </c>
      <c r="O701">
        <v>12741098</v>
      </c>
      <c r="P701">
        <v>111</v>
      </c>
      <c r="Q701" t="s">
        <v>1448</v>
      </c>
    </row>
    <row r="702" spans="1:17" x14ac:dyDescent="0.3">
      <c r="A702" t="s">
        <v>17</v>
      </c>
      <c r="B702" t="str">
        <f>"600808"</f>
        <v>600808</v>
      </c>
      <c r="C702" t="s">
        <v>1449</v>
      </c>
      <c r="D702" t="s">
        <v>38</v>
      </c>
      <c r="F702">
        <v>7093131852</v>
      </c>
      <c r="G702">
        <v>-2225295170</v>
      </c>
      <c r="H702">
        <v>-435352353</v>
      </c>
      <c r="I702">
        <v>6766268961</v>
      </c>
      <c r="J702">
        <v>1719104747</v>
      </c>
      <c r="K702">
        <v>626587857</v>
      </c>
      <c r="L702">
        <v>2473097264</v>
      </c>
      <c r="M702">
        <v>2933730104</v>
      </c>
      <c r="N702">
        <v>-694625258</v>
      </c>
      <c r="O702">
        <v>131489171</v>
      </c>
      <c r="P702">
        <v>636</v>
      </c>
      <c r="Q702" t="s">
        <v>1450</v>
      </c>
    </row>
    <row r="703" spans="1:17" x14ac:dyDescent="0.3">
      <c r="A703" t="s">
        <v>17</v>
      </c>
      <c r="B703" t="str">
        <f>"600809"</f>
        <v>600809</v>
      </c>
      <c r="C703" t="s">
        <v>1451</v>
      </c>
      <c r="D703" t="s">
        <v>123</v>
      </c>
      <c r="F703">
        <v>6062277281</v>
      </c>
      <c r="G703">
        <v>1696570400</v>
      </c>
      <c r="H703">
        <v>1834289199</v>
      </c>
      <c r="I703">
        <v>295637586</v>
      </c>
      <c r="J703">
        <v>798539118</v>
      </c>
      <c r="K703">
        <v>492319983</v>
      </c>
      <c r="L703">
        <v>291637147</v>
      </c>
      <c r="M703">
        <v>427791514</v>
      </c>
      <c r="N703">
        <v>-453369462</v>
      </c>
      <c r="O703">
        <v>825550399</v>
      </c>
      <c r="P703">
        <v>3746</v>
      </c>
      <c r="Q703" t="s">
        <v>1452</v>
      </c>
    </row>
    <row r="704" spans="1:17" x14ac:dyDescent="0.3">
      <c r="A704" t="s">
        <v>17</v>
      </c>
      <c r="B704" t="str">
        <f>"600810"</f>
        <v>600810</v>
      </c>
      <c r="C704" t="s">
        <v>1453</v>
      </c>
      <c r="D704" t="s">
        <v>133</v>
      </c>
      <c r="F704">
        <v>234659324</v>
      </c>
      <c r="G704">
        <v>1469993275</v>
      </c>
      <c r="H704">
        <v>552488249</v>
      </c>
      <c r="I704">
        <v>302696960</v>
      </c>
      <c r="J704">
        <v>1025831960</v>
      </c>
      <c r="K704">
        <v>498035506</v>
      </c>
      <c r="L704">
        <v>166008189</v>
      </c>
      <c r="M704">
        <v>883503998</v>
      </c>
      <c r="N704">
        <v>-60038840</v>
      </c>
      <c r="O704">
        <v>-328224490</v>
      </c>
      <c r="P704">
        <v>354</v>
      </c>
      <c r="Q704" t="s">
        <v>1454</v>
      </c>
    </row>
    <row r="705" spans="1:17" x14ac:dyDescent="0.3">
      <c r="A705" t="s">
        <v>17</v>
      </c>
      <c r="B705" t="str">
        <f>"600811"</f>
        <v>600811</v>
      </c>
      <c r="C705" t="s">
        <v>1455</v>
      </c>
      <c r="D705" t="s">
        <v>103</v>
      </c>
      <c r="F705">
        <v>329976078</v>
      </c>
      <c r="G705">
        <v>-1118020371</v>
      </c>
      <c r="H705">
        <v>3194154340</v>
      </c>
      <c r="I705">
        <v>14144763</v>
      </c>
      <c r="J705">
        <v>-5535135487</v>
      </c>
      <c r="K705">
        <v>-3357659295</v>
      </c>
      <c r="L705">
        <v>767377614</v>
      </c>
      <c r="M705">
        <v>549571717</v>
      </c>
      <c r="N705">
        <v>463026387</v>
      </c>
      <c r="O705">
        <v>-60551832</v>
      </c>
      <c r="P705">
        <v>205</v>
      </c>
      <c r="Q705" t="s">
        <v>1456</v>
      </c>
    </row>
    <row r="706" spans="1:17" x14ac:dyDescent="0.3">
      <c r="A706" t="s">
        <v>17</v>
      </c>
      <c r="B706" t="str">
        <f>"600812"</f>
        <v>600812</v>
      </c>
      <c r="C706" t="s">
        <v>1457</v>
      </c>
      <c r="D706" t="s">
        <v>113</v>
      </c>
      <c r="F706">
        <v>234513146</v>
      </c>
      <c r="G706">
        <v>140861278</v>
      </c>
      <c r="H706">
        <v>205894303</v>
      </c>
      <c r="I706">
        <v>292823998</v>
      </c>
      <c r="J706">
        <v>-165141045</v>
      </c>
      <c r="K706">
        <v>-618677814</v>
      </c>
      <c r="L706">
        <v>-183433918</v>
      </c>
      <c r="M706">
        <v>-285790416</v>
      </c>
      <c r="N706">
        <v>-823033630</v>
      </c>
      <c r="O706">
        <v>-1107233686</v>
      </c>
      <c r="P706">
        <v>226</v>
      </c>
      <c r="Q706" t="s">
        <v>1458</v>
      </c>
    </row>
    <row r="707" spans="1:17" x14ac:dyDescent="0.3">
      <c r="A707" t="s">
        <v>17</v>
      </c>
      <c r="B707" t="str">
        <f>"600813"</f>
        <v>600813</v>
      </c>
      <c r="C707" t="s">
        <v>1459</v>
      </c>
      <c r="K707">
        <v>-30872136.98</v>
      </c>
      <c r="L707">
        <v>-140723005.22</v>
      </c>
      <c r="M707">
        <v>-6119205.04</v>
      </c>
      <c r="N707">
        <v>-5883139.6299999999</v>
      </c>
      <c r="O707">
        <v>-30947860.399999999</v>
      </c>
      <c r="P707">
        <v>2</v>
      </c>
      <c r="Q707" t="s">
        <v>1460</v>
      </c>
    </row>
    <row r="708" spans="1:17" x14ac:dyDescent="0.3">
      <c r="A708" t="s">
        <v>17</v>
      </c>
      <c r="B708" t="str">
        <f>"600814"</f>
        <v>600814</v>
      </c>
      <c r="C708" t="s">
        <v>1461</v>
      </c>
      <c r="D708" t="s">
        <v>120</v>
      </c>
      <c r="F708">
        <v>551478937</v>
      </c>
      <c r="G708">
        <v>478781616</v>
      </c>
      <c r="H708">
        <v>372935242</v>
      </c>
      <c r="I708">
        <v>-711906346</v>
      </c>
      <c r="J708">
        <v>137148963</v>
      </c>
      <c r="K708">
        <v>196124071</v>
      </c>
      <c r="L708">
        <v>-40876546</v>
      </c>
      <c r="M708">
        <v>-194900723</v>
      </c>
      <c r="N708">
        <v>-142313149</v>
      </c>
      <c r="O708">
        <v>-140376664</v>
      </c>
      <c r="P708">
        <v>150</v>
      </c>
      <c r="Q708" t="s">
        <v>1462</v>
      </c>
    </row>
    <row r="709" spans="1:17" x14ac:dyDescent="0.3">
      <c r="A709" t="s">
        <v>17</v>
      </c>
      <c r="B709" t="str">
        <f>"600815"</f>
        <v>600815</v>
      </c>
      <c r="C709" t="s">
        <v>1463</v>
      </c>
      <c r="D709" t="s">
        <v>78</v>
      </c>
      <c r="F709">
        <v>-47989424</v>
      </c>
      <c r="G709">
        <v>-138359039</v>
      </c>
      <c r="H709">
        <v>447175551</v>
      </c>
      <c r="I709">
        <v>545183365</v>
      </c>
      <c r="J709">
        <v>459081686</v>
      </c>
      <c r="K709">
        <v>205001566</v>
      </c>
      <c r="L709">
        <v>-106791930</v>
      </c>
      <c r="M709">
        <v>-473742911</v>
      </c>
      <c r="N709">
        <v>-244338599</v>
      </c>
      <c r="O709">
        <v>-1163311777</v>
      </c>
      <c r="P709">
        <v>67</v>
      </c>
      <c r="Q709" t="s">
        <v>1464</v>
      </c>
    </row>
    <row r="710" spans="1:17" x14ac:dyDescent="0.3">
      <c r="A710" t="s">
        <v>17</v>
      </c>
      <c r="B710" t="str">
        <f>"600816"</f>
        <v>600816</v>
      </c>
      <c r="C710" t="s">
        <v>1465</v>
      </c>
      <c r="D710" t="s">
        <v>75</v>
      </c>
      <c r="F710">
        <v>119243037</v>
      </c>
      <c r="G710">
        <v>2480903889</v>
      </c>
      <c r="H710">
        <v>-119110520</v>
      </c>
      <c r="I710">
        <v>2683137423</v>
      </c>
      <c r="J710">
        <v>664805235</v>
      </c>
      <c r="K710">
        <v>2027095175</v>
      </c>
      <c r="L710">
        <v>-695184208</v>
      </c>
      <c r="M710">
        <v>-523312157</v>
      </c>
      <c r="N710">
        <v>-333763830</v>
      </c>
      <c r="O710">
        <v>-121877923</v>
      </c>
      <c r="P710">
        <v>6688</v>
      </c>
      <c r="Q710" t="s">
        <v>1466</v>
      </c>
    </row>
    <row r="711" spans="1:17" x14ac:dyDescent="0.3">
      <c r="A711" t="s">
        <v>17</v>
      </c>
      <c r="B711" t="str">
        <f>"600817"</f>
        <v>600817</v>
      </c>
      <c r="C711" t="s">
        <v>1467</v>
      </c>
      <c r="D711" t="s">
        <v>78</v>
      </c>
      <c r="F711">
        <v>-106027440</v>
      </c>
      <c r="G711">
        <v>8457099</v>
      </c>
      <c r="H711">
        <v>24584416</v>
      </c>
      <c r="I711">
        <v>-6552916</v>
      </c>
      <c r="J711">
        <v>-3429821</v>
      </c>
      <c r="K711">
        <v>-105969050</v>
      </c>
      <c r="L711">
        <v>-211574454</v>
      </c>
      <c r="M711">
        <v>-85322853</v>
      </c>
      <c r="N711">
        <v>-312476409</v>
      </c>
      <c r="O711">
        <v>-941527</v>
      </c>
      <c r="P711">
        <v>102</v>
      </c>
      <c r="Q711" t="s">
        <v>1468</v>
      </c>
    </row>
    <row r="712" spans="1:17" x14ac:dyDescent="0.3">
      <c r="A712" t="s">
        <v>17</v>
      </c>
      <c r="B712" t="str">
        <f>"600818"</f>
        <v>600818</v>
      </c>
      <c r="C712" t="s">
        <v>1469</v>
      </c>
      <c r="D712" t="s">
        <v>27</v>
      </c>
      <c r="F712">
        <v>-45831005</v>
      </c>
      <c r="G712">
        <v>-29698986</v>
      </c>
      <c r="H712">
        <v>-17888856</v>
      </c>
      <c r="I712">
        <v>-140398378</v>
      </c>
      <c r="J712">
        <v>-86193619</v>
      </c>
      <c r="K712">
        <v>132964084</v>
      </c>
      <c r="L712">
        <v>-60283603</v>
      </c>
      <c r="M712">
        <v>-49488437</v>
      </c>
      <c r="N712">
        <v>-13490151</v>
      </c>
      <c r="O712">
        <v>-14520123</v>
      </c>
      <c r="P712">
        <v>82</v>
      </c>
      <c r="Q712" t="s">
        <v>1470</v>
      </c>
    </row>
    <row r="713" spans="1:17" x14ac:dyDescent="0.3">
      <c r="A713" t="s">
        <v>17</v>
      </c>
      <c r="B713" t="str">
        <f>"600819"</f>
        <v>600819</v>
      </c>
      <c r="C713" t="s">
        <v>1471</v>
      </c>
      <c r="D713" t="s">
        <v>350</v>
      </c>
      <c r="F713">
        <v>99734414</v>
      </c>
      <c r="G713">
        <v>-5462203</v>
      </c>
      <c r="H713">
        <v>-28618577</v>
      </c>
      <c r="I713">
        <v>-126737656</v>
      </c>
      <c r="J713">
        <v>-209627829</v>
      </c>
      <c r="K713">
        <v>-7412787</v>
      </c>
      <c r="L713">
        <v>-83078460</v>
      </c>
      <c r="M713">
        <v>-186920830</v>
      </c>
      <c r="N713">
        <v>-191790967</v>
      </c>
      <c r="O713">
        <v>-98969305</v>
      </c>
      <c r="P713">
        <v>94</v>
      </c>
      <c r="Q713" t="s">
        <v>1472</v>
      </c>
    </row>
    <row r="714" spans="1:17" x14ac:dyDescent="0.3">
      <c r="A714" t="s">
        <v>17</v>
      </c>
      <c r="B714" t="str">
        <f>"600820"</f>
        <v>600820</v>
      </c>
      <c r="C714" t="s">
        <v>1473</v>
      </c>
      <c r="D714" t="s">
        <v>95</v>
      </c>
      <c r="F714">
        <v>-3416754110</v>
      </c>
      <c r="G714">
        <v>-3102226668</v>
      </c>
      <c r="H714">
        <v>-563773748</v>
      </c>
      <c r="I714">
        <v>-620381455</v>
      </c>
      <c r="J714">
        <v>-526193882</v>
      </c>
      <c r="K714">
        <v>-1082545779</v>
      </c>
      <c r="L714">
        <v>-3445160920</v>
      </c>
      <c r="M714">
        <v>-5137962118</v>
      </c>
      <c r="N714">
        <v>-4301054289</v>
      </c>
      <c r="O714">
        <v>-818394932</v>
      </c>
      <c r="P714">
        <v>685</v>
      </c>
      <c r="Q714" t="s">
        <v>1474</v>
      </c>
    </row>
    <row r="715" spans="1:17" x14ac:dyDescent="0.3">
      <c r="A715" t="s">
        <v>17</v>
      </c>
      <c r="B715" t="str">
        <f>"600821"</f>
        <v>600821</v>
      </c>
      <c r="C715" t="s">
        <v>1475</v>
      </c>
      <c r="D715" t="s">
        <v>120</v>
      </c>
      <c r="F715">
        <v>-2227241685</v>
      </c>
      <c r="G715">
        <v>-405874146</v>
      </c>
      <c r="H715">
        <v>-80212612</v>
      </c>
      <c r="I715">
        <v>15311342</v>
      </c>
      <c r="J715">
        <v>-82729955</v>
      </c>
      <c r="K715">
        <v>-83813278</v>
      </c>
      <c r="L715">
        <v>-96071310</v>
      </c>
      <c r="M715">
        <v>3327622</v>
      </c>
      <c r="N715">
        <v>-88137316</v>
      </c>
      <c r="O715">
        <v>-42902471</v>
      </c>
      <c r="P715">
        <v>126</v>
      </c>
      <c r="Q715" t="s">
        <v>1476</v>
      </c>
    </row>
    <row r="716" spans="1:17" x14ac:dyDescent="0.3">
      <c r="A716" t="s">
        <v>17</v>
      </c>
      <c r="B716" t="str">
        <f>"600822"</f>
        <v>600822</v>
      </c>
      <c r="C716" t="s">
        <v>1477</v>
      </c>
      <c r="D716" t="s">
        <v>27</v>
      </c>
      <c r="F716">
        <v>-124252300</v>
      </c>
      <c r="G716">
        <v>-116307204</v>
      </c>
      <c r="H716">
        <v>356327629</v>
      </c>
      <c r="I716">
        <v>-39438295</v>
      </c>
      <c r="J716">
        <v>-37055143</v>
      </c>
      <c r="K716">
        <v>-339224275</v>
      </c>
      <c r="L716">
        <v>263089471</v>
      </c>
      <c r="M716">
        <v>485131872</v>
      </c>
      <c r="N716">
        <v>664956806</v>
      </c>
      <c r="O716">
        <v>-318389706</v>
      </c>
      <c r="P716">
        <v>75</v>
      </c>
      <c r="Q716" t="s">
        <v>1478</v>
      </c>
    </row>
    <row r="717" spans="1:17" x14ac:dyDescent="0.3">
      <c r="A717" t="s">
        <v>17</v>
      </c>
      <c r="B717" t="str">
        <f>"600823"</f>
        <v>600823</v>
      </c>
      <c r="C717" t="s">
        <v>1479</v>
      </c>
      <c r="D717" t="s">
        <v>30</v>
      </c>
      <c r="F717">
        <v>-3596230603</v>
      </c>
      <c r="G717">
        <v>1278214280</v>
      </c>
      <c r="H717">
        <v>-4173940969</v>
      </c>
      <c r="I717">
        <v>-3203575460</v>
      </c>
      <c r="J717">
        <v>4538952702</v>
      </c>
      <c r="K717">
        <v>400675587</v>
      </c>
      <c r="L717">
        <v>-1218190286</v>
      </c>
      <c r="M717">
        <v>-3548456494</v>
      </c>
      <c r="N717">
        <v>-3023432184</v>
      </c>
      <c r="O717">
        <v>-70262048</v>
      </c>
      <c r="P717">
        <v>1056</v>
      </c>
      <c r="Q717" t="s">
        <v>1480</v>
      </c>
    </row>
    <row r="718" spans="1:17" x14ac:dyDescent="0.3">
      <c r="A718" t="s">
        <v>17</v>
      </c>
      <c r="B718" t="str">
        <f>"600824"</f>
        <v>600824</v>
      </c>
      <c r="C718" t="s">
        <v>1481</v>
      </c>
      <c r="D718" t="s">
        <v>120</v>
      </c>
      <c r="F718">
        <v>143007564</v>
      </c>
      <c r="G718">
        <v>227789654</v>
      </c>
      <c r="H718">
        <v>89268369</v>
      </c>
      <c r="I718">
        <v>160285975</v>
      </c>
      <c r="J718">
        <v>246590161</v>
      </c>
      <c r="K718">
        <v>199442975</v>
      </c>
      <c r="L718">
        <v>206334327</v>
      </c>
      <c r="M718">
        <v>252088066</v>
      </c>
      <c r="N718">
        <v>222184823</v>
      </c>
      <c r="O718">
        <v>235588055</v>
      </c>
      <c r="P718">
        <v>81</v>
      </c>
      <c r="Q718" t="s">
        <v>1482</v>
      </c>
    </row>
    <row r="719" spans="1:17" x14ac:dyDescent="0.3">
      <c r="A719" t="s">
        <v>17</v>
      </c>
      <c r="B719" t="str">
        <f>"600825"</f>
        <v>600825</v>
      </c>
      <c r="C719" t="s">
        <v>1483</v>
      </c>
      <c r="D719" t="s">
        <v>89</v>
      </c>
      <c r="F719">
        <v>-144760449</v>
      </c>
      <c r="G719">
        <v>-162657370</v>
      </c>
      <c r="H719">
        <v>-937821432</v>
      </c>
      <c r="I719">
        <v>237257870</v>
      </c>
      <c r="J719">
        <v>-6353118</v>
      </c>
      <c r="K719">
        <v>128831442</v>
      </c>
      <c r="L719">
        <v>-22480531</v>
      </c>
      <c r="M719">
        <v>-103878730</v>
      </c>
      <c r="N719">
        <v>-185418524</v>
      </c>
      <c r="O719">
        <v>-202733089</v>
      </c>
      <c r="P719">
        <v>84</v>
      </c>
      <c r="Q719" t="s">
        <v>1484</v>
      </c>
    </row>
    <row r="720" spans="1:17" x14ac:dyDescent="0.3">
      <c r="A720" t="s">
        <v>17</v>
      </c>
      <c r="B720" t="str">
        <f>"600826"</f>
        <v>600826</v>
      </c>
      <c r="C720" t="s">
        <v>1485</v>
      </c>
      <c r="D720" t="s">
        <v>110</v>
      </c>
      <c r="F720">
        <v>34591308</v>
      </c>
      <c r="G720">
        <v>-50757688</v>
      </c>
      <c r="H720">
        <v>-166090799</v>
      </c>
      <c r="I720">
        <v>8616711</v>
      </c>
      <c r="J720">
        <v>210896570</v>
      </c>
      <c r="K720">
        <v>-277924460</v>
      </c>
      <c r="L720">
        <v>-141214455</v>
      </c>
      <c r="M720">
        <v>-1453022</v>
      </c>
      <c r="N720">
        <v>-23807370</v>
      </c>
      <c r="O720">
        <v>-5667540</v>
      </c>
      <c r="P720">
        <v>145</v>
      </c>
      <c r="Q720" t="s">
        <v>1486</v>
      </c>
    </row>
    <row r="721" spans="1:17" x14ac:dyDescent="0.3">
      <c r="A721" t="s">
        <v>17</v>
      </c>
      <c r="B721" t="str">
        <f>"600827"</f>
        <v>600827</v>
      </c>
      <c r="C721" t="s">
        <v>1109</v>
      </c>
      <c r="D721" t="s">
        <v>120</v>
      </c>
      <c r="F721">
        <v>1573254580</v>
      </c>
      <c r="G721">
        <v>2035787653</v>
      </c>
      <c r="H721">
        <v>1655112351</v>
      </c>
      <c r="I721">
        <v>807765663</v>
      </c>
      <c r="J721">
        <v>686603702</v>
      </c>
      <c r="K721">
        <v>-8858739</v>
      </c>
      <c r="L721">
        <v>106880233</v>
      </c>
      <c r="M721">
        <v>199649608</v>
      </c>
      <c r="N721">
        <v>3221717259</v>
      </c>
      <c r="O721">
        <v>768950957</v>
      </c>
      <c r="P721">
        <v>274</v>
      </c>
      <c r="Q721" t="s">
        <v>1487</v>
      </c>
    </row>
    <row r="722" spans="1:17" x14ac:dyDescent="0.3">
      <c r="A722" t="s">
        <v>17</v>
      </c>
      <c r="B722" t="str">
        <f>"600828"</f>
        <v>600828</v>
      </c>
      <c r="C722" t="s">
        <v>1488</v>
      </c>
      <c r="D722" t="s">
        <v>120</v>
      </c>
      <c r="F722">
        <v>159678308</v>
      </c>
      <c r="G722">
        <v>-305511367</v>
      </c>
      <c r="H722">
        <v>350032921</v>
      </c>
      <c r="I722">
        <v>1188685151</v>
      </c>
      <c r="J722">
        <v>483006796</v>
      </c>
      <c r="K722">
        <v>-83504894</v>
      </c>
      <c r="L722">
        <v>-83647485</v>
      </c>
      <c r="M722">
        <v>-21817734</v>
      </c>
      <c r="N722">
        <v>-2958205</v>
      </c>
      <c r="O722">
        <v>-69851904</v>
      </c>
      <c r="P722">
        <v>628</v>
      </c>
      <c r="Q722" t="s">
        <v>1489</v>
      </c>
    </row>
    <row r="723" spans="1:17" x14ac:dyDescent="0.3">
      <c r="A723" t="s">
        <v>17</v>
      </c>
      <c r="B723" t="str">
        <f>"600829"</f>
        <v>600829</v>
      </c>
      <c r="C723" t="s">
        <v>1490</v>
      </c>
      <c r="D723" t="s">
        <v>113</v>
      </c>
      <c r="F723">
        <v>-253354776</v>
      </c>
      <c r="G723">
        <v>-40567359</v>
      </c>
      <c r="H723">
        <v>-313039166</v>
      </c>
      <c r="I723">
        <v>141256121</v>
      </c>
      <c r="J723">
        <v>-30813652</v>
      </c>
      <c r="K723">
        <v>-156968903</v>
      </c>
      <c r="L723">
        <v>161734917</v>
      </c>
      <c r="M723">
        <v>547206224</v>
      </c>
      <c r="N723">
        <v>27684778</v>
      </c>
      <c r="O723">
        <v>169682702</v>
      </c>
      <c r="P723">
        <v>1902</v>
      </c>
      <c r="Q723" t="s">
        <v>1491</v>
      </c>
    </row>
    <row r="724" spans="1:17" x14ac:dyDescent="0.3">
      <c r="A724" t="s">
        <v>17</v>
      </c>
      <c r="B724" t="str">
        <f>"600830"</f>
        <v>600830</v>
      </c>
      <c r="C724" t="s">
        <v>1492</v>
      </c>
      <c r="D724" t="s">
        <v>75</v>
      </c>
      <c r="F724">
        <v>-666894934</v>
      </c>
      <c r="G724">
        <v>-84949172</v>
      </c>
      <c r="H724">
        <v>438678026</v>
      </c>
      <c r="I724">
        <v>114435183</v>
      </c>
      <c r="J724">
        <v>-166217592</v>
      </c>
      <c r="K724">
        <v>-129236523</v>
      </c>
      <c r="L724">
        <v>113930885</v>
      </c>
      <c r="M724">
        <v>3148816</v>
      </c>
      <c r="N724">
        <v>409021089</v>
      </c>
      <c r="O724">
        <v>-95573180</v>
      </c>
      <c r="P724">
        <v>73</v>
      </c>
      <c r="Q724" t="s">
        <v>1493</v>
      </c>
    </row>
    <row r="725" spans="1:17" x14ac:dyDescent="0.3">
      <c r="A725" t="s">
        <v>17</v>
      </c>
      <c r="B725" t="str">
        <f>"600831"</f>
        <v>600831</v>
      </c>
      <c r="C725" t="s">
        <v>1494</v>
      </c>
      <c r="D725" t="s">
        <v>89</v>
      </c>
      <c r="F725">
        <v>-980276042</v>
      </c>
      <c r="G725">
        <v>-269686092</v>
      </c>
      <c r="H725">
        <v>-459482082</v>
      </c>
      <c r="I725">
        <v>-394338775</v>
      </c>
      <c r="J725">
        <v>-224614893</v>
      </c>
      <c r="K725">
        <v>-194215825</v>
      </c>
      <c r="L725">
        <v>-115615522</v>
      </c>
      <c r="M725">
        <v>-62540171</v>
      </c>
      <c r="N725">
        <v>-77106985</v>
      </c>
      <c r="O725">
        <v>17071519</v>
      </c>
      <c r="P725">
        <v>199</v>
      </c>
      <c r="Q725" t="s">
        <v>1495</v>
      </c>
    </row>
    <row r="726" spans="1:17" x14ac:dyDescent="0.3">
      <c r="A726" t="s">
        <v>17</v>
      </c>
      <c r="B726" t="str">
        <f>"600832"</f>
        <v>600832</v>
      </c>
      <c r="C726" t="s">
        <v>1119</v>
      </c>
      <c r="M726">
        <v>-18858250.690000001</v>
      </c>
      <c r="N726">
        <v>108123790.94</v>
      </c>
      <c r="O726">
        <v>-86898061.549999997</v>
      </c>
      <c r="P726">
        <v>15</v>
      </c>
      <c r="Q726" t="s">
        <v>1496</v>
      </c>
    </row>
    <row r="727" spans="1:17" x14ac:dyDescent="0.3">
      <c r="A727" t="s">
        <v>17</v>
      </c>
      <c r="B727" t="str">
        <f>"600833"</f>
        <v>600833</v>
      </c>
      <c r="C727" t="s">
        <v>1497</v>
      </c>
      <c r="D727" t="s">
        <v>113</v>
      </c>
      <c r="F727">
        <v>19361849</v>
      </c>
      <c r="G727">
        <v>35179577</v>
      </c>
      <c r="H727">
        <v>64561257</v>
      </c>
      <c r="I727">
        <v>73620593</v>
      </c>
      <c r="J727">
        <v>65471889</v>
      </c>
      <c r="K727">
        <v>49084939</v>
      </c>
      <c r="L727">
        <v>53471456</v>
      </c>
      <c r="M727">
        <v>43243884</v>
      </c>
      <c r="N727">
        <v>18940852</v>
      </c>
      <c r="O727">
        <v>21741210</v>
      </c>
      <c r="P727">
        <v>108</v>
      </c>
      <c r="Q727" t="s">
        <v>1498</v>
      </c>
    </row>
    <row r="728" spans="1:17" x14ac:dyDescent="0.3">
      <c r="A728" t="s">
        <v>17</v>
      </c>
      <c r="B728" t="str">
        <f>"600834"</f>
        <v>600834</v>
      </c>
      <c r="C728" t="s">
        <v>1499</v>
      </c>
      <c r="D728" t="s">
        <v>22</v>
      </c>
      <c r="F728">
        <v>-122431937</v>
      </c>
      <c r="G728">
        <v>562795403</v>
      </c>
      <c r="H728">
        <v>-924413467</v>
      </c>
      <c r="I728">
        <v>-109672210</v>
      </c>
      <c r="J728">
        <v>-75198252</v>
      </c>
      <c r="K728">
        <v>165927216</v>
      </c>
      <c r="L728">
        <v>382209068</v>
      </c>
      <c r="M728">
        <v>-184011715</v>
      </c>
      <c r="N728">
        <v>148541944</v>
      </c>
      <c r="O728">
        <v>187636813</v>
      </c>
      <c r="P728">
        <v>120</v>
      </c>
      <c r="Q728" t="s">
        <v>1500</v>
      </c>
    </row>
    <row r="729" spans="1:17" x14ac:dyDescent="0.3">
      <c r="A729" t="s">
        <v>17</v>
      </c>
      <c r="B729" t="str">
        <f>"600835"</f>
        <v>600835</v>
      </c>
      <c r="C729" t="s">
        <v>1501</v>
      </c>
      <c r="D729" t="s">
        <v>78</v>
      </c>
      <c r="F729">
        <v>957629143</v>
      </c>
      <c r="G729">
        <v>863232986</v>
      </c>
      <c r="H729">
        <v>-33534973</v>
      </c>
      <c r="I729">
        <v>-415524759</v>
      </c>
      <c r="J729">
        <v>1301786713</v>
      </c>
      <c r="K729">
        <v>1428843197</v>
      </c>
      <c r="L729">
        <v>1358587463</v>
      </c>
      <c r="M729">
        <v>1477538008</v>
      </c>
      <c r="N729">
        <v>1305092191</v>
      </c>
      <c r="O729">
        <v>2167387034</v>
      </c>
      <c r="P729">
        <v>661</v>
      </c>
      <c r="Q729" t="s">
        <v>1502</v>
      </c>
    </row>
    <row r="730" spans="1:17" x14ac:dyDescent="0.3">
      <c r="A730" t="s">
        <v>17</v>
      </c>
      <c r="B730" t="str">
        <f>"600836"</f>
        <v>600836</v>
      </c>
      <c r="C730" t="s">
        <v>1503</v>
      </c>
      <c r="D730" t="s">
        <v>161</v>
      </c>
      <c r="F730">
        <v>-51725927</v>
      </c>
      <c r="G730">
        <v>-38844183</v>
      </c>
      <c r="H730">
        <v>263218558</v>
      </c>
      <c r="I730">
        <v>-148023653</v>
      </c>
      <c r="J730">
        <v>11502067</v>
      </c>
      <c r="K730">
        <v>68501347</v>
      </c>
      <c r="L730">
        <v>-612493538</v>
      </c>
      <c r="M730">
        <v>154648843</v>
      </c>
      <c r="N730">
        <v>113892098</v>
      </c>
      <c r="O730">
        <v>58368017</v>
      </c>
      <c r="P730">
        <v>70</v>
      </c>
      <c r="Q730" t="s">
        <v>1504</v>
      </c>
    </row>
    <row r="731" spans="1:17" x14ac:dyDescent="0.3">
      <c r="A731" t="s">
        <v>17</v>
      </c>
      <c r="B731" t="str">
        <f>"600837"</f>
        <v>600837</v>
      </c>
      <c r="C731" t="s">
        <v>1505</v>
      </c>
      <c r="D731" t="s">
        <v>75</v>
      </c>
      <c r="F731">
        <v>63318562272</v>
      </c>
      <c r="G731">
        <v>-35072136261</v>
      </c>
      <c r="H731">
        <v>13898687963</v>
      </c>
      <c r="I731">
        <v>-3915819872</v>
      </c>
      <c r="J731">
        <v>-36240622830</v>
      </c>
      <c r="K731">
        <v>-58596130805</v>
      </c>
      <c r="L731">
        <v>43809039451</v>
      </c>
      <c r="M731">
        <v>2065061636</v>
      </c>
      <c r="N731">
        <v>-3901123952</v>
      </c>
      <c r="O731">
        <v>1930702371</v>
      </c>
      <c r="P731">
        <v>4976</v>
      </c>
      <c r="Q731" t="s">
        <v>1506</v>
      </c>
    </row>
    <row r="732" spans="1:17" x14ac:dyDescent="0.3">
      <c r="A732" t="s">
        <v>17</v>
      </c>
      <c r="B732" t="str">
        <f>"600838"</f>
        <v>600838</v>
      </c>
      <c r="C732" t="s">
        <v>1507</v>
      </c>
      <c r="D732" t="s">
        <v>120</v>
      </c>
      <c r="F732">
        <v>11908497</v>
      </c>
      <c r="G732">
        <v>-270581924</v>
      </c>
      <c r="H732">
        <v>-13762113</v>
      </c>
      <c r="I732">
        <v>-13488779</v>
      </c>
      <c r="J732">
        <v>-18287720</v>
      </c>
      <c r="K732">
        <v>-11949839</v>
      </c>
      <c r="L732">
        <v>-20622788</v>
      </c>
      <c r="M732">
        <v>-17574969</v>
      </c>
      <c r="N732">
        <v>8969607</v>
      </c>
      <c r="O732">
        <v>-64746591</v>
      </c>
      <c r="P732">
        <v>79</v>
      </c>
      <c r="Q732" t="s">
        <v>1508</v>
      </c>
    </row>
    <row r="733" spans="1:17" x14ac:dyDescent="0.3">
      <c r="A733" t="s">
        <v>17</v>
      </c>
      <c r="B733" t="str">
        <f>"600839"</f>
        <v>600839</v>
      </c>
      <c r="C733" t="s">
        <v>1509</v>
      </c>
      <c r="D733" t="s">
        <v>126</v>
      </c>
      <c r="F733">
        <v>-627175299</v>
      </c>
      <c r="G733">
        <v>-2510621881</v>
      </c>
      <c r="H733">
        <v>-1573448644</v>
      </c>
      <c r="I733">
        <v>322041109</v>
      </c>
      <c r="J733">
        <v>-440975099</v>
      </c>
      <c r="K733">
        <v>1433218840</v>
      </c>
      <c r="L733">
        <v>1822836895</v>
      </c>
      <c r="M733">
        <v>436274399</v>
      </c>
      <c r="N733">
        <v>286993368</v>
      </c>
      <c r="O733">
        <v>-800668752</v>
      </c>
      <c r="P733">
        <v>272</v>
      </c>
      <c r="Q733" t="s">
        <v>1510</v>
      </c>
    </row>
    <row r="734" spans="1:17" x14ac:dyDescent="0.3">
      <c r="A734" t="s">
        <v>17</v>
      </c>
      <c r="B734" t="str">
        <f>"600841"</f>
        <v>600841</v>
      </c>
      <c r="C734" t="s">
        <v>1511</v>
      </c>
      <c r="D734" t="s">
        <v>27</v>
      </c>
      <c r="F734">
        <v>-2914602274</v>
      </c>
      <c r="G734">
        <v>-618570941</v>
      </c>
      <c r="H734">
        <v>204122126</v>
      </c>
      <c r="I734">
        <v>-195971936</v>
      </c>
      <c r="J734">
        <v>-125296065</v>
      </c>
      <c r="K734">
        <v>-63499330</v>
      </c>
      <c r="L734">
        <v>49298591</v>
      </c>
      <c r="M734">
        <v>-133112682</v>
      </c>
      <c r="N734">
        <v>-151001372</v>
      </c>
      <c r="O734">
        <v>-273830551</v>
      </c>
      <c r="P734">
        <v>88</v>
      </c>
      <c r="Q734" t="s">
        <v>1512</v>
      </c>
    </row>
    <row r="735" spans="1:17" x14ac:dyDescent="0.3">
      <c r="A735" t="s">
        <v>17</v>
      </c>
      <c r="B735" t="str">
        <f>"600843"</f>
        <v>600843</v>
      </c>
      <c r="C735" t="s">
        <v>1513</v>
      </c>
      <c r="D735" t="s">
        <v>78</v>
      </c>
      <c r="F735">
        <v>-26895972</v>
      </c>
      <c r="G735">
        <v>33415039</v>
      </c>
      <c r="H735">
        <v>-315563656</v>
      </c>
      <c r="I735">
        <v>-157334849</v>
      </c>
      <c r="J735">
        <v>-54443485</v>
      </c>
      <c r="K735">
        <v>-65919900</v>
      </c>
      <c r="L735">
        <v>9228965</v>
      </c>
      <c r="M735">
        <v>-31616886</v>
      </c>
      <c r="N735">
        <v>-56439949</v>
      </c>
      <c r="O735">
        <v>80045298</v>
      </c>
      <c r="P735">
        <v>78</v>
      </c>
      <c r="Q735" t="s">
        <v>1514</v>
      </c>
    </row>
    <row r="736" spans="1:17" x14ac:dyDescent="0.3">
      <c r="A736" t="s">
        <v>17</v>
      </c>
      <c r="B736" t="str">
        <f>"600844"</f>
        <v>600844</v>
      </c>
      <c r="C736" t="s">
        <v>1515</v>
      </c>
      <c r="D736" t="s">
        <v>133</v>
      </c>
      <c r="F736">
        <v>132582152</v>
      </c>
      <c r="G736">
        <v>37184065</v>
      </c>
      <c r="H736">
        <v>-126647631</v>
      </c>
      <c r="I736">
        <v>154374321</v>
      </c>
      <c r="J736">
        <v>41462110</v>
      </c>
      <c r="K736">
        <v>-28527452</v>
      </c>
      <c r="L736">
        <v>115413603</v>
      </c>
      <c r="M736">
        <v>218375825</v>
      </c>
      <c r="N736">
        <v>136205746</v>
      </c>
      <c r="O736">
        <v>185270582</v>
      </c>
      <c r="P736">
        <v>106</v>
      </c>
      <c r="Q736" t="s">
        <v>1516</v>
      </c>
    </row>
    <row r="737" spans="1:17" x14ac:dyDescent="0.3">
      <c r="A737" t="s">
        <v>17</v>
      </c>
      <c r="B737" t="str">
        <f>"600845"</f>
        <v>600845</v>
      </c>
      <c r="C737" t="s">
        <v>1517</v>
      </c>
      <c r="D737" t="s">
        <v>212</v>
      </c>
      <c r="F737">
        <v>1157858478</v>
      </c>
      <c r="G737">
        <v>1217161491</v>
      </c>
      <c r="H737">
        <v>227940218</v>
      </c>
      <c r="I737">
        <v>259544415</v>
      </c>
      <c r="J737">
        <v>348633327</v>
      </c>
      <c r="K737">
        <v>245603739</v>
      </c>
      <c r="L737">
        <v>130648451</v>
      </c>
      <c r="M737">
        <v>-151820208</v>
      </c>
      <c r="N737">
        <v>-190047662</v>
      </c>
      <c r="O737">
        <v>-123581281</v>
      </c>
      <c r="P737">
        <v>1596</v>
      </c>
      <c r="Q737" t="s">
        <v>1518</v>
      </c>
    </row>
    <row r="738" spans="1:17" x14ac:dyDescent="0.3">
      <c r="A738" t="s">
        <v>17</v>
      </c>
      <c r="B738" t="str">
        <f>"600846"</f>
        <v>600846</v>
      </c>
      <c r="C738" t="s">
        <v>1519</v>
      </c>
      <c r="D738" t="s">
        <v>30</v>
      </c>
      <c r="F738">
        <v>329257387</v>
      </c>
      <c r="G738">
        <v>836969326</v>
      </c>
      <c r="H738">
        <v>-287319736</v>
      </c>
      <c r="I738">
        <v>1806574885</v>
      </c>
      <c r="J738">
        <v>-249615963</v>
      </c>
      <c r="K738">
        <v>1100823287</v>
      </c>
      <c r="L738">
        <v>-45908172</v>
      </c>
      <c r="M738">
        <v>-349679992</v>
      </c>
      <c r="N738">
        <v>979339615</v>
      </c>
      <c r="O738">
        <v>-168387557</v>
      </c>
      <c r="P738">
        <v>357</v>
      </c>
      <c r="Q738" t="s">
        <v>1520</v>
      </c>
    </row>
    <row r="739" spans="1:17" x14ac:dyDescent="0.3">
      <c r="A739" t="s">
        <v>17</v>
      </c>
      <c r="B739" t="str">
        <f>"600847"</f>
        <v>600847</v>
      </c>
      <c r="C739" t="s">
        <v>1521</v>
      </c>
      <c r="D739" t="s">
        <v>188</v>
      </c>
      <c r="F739">
        <v>-49057825</v>
      </c>
      <c r="G739">
        <v>-31146537</v>
      </c>
      <c r="H739">
        <v>-4149621</v>
      </c>
      <c r="I739">
        <v>-14827886</v>
      </c>
      <c r="J739">
        <v>-36576548</v>
      </c>
      <c r="K739">
        <v>-72006282</v>
      </c>
      <c r="L739">
        <v>-13460629</v>
      </c>
      <c r="M739">
        <v>-39900274</v>
      </c>
      <c r="N739">
        <v>-9822042</v>
      </c>
      <c r="O739">
        <v>-27473858</v>
      </c>
      <c r="P739">
        <v>54</v>
      </c>
      <c r="Q739" t="s">
        <v>1522</v>
      </c>
    </row>
    <row r="740" spans="1:17" x14ac:dyDescent="0.3">
      <c r="A740" t="s">
        <v>17</v>
      </c>
      <c r="B740" t="str">
        <f>"600848"</f>
        <v>600848</v>
      </c>
      <c r="C740" t="s">
        <v>1523</v>
      </c>
      <c r="D740" t="s">
        <v>30</v>
      </c>
      <c r="F740">
        <v>239288208</v>
      </c>
      <c r="G740">
        <v>-557716880</v>
      </c>
      <c r="H740">
        <v>-3680659212</v>
      </c>
      <c r="I740">
        <v>-1501756588</v>
      </c>
      <c r="J740">
        <v>-186670581</v>
      </c>
      <c r="K740">
        <v>-41230771</v>
      </c>
      <c r="L740">
        <v>-635364839</v>
      </c>
      <c r="M740">
        <v>-136725617</v>
      </c>
      <c r="N740">
        <v>-121195368</v>
      </c>
      <c r="O740">
        <v>-104520708</v>
      </c>
      <c r="P740">
        <v>271</v>
      </c>
      <c r="Q740" t="s">
        <v>1524</v>
      </c>
    </row>
    <row r="741" spans="1:17" x14ac:dyDescent="0.3">
      <c r="A741" t="s">
        <v>17</v>
      </c>
      <c r="B741" t="str">
        <f>"600849"</f>
        <v>600849</v>
      </c>
      <c r="C741" t="s">
        <v>1525</v>
      </c>
      <c r="K741">
        <v>206833152.62</v>
      </c>
      <c r="L741">
        <v>-338588765.66000003</v>
      </c>
      <c r="M741">
        <v>218010465.91999999</v>
      </c>
      <c r="N741">
        <v>-23593769.620000001</v>
      </c>
      <c r="O741">
        <v>333886717.19</v>
      </c>
      <c r="P741">
        <v>3</v>
      </c>
      <c r="Q741" t="s">
        <v>1526</v>
      </c>
    </row>
    <row r="742" spans="1:17" x14ac:dyDescent="0.3">
      <c r="A742" t="s">
        <v>17</v>
      </c>
      <c r="B742" t="str">
        <f>"600850"</f>
        <v>600850</v>
      </c>
      <c r="C742" t="s">
        <v>1527</v>
      </c>
      <c r="D742" t="s">
        <v>212</v>
      </c>
      <c r="F742">
        <v>-581120041</v>
      </c>
      <c r="G742">
        <v>-425529754</v>
      </c>
      <c r="H742">
        <v>-97774059</v>
      </c>
      <c r="I742">
        <v>-739248719</v>
      </c>
      <c r="J742">
        <v>-133395381</v>
      </c>
      <c r="K742">
        <v>-404028675</v>
      </c>
      <c r="L742">
        <v>-204417267</v>
      </c>
      <c r="M742">
        <v>-131798649</v>
      </c>
      <c r="N742">
        <v>-440699599</v>
      </c>
      <c r="O742">
        <v>-426714633</v>
      </c>
      <c r="P742">
        <v>322</v>
      </c>
      <c r="Q742" t="s">
        <v>1528</v>
      </c>
    </row>
    <row r="743" spans="1:17" x14ac:dyDescent="0.3">
      <c r="A743" t="s">
        <v>17</v>
      </c>
      <c r="B743" t="str">
        <f>"600851"</f>
        <v>600851</v>
      </c>
      <c r="C743" t="s">
        <v>1529</v>
      </c>
      <c r="D743" t="s">
        <v>113</v>
      </c>
      <c r="F743">
        <v>153027208</v>
      </c>
      <c r="G743">
        <v>-48993898</v>
      </c>
      <c r="H743">
        <v>-124262954</v>
      </c>
      <c r="I743">
        <v>-42486046</v>
      </c>
      <c r="J743">
        <v>-79455781</v>
      </c>
      <c r="K743">
        <v>-100285262</v>
      </c>
      <c r="L743">
        <v>-79931260</v>
      </c>
      <c r="M743">
        <v>-87933469</v>
      </c>
      <c r="N743">
        <v>-120991739</v>
      </c>
      <c r="O743">
        <v>-64433504</v>
      </c>
      <c r="P743">
        <v>98</v>
      </c>
      <c r="Q743" t="s">
        <v>1530</v>
      </c>
    </row>
    <row r="744" spans="1:17" x14ac:dyDescent="0.3">
      <c r="A744" t="s">
        <v>17</v>
      </c>
      <c r="B744" t="str">
        <f>"600853"</f>
        <v>600853</v>
      </c>
      <c r="C744" t="s">
        <v>1531</v>
      </c>
      <c r="D744" t="s">
        <v>95</v>
      </c>
      <c r="F744">
        <v>-2487694537</v>
      </c>
      <c r="G744">
        <v>686580869</v>
      </c>
      <c r="H744">
        <v>-1191067195</v>
      </c>
      <c r="I744">
        <v>-959924661</v>
      </c>
      <c r="J744">
        <v>-1329769152</v>
      </c>
      <c r="K744">
        <v>-1233714902</v>
      </c>
      <c r="L744">
        <v>-83264887</v>
      </c>
      <c r="M744">
        <v>-606190949</v>
      </c>
      <c r="N744">
        <v>168966258</v>
      </c>
      <c r="O744">
        <v>-87890660</v>
      </c>
      <c r="P744">
        <v>94</v>
      </c>
      <c r="Q744" t="s">
        <v>1532</v>
      </c>
    </row>
    <row r="745" spans="1:17" x14ac:dyDescent="0.3">
      <c r="A745" t="s">
        <v>17</v>
      </c>
      <c r="B745" t="str">
        <f>"600854"</f>
        <v>600854</v>
      </c>
      <c r="C745" t="s">
        <v>1533</v>
      </c>
      <c r="D745" t="s">
        <v>126</v>
      </c>
      <c r="F745">
        <v>225264085</v>
      </c>
      <c r="G745">
        <v>9231090</v>
      </c>
      <c r="H745">
        <v>57137431</v>
      </c>
      <c r="I745">
        <v>-98775286</v>
      </c>
      <c r="J745">
        <v>290061963</v>
      </c>
      <c r="K745">
        <v>23069958</v>
      </c>
      <c r="L745">
        <v>-84956261</v>
      </c>
      <c r="M745">
        <v>4476489</v>
      </c>
      <c r="N745">
        <v>18198248</v>
      </c>
      <c r="O745">
        <v>-68158381</v>
      </c>
      <c r="P745">
        <v>146</v>
      </c>
      <c r="Q745" t="s">
        <v>1534</v>
      </c>
    </row>
    <row r="746" spans="1:17" x14ac:dyDescent="0.3">
      <c r="A746" t="s">
        <v>17</v>
      </c>
      <c r="B746" t="str">
        <f>"600855"</f>
        <v>600855</v>
      </c>
      <c r="C746" t="s">
        <v>1535</v>
      </c>
      <c r="D746" t="s">
        <v>212</v>
      </c>
      <c r="F746">
        <v>-544426415</v>
      </c>
      <c r="G746">
        <v>15422224</v>
      </c>
      <c r="H746">
        <v>-272911385</v>
      </c>
      <c r="I746">
        <v>-371392540</v>
      </c>
      <c r="J746">
        <v>-399395779</v>
      </c>
      <c r="K746">
        <v>-247338190</v>
      </c>
      <c r="L746">
        <v>-106336503</v>
      </c>
      <c r="M746">
        <v>-18994559</v>
      </c>
      <c r="N746">
        <v>-166960180</v>
      </c>
      <c r="O746">
        <v>-64910139</v>
      </c>
      <c r="P746">
        <v>139</v>
      </c>
      <c r="Q746" t="s">
        <v>1536</v>
      </c>
    </row>
    <row r="747" spans="1:17" x14ac:dyDescent="0.3">
      <c r="A747" t="s">
        <v>17</v>
      </c>
      <c r="B747" t="str">
        <f>"600856"</f>
        <v>600856</v>
      </c>
      <c r="C747" t="s">
        <v>1537</v>
      </c>
      <c r="D747" t="s">
        <v>70</v>
      </c>
      <c r="F747">
        <v>76743893</v>
      </c>
      <c r="G747">
        <v>-240601497</v>
      </c>
      <c r="H747">
        <v>-658656646</v>
      </c>
      <c r="I747">
        <v>-729458486</v>
      </c>
      <c r="J747">
        <v>-493812751</v>
      </c>
      <c r="K747">
        <v>-285111766</v>
      </c>
      <c r="L747">
        <v>-526212413</v>
      </c>
      <c r="M747">
        <v>29384481</v>
      </c>
      <c r="N747">
        <v>41364296</v>
      </c>
      <c r="O747">
        <v>47394463</v>
      </c>
      <c r="P747">
        <v>129</v>
      </c>
      <c r="Q747" t="s">
        <v>1538</v>
      </c>
    </row>
    <row r="748" spans="1:17" x14ac:dyDescent="0.3">
      <c r="A748" t="s">
        <v>17</v>
      </c>
      <c r="B748" t="str">
        <f>"600857"</f>
        <v>600857</v>
      </c>
      <c r="C748" t="s">
        <v>1539</v>
      </c>
      <c r="D748" t="s">
        <v>120</v>
      </c>
      <c r="F748">
        <v>-11777790</v>
      </c>
      <c r="G748">
        <v>-66577489</v>
      </c>
      <c r="H748">
        <v>-245846</v>
      </c>
      <c r="I748">
        <v>-101650015</v>
      </c>
      <c r="J748">
        <v>1277075</v>
      </c>
      <c r="K748">
        <v>3418051</v>
      </c>
      <c r="L748">
        <v>14687637</v>
      </c>
      <c r="M748">
        <v>3596952</v>
      </c>
      <c r="N748">
        <v>-8589306</v>
      </c>
      <c r="O748">
        <v>-133062</v>
      </c>
      <c r="P748">
        <v>74</v>
      </c>
      <c r="Q748" t="s">
        <v>1540</v>
      </c>
    </row>
    <row r="749" spans="1:17" x14ac:dyDescent="0.3">
      <c r="A749" t="s">
        <v>17</v>
      </c>
      <c r="B749" t="str">
        <f>"600858"</f>
        <v>600858</v>
      </c>
      <c r="C749" t="s">
        <v>1541</v>
      </c>
      <c r="D749" t="s">
        <v>120</v>
      </c>
      <c r="F749">
        <v>296526484</v>
      </c>
      <c r="G749">
        <v>589254196</v>
      </c>
      <c r="H749">
        <v>601284243</v>
      </c>
      <c r="I749">
        <v>1006438471</v>
      </c>
      <c r="J749">
        <v>166534112</v>
      </c>
      <c r="K749">
        <v>-100179348</v>
      </c>
      <c r="L749">
        <v>-560489937</v>
      </c>
      <c r="M749">
        <v>323979569</v>
      </c>
      <c r="N749">
        <v>-167667172</v>
      </c>
      <c r="O749">
        <v>-137087815</v>
      </c>
      <c r="P749">
        <v>91</v>
      </c>
      <c r="Q749" t="s">
        <v>1542</v>
      </c>
    </row>
    <row r="750" spans="1:17" x14ac:dyDescent="0.3">
      <c r="A750" t="s">
        <v>17</v>
      </c>
      <c r="B750" t="str">
        <f>"600859"</f>
        <v>600859</v>
      </c>
      <c r="C750" t="s">
        <v>1543</v>
      </c>
      <c r="D750" t="s">
        <v>120</v>
      </c>
      <c r="F750">
        <v>967876413</v>
      </c>
      <c r="G750">
        <v>-82786628</v>
      </c>
      <c r="H750">
        <v>489914952</v>
      </c>
      <c r="I750">
        <v>360829928</v>
      </c>
      <c r="J750">
        <v>340278531</v>
      </c>
      <c r="K750">
        <v>-126751793</v>
      </c>
      <c r="L750">
        <v>76795839</v>
      </c>
      <c r="M750">
        <v>-521581285</v>
      </c>
      <c r="N750">
        <v>95034790</v>
      </c>
      <c r="O750">
        <v>472226272</v>
      </c>
      <c r="P750">
        <v>553</v>
      </c>
      <c r="Q750" t="s">
        <v>1544</v>
      </c>
    </row>
    <row r="751" spans="1:17" x14ac:dyDescent="0.3">
      <c r="A751" t="s">
        <v>17</v>
      </c>
      <c r="B751" t="str">
        <f>"600860"</f>
        <v>600860</v>
      </c>
      <c r="C751" t="s">
        <v>1545</v>
      </c>
      <c r="D751" t="s">
        <v>78</v>
      </c>
      <c r="F751">
        <v>-61099676</v>
      </c>
      <c r="G751">
        <v>42900527</v>
      </c>
      <c r="H751">
        <v>29872042</v>
      </c>
      <c r="I751">
        <v>43417440</v>
      </c>
      <c r="J751">
        <v>-99896296</v>
      </c>
      <c r="K751">
        <v>1534495</v>
      </c>
      <c r="L751">
        <v>56749949</v>
      </c>
      <c r="M751">
        <v>-128044516</v>
      </c>
      <c r="N751">
        <v>-48854030</v>
      </c>
      <c r="O751">
        <v>-71318539</v>
      </c>
      <c r="P751">
        <v>108</v>
      </c>
      <c r="Q751" t="s">
        <v>1546</v>
      </c>
    </row>
    <row r="752" spans="1:17" x14ac:dyDescent="0.3">
      <c r="A752" t="s">
        <v>17</v>
      </c>
      <c r="B752" t="str">
        <f>"600861"</f>
        <v>600861</v>
      </c>
      <c r="C752" t="s">
        <v>1547</v>
      </c>
      <c r="D752" t="s">
        <v>120</v>
      </c>
      <c r="F752">
        <v>87455857</v>
      </c>
      <c r="G752">
        <v>89437321</v>
      </c>
      <c r="H752">
        <v>-50393715</v>
      </c>
      <c r="I752">
        <v>-8617827</v>
      </c>
      <c r="J752">
        <v>-133794423</v>
      </c>
      <c r="K752">
        <v>428689965</v>
      </c>
      <c r="L752">
        <v>-122020460</v>
      </c>
      <c r="M752">
        <v>94084724</v>
      </c>
      <c r="N752">
        <v>-145636376</v>
      </c>
      <c r="O752">
        <v>-66413639</v>
      </c>
      <c r="P752">
        <v>72</v>
      </c>
      <c r="Q752" t="s">
        <v>1548</v>
      </c>
    </row>
    <row r="753" spans="1:17" x14ac:dyDescent="0.3">
      <c r="A753" t="s">
        <v>17</v>
      </c>
      <c r="B753" t="str">
        <f>"600862"</f>
        <v>600862</v>
      </c>
      <c r="C753" t="s">
        <v>1549</v>
      </c>
      <c r="D753" t="s">
        <v>92</v>
      </c>
      <c r="F753">
        <v>80293725</v>
      </c>
      <c r="G753">
        <v>-183865144</v>
      </c>
      <c r="H753">
        <v>277300730</v>
      </c>
      <c r="I753">
        <v>-1189120102</v>
      </c>
      <c r="J753">
        <v>-129667768</v>
      </c>
      <c r="K753">
        <v>183580741</v>
      </c>
      <c r="L753">
        <v>318183386</v>
      </c>
      <c r="M753">
        <v>61184131</v>
      </c>
      <c r="N753">
        <v>192937443</v>
      </c>
      <c r="O753">
        <v>-423508026</v>
      </c>
      <c r="P753">
        <v>458</v>
      </c>
      <c r="Q753" t="s">
        <v>1550</v>
      </c>
    </row>
    <row r="754" spans="1:17" x14ac:dyDescent="0.3">
      <c r="A754" t="s">
        <v>17</v>
      </c>
      <c r="B754" t="str">
        <f>"600863"</f>
        <v>600863</v>
      </c>
      <c r="C754" t="s">
        <v>1551</v>
      </c>
      <c r="D754" t="s">
        <v>41</v>
      </c>
      <c r="F754">
        <v>1548252405</v>
      </c>
      <c r="G754">
        <v>2629737682</v>
      </c>
      <c r="H754">
        <v>970821603</v>
      </c>
      <c r="I754">
        <v>1627788266</v>
      </c>
      <c r="J754">
        <v>806389591</v>
      </c>
      <c r="K754">
        <v>639387748</v>
      </c>
      <c r="L754">
        <v>1473079579</v>
      </c>
      <c r="M754">
        <v>1799841710</v>
      </c>
      <c r="N754">
        <v>2431144167</v>
      </c>
      <c r="O754">
        <v>1490182933</v>
      </c>
      <c r="P754">
        <v>310</v>
      </c>
      <c r="Q754" t="s">
        <v>1552</v>
      </c>
    </row>
    <row r="755" spans="1:17" x14ac:dyDescent="0.3">
      <c r="A755" t="s">
        <v>17</v>
      </c>
      <c r="B755" t="str">
        <f>"600864"</f>
        <v>600864</v>
      </c>
      <c r="C755" t="s">
        <v>1553</v>
      </c>
      <c r="D755" t="s">
        <v>75</v>
      </c>
      <c r="F755">
        <v>369097809</v>
      </c>
      <c r="G755">
        <v>489741472</v>
      </c>
      <c r="H755">
        <v>2316056326</v>
      </c>
      <c r="I755">
        <v>-1034378352</v>
      </c>
      <c r="J755">
        <v>-6075131757</v>
      </c>
      <c r="K755">
        <v>-3665722820</v>
      </c>
      <c r="L755">
        <v>-534658402</v>
      </c>
      <c r="M755">
        <v>-492191998</v>
      </c>
      <c r="N755">
        <v>-483780387</v>
      </c>
      <c r="O755">
        <v>-445134571</v>
      </c>
      <c r="P755">
        <v>412</v>
      </c>
      <c r="Q755" t="s">
        <v>1554</v>
      </c>
    </row>
    <row r="756" spans="1:17" x14ac:dyDescent="0.3">
      <c r="A756" t="s">
        <v>17</v>
      </c>
      <c r="B756" t="str">
        <f>"600865"</f>
        <v>600865</v>
      </c>
      <c r="C756" t="s">
        <v>1555</v>
      </c>
      <c r="D756" t="s">
        <v>120</v>
      </c>
      <c r="F756">
        <v>1460098</v>
      </c>
      <c r="G756">
        <v>26421346</v>
      </c>
      <c r="H756">
        <v>49361693</v>
      </c>
      <c r="I756">
        <v>19020334</v>
      </c>
      <c r="J756">
        <v>8503683</v>
      </c>
      <c r="K756">
        <v>4422890</v>
      </c>
      <c r="L756">
        <v>-16279956</v>
      </c>
      <c r="M756">
        <v>-34518807</v>
      </c>
      <c r="N756">
        <v>599437797</v>
      </c>
      <c r="O756">
        <v>-202129385</v>
      </c>
      <c r="P756">
        <v>123</v>
      </c>
      <c r="Q756" t="s">
        <v>1556</v>
      </c>
    </row>
    <row r="757" spans="1:17" x14ac:dyDescent="0.3">
      <c r="A757" t="s">
        <v>17</v>
      </c>
      <c r="B757" t="str">
        <f>"600866"</f>
        <v>600866</v>
      </c>
      <c r="C757" t="s">
        <v>1557</v>
      </c>
      <c r="D757" t="s">
        <v>133</v>
      </c>
      <c r="F757">
        <v>-84169257</v>
      </c>
      <c r="G757">
        <v>-109783155</v>
      </c>
      <c r="H757">
        <v>96474028</v>
      </c>
      <c r="I757">
        <v>-21353227</v>
      </c>
      <c r="J757">
        <v>12362086</v>
      </c>
      <c r="K757">
        <v>32463178</v>
      </c>
      <c r="L757">
        <v>-77257026</v>
      </c>
      <c r="M757">
        <v>-101993083</v>
      </c>
      <c r="N757">
        <v>43313249</v>
      </c>
      <c r="O757">
        <v>-441414336</v>
      </c>
      <c r="P757">
        <v>143</v>
      </c>
      <c r="Q757" t="s">
        <v>1558</v>
      </c>
    </row>
    <row r="758" spans="1:17" x14ac:dyDescent="0.3">
      <c r="A758" t="s">
        <v>17</v>
      </c>
      <c r="B758" t="str">
        <f>"600867"</f>
        <v>600867</v>
      </c>
      <c r="C758" t="s">
        <v>1559</v>
      </c>
      <c r="D758" t="s">
        <v>113</v>
      </c>
      <c r="F758">
        <v>469578598</v>
      </c>
      <c r="G758">
        <v>507365059</v>
      </c>
      <c r="H758">
        <v>708340801</v>
      </c>
      <c r="I758">
        <v>24897183</v>
      </c>
      <c r="J758">
        <v>537797207</v>
      </c>
      <c r="K758">
        <v>167985595</v>
      </c>
      <c r="L758">
        <v>-108735794</v>
      </c>
      <c r="M758">
        <v>69767696</v>
      </c>
      <c r="N758">
        <v>56636135</v>
      </c>
      <c r="O758">
        <v>10049625</v>
      </c>
      <c r="P758">
        <v>2957</v>
      </c>
      <c r="Q758" t="s">
        <v>1560</v>
      </c>
    </row>
    <row r="759" spans="1:17" x14ac:dyDescent="0.3">
      <c r="A759" t="s">
        <v>17</v>
      </c>
      <c r="B759" t="str">
        <f>"600868"</f>
        <v>600868</v>
      </c>
      <c r="C759" t="s">
        <v>1561</v>
      </c>
      <c r="D759" t="s">
        <v>41</v>
      </c>
      <c r="F759">
        <v>-1133710</v>
      </c>
      <c r="G759">
        <v>82712731</v>
      </c>
      <c r="H759">
        <v>132334996</v>
      </c>
      <c r="I759">
        <v>16511308</v>
      </c>
      <c r="J759">
        <v>75596628</v>
      </c>
      <c r="K759">
        <v>110145767</v>
      </c>
      <c r="L759">
        <v>57646035</v>
      </c>
      <c r="M759">
        <v>63657321</v>
      </c>
      <c r="N759">
        <v>132659948</v>
      </c>
      <c r="O759">
        <v>22231030</v>
      </c>
      <c r="P759">
        <v>125</v>
      </c>
      <c r="Q759" t="s">
        <v>1562</v>
      </c>
    </row>
    <row r="760" spans="1:17" x14ac:dyDescent="0.3">
      <c r="A760" t="s">
        <v>17</v>
      </c>
      <c r="B760" t="str">
        <f>"600869"</f>
        <v>600869</v>
      </c>
      <c r="C760" t="s">
        <v>1563</v>
      </c>
      <c r="D760" t="s">
        <v>188</v>
      </c>
      <c r="F760">
        <v>388840175</v>
      </c>
      <c r="G760">
        <v>388514975</v>
      </c>
      <c r="H760">
        <v>1124708361</v>
      </c>
      <c r="I760">
        <v>-830913380</v>
      </c>
      <c r="J760">
        <v>-1684045492</v>
      </c>
      <c r="K760">
        <v>-259755135</v>
      </c>
      <c r="L760">
        <v>208808235</v>
      </c>
      <c r="M760">
        <v>200972293</v>
      </c>
      <c r="N760">
        <v>-260245997</v>
      </c>
      <c r="O760">
        <v>250699716</v>
      </c>
      <c r="P760">
        <v>207</v>
      </c>
      <c r="Q760" t="s">
        <v>1564</v>
      </c>
    </row>
    <row r="761" spans="1:17" x14ac:dyDescent="0.3">
      <c r="A761" t="s">
        <v>17</v>
      </c>
      <c r="B761" t="str">
        <f>"600870"</f>
        <v>600870</v>
      </c>
      <c r="C761" t="s">
        <v>1565</v>
      </c>
      <c r="D761" t="s">
        <v>120</v>
      </c>
      <c r="F761">
        <v>-96583447</v>
      </c>
      <c r="G761">
        <v>2329531</v>
      </c>
      <c r="H761">
        <v>-5491680</v>
      </c>
      <c r="I761">
        <v>9100633</v>
      </c>
      <c r="J761">
        <v>-17357499</v>
      </c>
      <c r="K761">
        <v>-4492293</v>
      </c>
      <c r="L761">
        <v>36360311</v>
      </c>
      <c r="M761">
        <v>-73542809</v>
      </c>
      <c r="N761">
        <v>93206494</v>
      </c>
      <c r="O761">
        <v>-311441481</v>
      </c>
      <c r="P761">
        <v>55</v>
      </c>
      <c r="Q761" t="s">
        <v>1566</v>
      </c>
    </row>
    <row r="762" spans="1:17" x14ac:dyDescent="0.3">
      <c r="A762" t="s">
        <v>17</v>
      </c>
      <c r="B762" t="str">
        <f>"600871"</f>
        <v>600871</v>
      </c>
      <c r="C762" t="s">
        <v>1567</v>
      </c>
      <c r="D762" t="s">
        <v>70</v>
      </c>
      <c r="F762">
        <v>-836452000</v>
      </c>
      <c r="G762">
        <v>-16563000</v>
      </c>
      <c r="H762">
        <v>-188537000</v>
      </c>
      <c r="I762">
        <v>-3442596000</v>
      </c>
      <c r="J762">
        <v>-2914407000</v>
      </c>
      <c r="K762">
        <v>-4929513000</v>
      </c>
      <c r="L762">
        <v>-4457813000</v>
      </c>
      <c r="M762">
        <v>-322308000</v>
      </c>
      <c r="N762">
        <v>-362175000</v>
      </c>
      <c r="O762">
        <v>-806161000</v>
      </c>
      <c r="P762">
        <v>172</v>
      </c>
      <c r="Q762" t="s">
        <v>1568</v>
      </c>
    </row>
    <row r="763" spans="1:17" x14ac:dyDescent="0.3">
      <c r="A763" t="s">
        <v>17</v>
      </c>
      <c r="B763" t="str">
        <f>"600872"</f>
        <v>600872</v>
      </c>
      <c r="C763" t="s">
        <v>1569</v>
      </c>
      <c r="D763" t="s">
        <v>123</v>
      </c>
      <c r="F763">
        <v>298769742</v>
      </c>
      <c r="G763">
        <v>646469603</v>
      </c>
      <c r="H763">
        <v>700385232</v>
      </c>
      <c r="I763">
        <v>468940513</v>
      </c>
      <c r="J763">
        <v>391318535</v>
      </c>
      <c r="K763">
        <v>394948900</v>
      </c>
      <c r="L763">
        <v>163928901</v>
      </c>
      <c r="M763">
        <v>17206112</v>
      </c>
      <c r="N763">
        <v>-106198143</v>
      </c>
      <c r="O763">
        <v>-78782838</v>
      </c>
      <c r="P763">
        <v>2531</v>
      </c>
      <c r="Q763" t="s">
        <v>1570</v>
      </c>
    </row>
    <row r="764" spans="1:17" x14ac:dyDescent="0.3">
      <c r="A764" t="s">
        <v>17</v>
      </c>
      <c r="B764" t="str">
        <f>"600873"</f>
        <v>600873</v>
      </c>
      <c r="C764" t="s">
        <v>1571</v>
      </c>
      <c r="D764" t="s">
        <v>123</v>
      </c>
      <c r="F764">
        <v>2519161117</v>
      </c>
      <c r="G764">
        <v>929619968</v>
      </c>
      <c r="H764">
        <v>1042080475</v>
      </c>
      <c r="I764">
        <v>554594731</v>
      </c>
      <c r="J764">
        <v>855342441</v>
      </c>
      <c r="K764">
        <v>2182954922</v>
      </c>
      <c r="L764">
        <v>2208932611</v>
      </c>
      <c r="M764">
        <v>262258250</v>
      </c>
      <c r="N764">
        <v>-460939384</v>
      </c>
      <c r="O764">
        <v>-1089847677</v>
      </c>
      <c r="P764">
        <v>992</v>
      </c>
      <c r="Q764" t="s">
        <v>1572</v>
      </c>
    </row>
    <row r="765" spans="1:17" x14ac:dyDescent="0.3">
      <c r="A765" t="s">
        <v>17</v>
      </c>
      <c r="B765" t="str">
        <f>"600874"</f>
        <v>600874</v>
      </c>
      <c r="C765" t="s">
        <v>1573</v>
      </c>
      <c r="D765" t="s">
        <v>33</v>
      </c>
      <c r="F765">
        <v>95922000</v>
      </c>
      <c r="G765">
        <v>-653622000</v>
      </c>
      <c r="H765">
        <v>-984688000</v>
      </c>
      <c r="I765">
        <v>-592114000</v>
      </c>
      <c r="J765">
        <v>-176471000</v>
      </c>
      <c r="K765">
        <v>103264000</v>
      </c>
      <c r="L765">
        <v>1815279000</v>
      </c>
      <c r="M765">
        <v>124515000</v>
      </c>
      <c r="N765">
        <v>-246539000</v>
      </c>
      <c r="O765">
        <v>-37349000</v>
      </c>
      <c r="P765">
        <v>201</v>
      </c>
      <c r="Q765" t="s">
        <v>1574</v>
      </c>
    </row>
    <row r="766" spans="1:17" x14ac:dyDescent="0.3">
      <c r="A766" t="s">
        <v>17</v>
      </c>
      <c r="B766" t="str">
        <f>"600875"</f>
        <v>600875</v>
      </c>
      <c r="C766" t="s">
        <v>1575</v>
      </c>
      <c r="D766" t="s">
        <v>188</v>
      </c>
      <c r="F766">
        <v>-7143611729</v>
      </c>
      <c r="G766">
        <v>2069041280</v>
      </c>
      <c r="H766">
        <v>-2837047953</v>
      </c>
      <c r="I766">
        <v>2985164567</v>
      </c>
      <c r="J766">
        <v>-1979502297</v>
      </c>
      <c r="K766">
        <v>5339880575</v>
      </c>
      <c r="L766">
        <v>-452517878</v>
      </c>
      <c r="M766">
        <v>372448969</v>
      </c>
      <c r="N766">
        <v>52946534</v>
      </c>
      <c r="O766">
        <v>-3093810060</v>
      </c>
      <c r="P766">
        <v>483</v>
      </c>
      <c r="Q766" t="s">
        <v>1576</v>
      </c>
    </row>
    <row r="767" spans="1:17" x14ac:dyDescent="0.3">
      <c r="A767" t="s">
        <v>17</v>
      </c>
      <c r="B767" t="str">
        <f>"600876"</f>
        <v>600876</v>
      </c>
      <c r="C767" t="s">
        <v>1577</v>
      </c>
      <c r="D767" t="s">
        <v>350</v>
      </c>
      <c r="F767">
        <v>-782776868</v>
      </c>
      <c r="G767">
        <v>-177884627</v>
      </c>
      <c r="H767">
        <v>-217377438</v>
      </c>
      <c r="I767">
        <v>-251930057</v>
      </c>
      <c r="J767">
        <v>-33717699</v>
      </c>
      <c r="K767">
        <v>-93137834</v>
      </c>
      <c r="L767">
        <v>-110865029</v>
      </c>
      <c r="M767">
        <v>6220949</v>
      </c>
      <c r="N767">
        <v>1834581</v>
      </c>
      <c r="O767">
        <v>29535627</v>
      </c>
      <c r="P767">
        <v>175</v>
      </c>
      <c r="Q767" t="s">
        <v>1578</v>
      </c>
    </row>
    <row r="768" spans="1:17" x14ac:dyDescent="0.3">
      <c r="A768" t="s">
        <v>17</v>
      </c>
      <c r="B768" t="str">
        <f>"600877"</f>
        <v>600877</v>
      </c>
      <c r="C768" t="s">
        <v>1579</v>
      </c>
      <c r="D768" t="s">
        <v>188</v>
      </c>
      <c r="F768">
        <v>-29529527</v>
      </c>
      <c r="G768">
        <v>-2812436</v>
      </c>
      <c r="H768">
        <v>1007473</v>
      </c>
      <c r="I768">
        <v>-102694223</v>
      </c>
      <c r="J768">
        <v>-71356171</v>
      </c>
      <c r="K768">
        <v>-211822262</v>
      </c>
      <c r="L768">
        <v>-162922258</v>
      </c>
      <c r="M768">
        <v>136111632</v>
      </c>
      <c r="N768">
        <v>-98516301</v>
      </c>
      <c r="O768">
        <v>-41494473</v>
      </c>
      <c r="P768">
        <v>121</v>
      </c>
      <c r="Q768" t="s">
        <v>1580</v>
      </c>
    </row>
    <row r="769" spans="1:17" x14ac:dyDescent="0.3">
      <c r="A769" t="s">
        <v>17</v>
      </c>
      <c r="B769" t="str">
        <f>"600878"</f>
        <v>600878</v>
      </c>
      <c r="C769" t="s">
        <v>1581</v>
      </c>
      <c r="P769">
        <v>2</v>
      </c>
      <c r="Q769" t="s">
        <v>1582</v>
      </c>
    </row>
    <row r="770" spans="1:17" x14ac:dyDescent="0.3">
      <c r="A770" t="s">
        <v>17</v>
      </c>
      <c r="B770" t="str">
        <f>"600879"</f>
        <v>600879</v>
      </c>
      <c r="C770" t="s">
        <v>1583</v>
      </c>
      <c r="D770" t="s">
        <v>92</v>
      </c>
      <c r="F770">
        <v>-1300288949</v>
      </c>
      <c r="G770">
        <v>-1774466732</v>
      </c>
      <c r="H770">
        <v>-1488113068</v>
      </c>
      <c r="I770">
        <v>-2047596553</v>
      </c>
      <c r="J770">
        <v>-2125295103</v>
      </c>
      <c r="K770">
        <v>-1640888074</v>
      </c>
      <c r="L770">
        <v>-1099060070</v>
      </c>
      <c r="M770">
        <v>-862948378</v>
      </c>
      <c r="N770">
        <v>-611352076</v>
      </c>
      <c r="O770">
        <v>-827345750</v>
      </c>
      <c r="P770">
        <v>359</v>
      </c>
      <c r="Q770" t="s">
        <v>1584</v>
      </c>
    </row>
    <row r="771" spans="1:17" x14ac:dyDescent="0.3">
      <c r="A771" t="s">
        <v>17</v>
      </c>
      <c r="B771" t="str">
        <f>"600880"</f>
        <v>600880</v>
      </c>
      <c r="C771" t="s">
        <v>1585</v>
      </c>
      <c r="D771" t="s">
        <v>110</v>
      </c>
      <c r="F771">
        <v>-33829012</v>
      </c>
      <c r="G771">
        <v>8765685</v>
      </c>
      <c r="H771">
        <v>-19039258</v>
      </c>
      <c r="I771">
        <v>-9328021</v>
      </c>
      <c r="J771">
        <v>-153358691</v>
      </c>
      <c r="K771">
        <v>8242102</v>
      </c>
      <c r="L771">
        <v>105227413</v>
      </c>
      <c r="M771">
        <v>367683279</v>
      </c>
      <c r="N771">
        <v>129541533</v>
      </c>
      <c r="O771">
        <v>64458805</v>
      </c>
      <c r="P771">
        <v>314</v>
      </c>
      <c r="Q771" t="s">
        <v>1586</v>
      </c>
    </row>
    <row r="772" spans="1:17" x14ac:dyDescent="0.3">
      <c r="A772" t="s">
        <v>17</v>
      </c>
      <c r="B772" t="str">
        <f>"600881"</f>
        <v>600881</v>
      </c>
      <c r="C772" t="s">
        <v>1587</v>
      </c>
      <c r="D772" t="s">
        <v>103</v>
      </c>
      <c r="F772">
        <v>-1801191118</v>
      </c>
      <c r="G772">
        <v>46766652</v>
      </c>
      <c r="H772">
        <v>-10924203</v>
      </c>
      <c r="I772">
        <v>337071734</v>
      </c>
      <c r="J772">
        <v>2057624004</v>
      </c>
      <c r="K772">
        <v>1994321469</v>
      </c>
      <c r="L772">
        <v>404588204</v>
      </c>
      <c r="M772">
        <v>460833694</v>
      </c>
      <c r="N772">
        <v>-3078880463</v>
      </c>
      <c r="O772">
        <v>-1802761011</v>
      </c>
      <c r="P772">
        <v>144</v>
      </c>
      <c r="Q772" t="s">
        <v>1588</v>
      </c>
    </row>
    <row r="773" spans="1:17" x14ac:dyDescent="0.3">
      <c r="A773" t="s">
        <v>17</v>
      </c>
      <c r="B773" t="str">
        <f>"600882"</f>
        <v>600882</v>
      </c>
      <c r="C773" t="s">
        <v>1589</v>
      </c>
      <c r="D773" t="s">
        <v>123</v>
      </c>
      <c r="F773">
        <v>-416037149</v>
      </c>
      <c r="G773">
        <v>-285264020</v>
      </c>
      <c r="H773">
        <v>37211822</v>
      </c>
      <c r="I773">
        <v>-79666404</v>
      </c>
      <c r="J773">
        <v>-178586663</v>
      </c>
      <c r="K773">
        <v>-106498114</v>
      </c>
      <c r="L773">
        <v>10456902</v>
      </c>
      <c r="M773">
        <v>185517815</v>
      </c>
      <c r="N773">
        <v>142743062</v>
      </c>
      <c r="O773">
        <v>83530472</v>
      </c>
      <c r="P773">
        <v>515</v>
      </c>
      <c r="Q773" t="s">
        <v>1590</v>
      </c>
    </row>
    <row r="774" spans="1:17" x14ac:dyDescent="0.3">
      <c r="A774" t="s">
        <v>17</v>
      </c>
      <c r="B774" t="str">
        <f>"600883"</f>
        <v>600883</v>
      </c>
      <c r="C774" t="s">
        <v>1591</v>
      </c>
      <c r="D774" t="s">
        <v>350</v>
      </c>
      <c r="F774">
        <v>-20038486</v>
      </c>
      <c r="G774">
        <v>-14793453</v>
      </c>
      <c r="H774">
        <v>-5695041</v>
      </c>
      <c r="I774">
        <v>-19649187</v>
      </c>
      <c r="J774">
        <v>-14864024</v>
      </c>
      <c r="K774">
        <v>-43726516</v>
      </c>
      <c r="L774">
        <v>-24316756</v>
      </c>
      <c r="M774">
        <v>985278</v>
      </c>
      <c r="N774">
        <v>-7692516</v>
      </c>
      <c r="O774">
        <v>-584760</v>
      </c>
      <c r="P774">
        <v>78</v>
      </c>
      <c r="Q774" t="s">
        <v>1592</v>
      </c>
    </row>
    <row r="775" spans="1:17" x14ac:dyDescent="0.3">
      <c r="A775" t="s">
        <v>17</v>
      </c>
      <c r="B775" t="str">
        <f>"600884"</f>
        <v>600884</v>
      </c>
      <c r="C775" t="s">
        <v>1593</v>
      </c>
      <c r="D775" t="s">
        <v>188</v>
      </c>
      <c r="F775">
        <v>-2555082418</v>
      </c>
      <c r="G775">
        <v>-388090077</v>
      </c>
      <c r="H775">
        <v>-1954085248</v>
      </c>
      <c r="I775">
        <v>-1561367815</v>
      </c>
      <c r="J775">
        <v>-1309703647</v>
      </c>
      <c r="K775">
        <v>-1192146304</v>
      </c>
      <c r="L775">
        <v>-301995370</v>
      </c>
      <c r="M775">
        <v>-356637095</v>
      </c>
      <c r="N775">
        <v>-38850568</v>
      </c>
      <c r="O775">
        <v>-104613571</v>
      </c>
      <c r="P775">
        <v>758</v>
      </c>
      <c r="Q775" t="s">
        <v>1594</v>
      </c>
    </row>
    <row r="776" spans="1:17" x14ac:dyDescent="0.3">
      <c r="A776" t="s">
        <v>17</v>
      </c>
      <c r="B776" t="str">
        <f>"600885"</f>
        <v>600885</v>
      </c>
      <c r="C776" t="s">
        <v>1595</v>
      </c>
      <c r="D776" t="s">
        <v>188</v>
      </c>
      <c r="F776">
        <v>262398924</v>
      </c>
      <c r="G776">
        <v>192932182</v>
      </c>
      <c r="H776">
        <v>1032240207</v>
      </c>
      <c r="I776">
        <v>-224413001</v>
      </c>
      <c r="J776">
        <v>-280860641</v>
      </c>
      <c r="K776">
        <v>-101616705</v>
      </c>
      <c r="L776">
        <v>17030273</v>
      </c>
      <c r="M776">
        <v>-11569057</v>
      </c>
      <c r="N776">
        <v>146650429</v>
      </c>
      <c r="O776">
        <v>53785636</v>
      </c>
      <c r="P776">
        <v>13110</v>
      </c>
      <c r="Q776" t="s">
        <v>1596</v>
      </c>
    </row>
    <row r="777" spans="1:17" x14ac:dyDescent="0.3">
      <c r="A777" t="s">
        <v>17</v>
      </c>
      <c r="B777" t="str">
        <f>"600886"</f>
        <v>600886</v>
      </c>
      <c r="C777" t="s">
        <v>1597</v>
      </c>
      <c r="D777" t="s">
        <v>41</v>
      </c>
      <c r="F777">
        <v>5879960862</v>
      </c>
      <c r="G777">
        <v>9014707359</v>
      </c>
      <c r="H777">
        <v>8835112215</v>
      </c>
      <c r="I777">
        <v>7141836036</v>
      </c>
      <c r="J777">
        <v>5733438579</v>
      </c>
      <c r="K777">
        <v>2670249248</v>
      </c>
      <c r="L777">
        <v>7227803261</v>
      </c>
      <c r="M777">
        <v>5869290444</v>
      </c>
      <c r="N777">
        <v>-1652742399</v>
      </c>
      <c r="O777">
        <v>-8355345339</v>
      </c>
      <c r="P777">
        <v>2022</v>
      </c>
      <c r="Q777" t="s">
        <v>1598</v>
      </c>
    </row>
    <row r="778" spans="1:17" x14ac:dyDescent="0.3">
      <c r="A778" t="s">
        <v>17</v>
      </c>
      <c r="B778" t="str">
        <f>"600887"</f>
        <v>600887</v>
      </c>
      <c r="C778" t="s">
        <v>1599</v>
      </c>
      <c r="D778" t="s">
        <v>123</v>
      </c>
      <c r="F778">
        <v>7635113579</v>
      </c>
      <c r="G778">
        <v>2924233693</v>
      </c>
      <c r="H778">
        <v>-981318723</v>
      </c>
      <c r="I778">
        <v>4572700523</v>
      </c>
      <c r="J778">
        <v>4447223296</v>
      </c>
      <c r="K778">
        <v>9887616480</v>
      </c>
      <c r="L778">
        <v>6806199230</v>
      </c>
      <c r="M778">
        <v>-476918129</v>
      </c>
      <c r="N778">
        <v>3245254015</v>
      </c>
      <c r="O778">
        <v>322432099</v>
      </c>
      <c r="P778">
        <v>72805</v>
      </c>
      <c r="Q778" t="s">
        <v>1600</v>
      </c>
    </row>
    <row r="779" spans="1:17" x14ac:dyDescent="0.3">
      <c r="A779" t="s">
        <v>17</v>
      </c>
      <c r="B779" t="str">
        <f>"600888"</f>
        <v>600888</v>
      </c>
      <c r="C779" t="s">
        <v>1601</v>
      </c>
      <c r="D779" t="s">
        <v>234</v>
      </c>
      <c r="F779">
        <v>606422571</v>
      </c>
      <c r="G779">
        <v>-24255038</v>
      </c>
      <c r="H779">
        <v>-345885199</v>
      </c>
      <c r="I779">
        <v>198647944</v>
      </c>
      <c r="J779">
        <v>-886141538</v>
      </c>
      <c r="K779">
        <v>-789958317</v>
      </c>
      <c r="L779">
        <v>-699505234</v>
      </c>
      <c r="M779">
        <v>-517071827</v>
      </c>
      <c r="N779">
        <v>-638902516</v>
      </c>
      <c r="O779">
        <v>-841891204</v>
      </c>
      <c r="P779">
        <v>183</v>
      </c>
      <c r="Q779" t="s">
        <v>1602</v>
      </c>
    </row>
    <row r="780" spans="1:17" x14ac:dyDescent="0.3">
      <c r="A780" t="s">
        <v>17</v>
      </c>
      <c r="B780" t="str">
        <f>"600889"</f>
        <v>600889</v>
      </c>
      <c r="C780" t="s">
        <v>1603</v>
      </c>
      <c r="D780" t="s">
        <v>133</v>
      </c>
      <c r="F780">
        <v>-132852246</v>
      </c>
      <c r="G780">
        <v>-53401119</v>
      </c>
      <c r="H780">
        <v>-144224864</v>
      </c>
      <c r="I780">
        <v>-120983479</v>
      </c>
      <c r="J780">
        <v>-294720221</v>
      </c>
      <c r="K780">
        <v>282001033</v>
      </c>
      <c r="L780">
        <v>-70024226</v>
      </c>
      <c r="M780">
        <v>132322286</v>
      </c>
      <c r="N780">
        <v>112402499</v>
      </c>
      <c r="O780">
        <v>125083372</v>
      </c>
      <c r="P780">
        <v>77</v>
      </c>
      <c r="Q780" t="s">
        <v>1604</v>
      </c>
    </row>
    <row r="781" spans="1:17" x14ac:dyDescent="0.3">
      <c r="A781" t="s">
        <v>17</v>
      </c>
      <c r="B781" t="str">
        <f>"600890"</f>
        <v>600890</v>
      </c>
      <c r="C781" t="s">
        <v>1605</v>
      </c>
      <c r="D781" t="s">
        <v>30</v>
      </c>
      <c r="F781">
        <v>-24198805</v>
      </c>
      <c r="G781">
        <v>-57698466</v>
      </c>
      <c r="H781">
        <v>-20277825</v>
      </c>
      <c r="I781">
        <v>-37819759</v>
      </c>
      <c r="J781">
        <v>-23475629</v>
      </c>
      <c r="K781">
        <v>-33737624</v>
      </c>
      <c r="L781">
        <v>-13275608</v>
      </c>
      <c r="M781">
        <v>-17473272</v>
      </c>
      <c r="N781">
        <v>-6525593</v>
      </c>
      <c r="O781">
        <v>-1441774</v>
      </c>
      <c r="P781">
        <v>73</v>
      </c>
      <c r="Q781" t="s">
        <v>1606</v>
      </c>
    </row>
    <row r="782" spans="1:17" x14ac:dyDescent="0.3">
      <c r="A782" t="s">
        <v>17</v>
      </c>
      <c r="B782" t="str">
        <f>"600891"</f>
        <v>600891</v>
      </c>
      <c r="C782" t="s">
        <v>1607</v>
      </c>
      <c r="G782">
        <v>8721910</v>
      </c>
      <c r="H782">
        <v>32507182</v>
      </c>
      <c r="I782">
        <v>247302370</v>
      </c>
      <c r="J782">
        <v>-1645156112</v>
      </c>
      <c r="K782">
        <v>-997455571</v>
      </c>
      <c r="L782">
        <v>-110933072</v>
      </c>
      <c r="M782">
        <v>7931440</v>
      </c>
      <c r="N782">
        <v>39931833</v>
      </c>
      <c r="O782">
        <v>58199535</v>
      </c>
      <c r="P782">
        <v>45</v>
      </c>
      <c r="Q782" t="s">
        <v>1608</v>
      </c>
    </row>
    <row r="783" spans="1:17" x14ac:dyDescent="0.3">
      <c r="A783" t="s">
        <v>17</v>
      </c>
      <c r="B783" t="str">
        <f>"600892"</f>
        <v>600892</v>
      </c>
      <c r="C783" t="s">
        <v>1609</v>
      </c>
      <c r="D783" t="s">
        <v>89</v>
      </c>
      <c r="F783">
        <v>-17336494</v>
      </c>
      <c r="G783">
        <v>67674120</v>
      </c>
      <c r="H783">
        <v>-17875018</v>
      </c>
      <c r="I783">
        <v>-68050042</v>
      </c>
      <c r="J783">
        <v>24514751</v>
      </c>
      <c r="K783">
        <v>75536729</v>
      </c>
      <c r="L783">
        <v>-4660232</v>
      </c>
      <c r="M783">
        <v>65568033</v>
      </c>
      <c r="N783">
        <v>39280257</v>
      </c>
      <c r="O783">
        <v>-48724853</v>
      </c>
      <c r="P783">
        <v>85</v>
      </c>
      <c r="Q783" t="s">
        <v>1610</v>
      </c>
    </row>
    <row r="784" spans="1:17" x14ac:dyDescent="0.3">
      <c r="A784" t="s">
        <v>17</v>
      </c>
      <c r="B784" t="str">
        <f>"600893"</f>
        <v>600893</v>
      </c>
      <c r="C784" t="s">
        <v>1611</v>
      </c>
      <c r="D784" t="s">
        <v>92</v>
      </c>
      <c r="F784">
        <v>6874700257</v>
      </c>
      <c r="G784">
        <v>-10775895716</v>
      </c>
      <c r="H784">
        <v>-6262659691</v>
      </c>
      <c r="I784">
        <v>-4314903690</v>
      </c>
      <c r="J784">
        <v>-4942861375</v>
      </c>
      <c r="K784">
        <v>-8251807620</v>
      </c>
      <c r="L784">
        <v>-5288273394</v>
      </c>
      <c r="M784">
        <v>-6220820458</v>
      </c>
      <c r="N784">
        <v>-885828407</v>
      </c>
      <c r="O784">
        <v>-593645393</v>
      </c>
      <c r="P784">
        <v>1086</v>
      </c>
      <c r="Q784" t="s">
        <v>1612</v>
      </c>
    </row>
    <row r="785" spans="1:17" x14ac:dyDescent="0.3">
      <c r="A785" t="s">
        <v>17</v>
      </c>
      <c r="B785" t="str">
        <f>"600894"</f>
        <v>600894</v>
      </c>
      <c r="C785" t="s">
        <v>1613</v>
      </c>
      <c r="D785" t="s">
        <v>78</v>
      </c>
      <c r="F785">
        <v>-152562152</v>
      </c>
      <c r="G785">
        <v>157527976</v>
      </c>
      <c r="H785">
        <v>87056622</v>
      </c>
      <c r="I785">
        <v>-24167612</v>
      </c>
      <c r="J785">
        <v>133008799</v>
      </c>
      <c r="K785">
        <v>128847076</v>
      </c>
      <c r="L785">
        <v>1754504273</v>
      </c>
      <c r="M785">
        <v>-161802700</v>
      </c>
      <c r="N785">
        <v>-176554193</v>
      </c>
      <c r="O785">
        <v>301219268</v>
      </c>
      <c r="P785">
        <v>394</v>
      </c>
      <c r="Q785" t="s">
        <v>1614</v>
      </c>
    </row>
    <row r="786" spans="1:17" x14ac:dyDescent="0.3">
      <c r="A786" t="s">
        <v>17</v>
      </c>
      <c r="B786" t="str">
        <f>"600895"</f>
        <v>600895</v>
      </c>
      <c r="C786" t="s">
        <v>1615</v>
      </c>
      <c r="D786" t="s">
        <v>30</v>
      </c>
      <c r="F786">
        <v>-1738237964</v>
      </c>
      <c r="G786">
        <v>-1232250926</v>
      </c>
      <c r="H786">
        <v>356111683</v>
      </c>
      <c r="I786">
        <v>-182692618</v>
      </c>
      <c r="J786">
        <v>-51220602</v>
      </c>
      <c r="K786">
        <v>-132577852</v>
      </c>
      <c r="L786">
        <v>131574289</v>
      </c>
      <c r="M786">
        <v>83818615</v>
      </c>
      <c r="N786">
        <v>-360973621</v>
      </c>
      <c r="O786">
        <v>279174368</v>
      </c>
      <c r="P786">
        <v>336</v>
      </c>
      <c r="Q786" t="s">
        <v>1616</v>
      </c>
    </row>
    <row r="787" spans="1:17" x14ac:dyDescent="0.3">
      <c r="A787" t="s">
        <v>17</v>
      </c>
      <c r="B787" t="str">
        <f>"600896"</f>
        <v>600896</v>
      </c>
      <c r="C787" t="s">
        <v>1617</v>
      </c>
      <c r="D787" t="s">
        <v>113</v>
      </c>
      <c r="F787">
        <v>-472064544</v>
      </c>
      <c r="G787">
        <v>-218267754</v>
      </c>
      <c r="H787">
        <v>-113651427</v>
      </c>
      <c r="I787">
        <v>-106545380</v>
      </c>
      <c r="J787">
        <v>-240454022</v>
      </c>
      <c r="K787">
        <v>-247659914</v>
      </c>
      <c r="L787">
        <v>128860435</v>
      </c>
      <c r="M787">
        <v>-79273323</v>
      </c>
      <c r="N787">
        <v>-261465500</v>
      </c>
      <c r="O787">
        <v>-732772825</v>
      </c>
      <c r="P787">
        <v>93</v>
      </c>
      <c r="Q787" t="s">
        <v>1618</v>
      </c>
    </row>
    <row r="788" spans="1:17" x14ac:dyDescent="0.3">
      <c r="A788" t="s">
        <v>17</v>
      </c>
      <c r="B788" t="str">
        <f>"600897"</f>
        <v>600897</v>
      </c>
      <c r="C788" t="s">
        <v>1619</v>
      </c>
      <c r="D788" t="s">
        <v>22</v>
      </c>
      <c r="F788">
        <v>336743527</v>
      </c>
      <c r="G788">
        <v>234004602</v>
      </c>
      <c r="H788">
        <v>335766471</v>
      </c>
      <c r="I788">
        <v>511932457</v>
      </c>
      <c r="J788">
        <v>123093013</v>
      </c>
      <c r="K788">
        <v>341192445</v>
      </c>
      <c r="L788">
        <v>122546343</v>
      </c>
      <c r="M788">
        <v>327506546</v>
      </c>
      <c r="N788">
        <v>252767364</v>
      </c>
      <c r="O788">
        <v>130972462</v>
      </c>
      <c r="P788">
        <v>479</v>
      </c>
      <c r="Q788" t="s">
        <v>1620</v>
      </c>
    </row>
    <row r="789" spans="1:17" x14ac:dyDescent="0.3">
      <c r="A789" t="s">
        <v>17</v>
      </c>
      <c r="B789" t="str">
        <f>"600898"</f>
        <v>600898</v>
      </c>
      <c r="C789" t="s">
        <v>1621</v>
      </c>
      <c r="D789" t="s">
        <v>150</v>
      </c>
      <c r="F789">
        <v>-429766243</v>
      </c>
      <c r="G789">
        <v>215947743</v>
      </c>
      <c r="H789">
        <v>48924083</v>
      </c>
      <c r="I789">
        <v>-470345046</v>
      </c>
      <c r="J789">
        <v>-185718897</v>
      </c>
      <c r="K789">
        <v>35456743</v>
      </c>
      <c r="L789">
        <v>2760219</v>
      </c>
      <c r="M789">
        <v>-22423535</v>
      </c>
      <c r="N789">
        <v>-37903433</v>
      </c>
      <c r="O789">
        <v>27959711</v>
      </c>
      <c r="P789">
        <v>57</v>
      </c>
      <c r="Q789" t="s">
        <v>1622</v>
      </c>
    </row>
    <row r="790" spans="1:17" x14ac:dyDescent="0.3">
      <c r="A790" t="s">
        <v>17</v>
      </c>
      <c r="B790" t="str">
        <f>"600900"</f>
        <v>600900</v>
      </c>
      <c r="C790" t="s">
        <v>1623</v>
      </c>
      <c r="D790" t="s">
        <v>41</v>
      </c>
      <c r="F790">
        <v>19711462449</v>
      </c>
      <c r="G790">
        <v>25382618244</v>
      </c>
      <c r="H790">
        <v>24478833208</v>
      </c>
      <c r="I790">
        <v>25875836434</v>
      </c>
      <c r="J790">
        <v>25760902468</v>
      </c>
      <c r="K790">
        <v>25779180979</v>
      </c>
      <c r="L790">
        <v>11485162381</v>
      </c>
      <c r="M790">
        <v>13408636159</v>
      </c>
      <c r="N790">
        <v>13364802539</v>
      </c>
      <c r="O790">
        <v>12611164465</v>
      </c>
      <c r="P790">
        <v>5904</v>
      </c>
      <c r="Q790" t="s">
        <v>1624</v>
      </c>
    </row>
    <row r="791" spans="1:17" x14ac:dyDescent="0.3">
      <c r="A791" t="s">
        <v>17</v>
      </c>
      <c r="B791" t="str">
        <f>"600901"</f>
        <v>600901</v>
      </c>
      <c r="C791" t="s">
        <v>1625</v>
      </c>
      <c r="D791" t="s">
        <v>75</v>
      </c>
      <c r="F791">
        <v>3619358430</v>
      </c>
      <c r="G791">
        <v>1062970879</v>
      </c>
      <c r="H791">
        <v>1226740515</v>
      </c>
      <c r="I791">
        <v>-7777159258</v>
      </c>
      <c r="J791">
        <v>928658748</v>
      </c>
      <c r="P791">
        <v>475</v>
      </c>
      <c r="Q791" t="s">
        <v>1626</v>
      </c>
    </row>
    <row r="792" spans="1:17" x14ac:dyDescent="0.3">
      <c r="A792" t="s">
        <v>17</v>
      </c>
      <c r="B792" t="str">
        <f>"600903"</f>
        <v>600903</v>
      </c>
      <c r="C792" t="s">
        <v>1627</v>
      </c>
      <c r="D792" t="s">
        <v>41</v>
      </c>
      <c r="F792">
        <v>-76027574</v>
      </c>
      <c r="G792">
        <v>52915029</v>
      </c>
      <c r="H792">
        <v>193534422</v>
      </c>
      <c r="I792">
        <v>-127957917</v>
      </c>
      <c r="J792">
        <v>101608792</v>
      </c>
      <c r="K792">
        <v>-130433801</v>
      </c>
      <c r="P792">
        <v>186</v>
      </c>
      <c r="Q792" t="s">
        <v>1628</v>
      </c>
    </row>
    <row r="793" spans="1:17" x14ac:dyDescent="0.3">
      <c r="A793" t="s">
        <v>17</v>
      </c>
      <c r="B793" t="str">
        <f>"600905"</f>
        <v>600905</v>
      </c>
      <c r="C793" t="s">
        <v>1629</v>
      </c>
      <c r="D793" t="s">
        <v>41</v>
      </c>
      <c r="F793">
        <v>-14601399537</v>
      </c>
      <c r="G793">
        <v>-12032161901</v>
      </c>
      <c r="P793">
        <v>659</v>
      </c>
      <c r="Q793" t="s">
        <v>1630</v>
      </c>
    </row>
    <row r="794" spans="1:17" x14ac:dyDescent="0.3">
      <c r="A794" t="s">
        <v>17</v>
      </c>
      <c r="B794" t="str">
        <f>"600906"</f>
        <v>600906</v>
      </c>
      <c r="C794" t="s">
        <v>1631</v>
      </c>
      <c r="D794" t="s">
        <v>75</v>
      </c>
      <c r="F794">
        <v>-983111956</v>
      </c>
      <c r="P794">
        <v>131</v>
      </c>
      <c r="Q794" t="s">
        <v>1632</v>
      </c>
    </row>
    <row r="795" spans="1:17" x14ac:dyDescent="0.3">
      <c r="A795" t="s">
        <v>17</v>
      </c>
      <c r="B795" t="str">
        <f>"600908"</f>
        <v>600908</v>
      </c>
      <c r="C795" t="s">
        <v>1633</v>
      </c>
      <c r="D795" t="s">
        <v>19</v>
      </c>
      <c r="F795">
        <v>6221598000</v>
      </c>
      <c r="G795">
        <v>10311857000</v>
      </c>
      <c r="H795">
        <v>8066108000</v>
      </c>
      <c r="I795">
        <v>-3301429000</v>
      </c>
      <c r="J795">
        <v>3840688000</v>
      </c>
      <c r="K795">
        <v>-2774591480</v>
      </c>
      <c r="L795">
        <v>1146078950</v>
      </c>
      <c r="P795">
        <v>897</v>
      </c>
      <c r="Q795" t="s">
        <v>1634</v>
      </c>
    </row>
    <row r="796" spans="1:17" x14ac:dyDescent="0.3">
      <c r="A796" t="s">
        <v>17</v>
      </c>
      <c r="B796" t="str">
        <f>"600909"</f>
        <v>600909</v>
      </c>
      <c r="C796" t="s">
        <v>1635</v>
      </c>
      <c r="D796" t="s">
        <v>75</v>
      </c>
      <c r="F796">
        <v>-1927329039</v>
      </c>
      <c r="G796">
        <v>-1141325348</v>
      </c>
      <c r="H796">
        <v>3337325480</v>
      </c>
      <c r="I796">
        <v>-1282224122</v>
      </c>
      <c r="J796">
        <v>-840821225</v>
      </c>
      <c r="K796">
        <v>-4673228300</v>
      </c>
      <c r="L796">
        <v>9112332056.7700005</v>
      </c>
      <c r="P796">
        <v>832</v>
      </c>
      <c r="Q796" t="s">
        <v>1636</v>
      </c>
    </row>
    <row r="797" spans="1:17" x14ac:dyDescent="0.3">
      <c r="A797" t="s">
        <v>17</v>
      </c>
      <c r="B797" t="str">
        <f>"600916"</f>
        <v>600916</v>
      </c>
      <c r="C797" t="s">
        <v>1637</v>
      </c>
      <c r="D797" t="s">
        <v>227</v>
      </c>
      <c r="F797">
        <v>1065836493</v>
      </c>
      <c r="G797">
        <v>521315299</v>
      </c>
      <c r="H797">
        <v>92263810</v>
      </c>
      <c r="P797">
        <v>97</v>
      </c>
      <c r="Q797" t="s">
        <v>1638</v>
      </c>
    </row>
    <row r="798" spans="1:17" x14ac:dyDescent="0.3">
      <c r="A798" t="s">
        <v>17</v>
      </c>
      <c r="B798" t="str">
        <f>"600917"</f>
        <v>600917</v>
      </c>
      <c r="C798" t="s">
        <v>1639</v>
      </c>
      <c r="D798" t="s">
        <v>41</v>
      </c>
      <c r="F798">
        <v>263358713</v>
      </c>
      <c r="G798">
        <v>530894683</v>
      </c>
      <c r="H798">
        <v>269484965</v>
      </c>
      <c r="I798">
        <v>380129300</v>
      </c>
      <c r="J798">
        <v>164019189</v>
      </c>
      <c r="K798">
        <v>442111516</v>
      </c>
      <c r="L798">
        <v>298801326</v>
      </c>
      <c r="M798">
        <v>38502315</v>
      </c>
      <c r="N798">
        <v>236351021</v>
      </c>
      <c r="P798">
        <v>176</v>
      </c>
      <c r="Q798" t="s">
        <v>1640</v>
      </c>
    </row>
    <row r="799" spans="1:17" x14ac:dyDescent="0.3">
      <c r="A799" t="s">
        <v>17</v>
      </c>
      <c r="B799" t="str">
        <f>"600918"</f>
        <v>600918</v>
      </c>
      <c r="C799" t="s">
        <v>1641</v>
      </c>
      <c r="D799" t="s">
        <v>75</v>
      </c>
      <c r="F799">
        <v>4882221690</v>
      </c>
      <c r="G799">
        <v>-450657969</v>
      </c>
      <c r="H799">
        <v>11365716257</v>
      </c>
      <c r="I799">
        <v>6564870700</v>
      </c>
      <c r="J799">
        <v>-20993147200</v>
      </c>
      <c r="L799">
        <v>26692521800</v>
      </c>
      <c r="P799">
        <v>568</v>
      </c>
      <c r="Q799" t="s">
        <v>1642</v>
      </c>
    </row>
    <row r="800" spans="1:17" x14ac:dyDescent="0.3">
      <c r="A800" t="s">
        <v>17</v>
      </c>
      <c r="B800" t="str">
        <f>"600919"</f>
        <v>600919</v>
      </c>
      <c r="C800" t="s">
        <v>1643</v>
      </c>
      <c r="D800" t="s">
        <v>19</v>
      </c>
      <c r="F800">
        <v>81004070000</v>
      </c>
      <c r="G800">
        <v>13070220000</v>
      </c>
      <c r="H800">
        <v>-35863300000</v>
      </c>
      <c r="I800">
        <v>-74991044000</v>
      </c>
      <c r="J800">
        <v>-112643260000</v>
      </c>
      <c r="K800">
        <v>85237094000</v>
      </c>
      <c r="L800">
        <v>105896164000</v>
      </c>
      <c r="P800">
        <v>1465</v>
      </c>
      <c r="Q800" t="s">
        <v>1644</v>
      </c>
    </row>
    <row r="801" spans="1:17" x14ac:dyDescent="0.3">
      <c r="A801" t="s">
        <v>17</v>
      </c>
      <c r="B801" t="str">
        <f>"600926"</f>
        <v>600926</v>
      </c>
      <c r="C801" t="s">
        <v>1645</v>
      </c>
      <c r="D801" t="s">
        <v>19</v>
      </c>
      <c r="F801">
        <v>-47816043000</v>
      </c>
      <c r="G801">
        <v>-7238997000</v>
      </c>
      <c r="H801">
        <v>17821644000</v>
      </c>
      <c r="I801">
        <v>-28852220000</v>
      </c>
      <c r="J801">
        <v>58337220000</v>
      </c>
      <c r="K801">
        <v>51213167000</v>
      </c>
      <c r="L801">
        <v>20853778000</v>
      </c>
      <c r="P801">
        <v>1142</v>
      </c>
      <c r="Q801" t="s">
        <v>1646</v>
      </c>
    </row>
    <row r="802" spans="1:17" x14ac:dyDescent="0.3">
      <c r="A802" t="s">
        <v>17</v>
      </c>
      <c r="B802" t="str">
        <f>"600927"</f>
        <v>600927</v>
      </c>
      <c r="C802" t="s">
        <v>1647</v>
      </c>
      <c r="D802" t="s">
        <v>75</v>
      </c>
      <c r="F802">
        <v>6957144750</v>
      </c>
      <c r="G802">
        <v>357429312</v>
      </c>
      <c r="P802">
        <v>22</v>
      </c>
      <c r="Q802" t="s">
        <v>1648</v>
      </c>
    </row>
    <row r="803" spans="1:17" x14ac:dyDescent="0.3">
      <c r="A803" t="s">
        <v>17</v>
      </c>
      <c r="B803" t="str">
        <f>"600928"</f>
        <v>600928</v>
      </c>
      <c r="C803" t="s">
        <v>1649</v>
      </c>
      <c r="D803" t="s">
        <v>19</v>
      </c>
      <c r="F803">
        <v>735084000</v>
      </c>
      <c r="G803">
        <v>27788188000</v>
      </c>
      <c r="H803">
        <v>-1543636000</v>
      </c>
      <c r="I803">
        <v>-21925340000</v>
      </c>
      <c r="J803">
        <v>-21925340000</v>
      </c>
      <c r="P803">
        <v>410</v>
      </c>
      <c r="Q803" t="s">
        <v>1650</v>
      </c>
    </row>
    <row r="804" spans="1:17" x14ac:dyDescent="0.3">
      <c r="A804" t="s">
        <v>17</v>
      </c>
      <c r="B804" t="str">
        <f>"600929"</f>
        <v>600929</v>
      </c>
      <c r="C804" t="s">
        <v>1651</v>
      </c>
      <c r="D804" t="s">
        <v>133</v>
      </c>
      <c r="F804">
        <v>-192410084</v>
      </c>
      <c r="G804">
        <v>-133895427</v>
      </c>
      <c r="H804">
        <v>10579581</v>
      </c>
      <c r="I804">
        <v>-35102550</v>
      </c>
      <c r="J804">
        <v>-55185984</v>
      </c>
      <c r="P804">
        <v>133</v>
      </c>
      <c r="Q804" t="s">
        <v>1652</v>
      </c>
    </row>
    <row r="805" spans="1:17" x14ac:dyDescent="0.3">
      <c r="A805" t="s">
        <v>17</v>
      </c>
      <c r="B805" t="str">
        <f>"600933"</f>
        <v>600933</v>
      </c>
      <c r="C805" t="s">
        <v>1653</v>
      </c>
      <c r="D805" t="s">
        <v>27</v>
      </c>
      <c r="F805">
        <v>-496258140</v>
      </c>
      <c r="G805">
        <v>161067314</v>
      </c>
      <c r="H805">
        <v>499018955</v>
      </c>
      <c r="I805">
        <v>-102934122</v>
      </c>
      <c r="J805">
        <v>94652390</v>
      </c>
      <c r="K805">
        <v>112940926</v>
      </c>
      <c r="P805">
        <v>177</v>
      </c>
      <c r="Q805" t="s">
        <v>1654</v>
      </c>
    </row>
    <row r="806" spans="1:17" x14ac:dyDescent="0.3">
      <c r="A806" t="s">
        <v>17</v>
      </c>
      <c r="B806" t="str">
        <f>"600935"</f>
        <v>600935</v>
      </c>
      <c r="C806" t="s">
        <v>1655</v>
      </c>
      <c r="D806" t="s">
        <v>133</v>
      </c>
      <c r="F806">
        <v>768805561</v>
      </c>
      <c r="G806">
        <v>648810971</v>
      </c>
      <c r="P806">
        <v>16</v>
      </c>
      <c r="Q806" t="s">
        <v>1656</v>
      </c>
    </row>
    <row r="807" spans="1:17" x14ac:dyDescent="0.3">
      <c r="A807" t="s">
        <v>17</v>
      </c>
      <c r="B807" t="str">
        <f>"600936"</f>
        <v>600936</v>
      </c>
      <c r="C807" t="s">
        <v>1657</v>
      </c>
      <c r="D807" t="s">
        <v>89</v>
      </c>
      <c r="F807">
        <v>-638132026</v>
      </c>
      <c r="G807">
        <v>-859574932</v>
      </c>
      <c r="H807">
        <v>-537483035</v>
      </c>
      <c r="I807">
        <v>-757556322</v>
      </c>
      <c r="J807">
        <v>-713851260</v>
      </c>
      <c r="K807">
        <v>-380187971</v>
      </c>
      <c r="L807">
        <v>-179405331</v>
      </c>
      <c r="P807">
        <v>80</v>
      </c>
      <c r="Q807" t="s">
        <v>1658</v>
      </c>
    </row>
    <row r="808" spans="1:17" x14ac:dyDescent="0.3">
      <c r="A808" t="s">
        <v>17</v>
      </c>
      <c r="B808" t="str">
        <f>"600939"</f>
        <v>600939</v>
      </c>
      <c r="C808" t="s">
        <v>1659</v>
      </c>
      <c r="D808" t="s">
        <v>95</v>
      </c>
      <c r="F808">
        <v>-1748799356</v>
      </c>
      <c r="G808">
        <v>-77773495</v>
      </c>
      <c r="H808">
        <v>257051920</v>
      </c>
      <c r="I808">
        <v>354692463</v>
      </c>
      <c r="J808">
        <v>351622360</v>
      </c>
      <c r="K808">
        <v>-450760836</v>
      </c>
      <c r="L808">
        <v>355009776</v>
      </c>
      <c r="P808">
        <v>125</v>
      </c>
      <c r="Q808" t="s">
        <v>1660</v>
      </c>
    </row>
    <row r="809" spans="1:17" x14ac:dyDescent="0.3">
      <c r="A809" t="s">
        <v>17</v>
      </c>
      <c r="B809" t="str">
        <f>"600941"</f>
        <v>600941</v>
      </c>
      <c r="C809" t="s">
        <v>1661</v>
      </c>
      <c r="D809" t="s">
        <v>100</v>
      </c>
      <c r="F809">
        <v>121614000000</v>
      </c>
      <c r="G809">
        <v>109485000000</v>
      </c>
      <c r="P809">
        <v>115</v>
      </c>
      <c r="Q809" t="s">
        <v>1662</v>
      </c>
    </row>
    <row r="810" spans="1:17" x14ac:dyDescent="0.3">
      <c r="A810" t="s">
        <v>17</v>
      </c>
      <c r="B810" t="str">
        <f>"600955"</f>
        <v>600955</v>
      </c>
      <c r="C810" t="s">
        <v>1663</v>
      </c>
      <c r="D810" t="s">
        <v>133</v>
      </c>
      <c r="F810">
        <v>1815015243</v>
      </c>
      <c r="P810">
        <v>47</v>
      </c>
      <c r="Q810" t="s">
        <v>1664</v>
      </c>
    </row>
    <row r="811" spans="1:17" x14ac:dyDescent="0.3">
      <c r="A811" t="s">
        <v>17</v>
      </c>
      <c r="B811" t="str">
        <f>"600956"</f>
        <v>600956</v>
      </c>
      <c r="C811" t="s">
        <v>1665</v>
      </c>
      <c r="D811" t="s">
        <v>41</v>
      </c>
      <c r="F811">
        <v>-2364505026</v>
      </c>
      <c r="G811">
        <v>-4510952855</v>
      </c>
      <c r="H811">
        <v>-1022217074</v>
      </c>
      <c r="P811">
        <v>204</v>
      </c>
      <c r="Q811" t="s">
        <v>1666</v>
      </c>
    </row>
    <row r="812" spans="1:17" x14ac:dyDescent="0.3">
      <c r="A812" t="s">
        <v>17</v>
      </c>
      <c r="B812" t="str">
        <f>"600958"</f>
        <v>600958</v>
      </c>
      <c r="C812" t="s">
        <v>1667</v>
      </c>
      <c r="D812" t="s">
        <v>75</v>
      </c>
      <c r="F812">
        <v>25748686996</v>
      </c>
      <c r="G812">
        <v>14893955131</v>
      </c>
      <c r="H812">
        <v>12104730227</v>
      </c>
      <c r="I812">
        <v>7552158902</v>
      </c>
      <c r="J812">
        <v>-15820496464</v>
      </c>
      <c r="K812">
        <v>-22403534551</v>
      </c>
      <c r="L812">
        <v>5599707772</v>
      </c>
      <c r="M812">
        <v>-4371606287.7600002</v>
      </c>
      <c r="P812">
        <v>1248</v>
      </c>
      <c r="Q812" t="s">
        <v>1668</v>
      </c>
    </row>
    <row r="813" spans="1:17" x14ac:dyDescent="0.3">
      <c r="A813" t="s">
        <v>17</v>
      </c>
      <c r="B813" t="str">
        <f>"600959"</f>
        <v>600959</v>
      </c>
      <c r="C813" t="s">
        <v>1669</v>
      </c>
      <c r="D813" t="s">
        <v>89</v>
      </c>
      <c r="F813">
        <v>-156626268</v>
      </c>
      <c r="G813">
        <v>358500496</v>
      </c>
      <c r="H813">
        <v>176841378</v>
      </c>
      <c r="I813">
        <v>-206509060</v>
      </c>
      <c r="J813">
        <v>-424136068</v>
      </c>
      <c r="K813">
        <v>268848230</v>
      </c>
      <c r="L813">
        <v>281089524</v>
      </c>
      <c r="M813">
        <v>338651946</v>
      </c>
      <c r="P813">
        <v>150</v>
      </c>
      <c r="Q813" t="s">
        <v>1670</v>
      </c>
    </row>
    <row r="814" spans="1:17" x14ac:dyDescent="0.3">
      <c r="A814" t="s">
        <v>17</v>
      </c>
      <c r="B814" t="str">
        <f>"600960"</f>
        <v>600960</v>
      </c>
      <c r="C814" t="s">
        <v>1671</v>
      </c>
      <c r="D814" t="s">
        <v>27</v>
      </c>
      <c r="F814">
        <v>-53224414</v>
      </c>
      <c r="G814">
        <v>-150696782</v>
      </c>
      <c r="H814">
        <v>6666503</v>
      </c>
      <c r="I814">
        <v>-444257985</v>
      </c>
      <c r="J814">
        <v>-329805418</v>
      </c>
      <c r="K814">
        <v>142202793</v>
      </c>
      <c r="L814">
        <v>3173245</v>
      </c>
      <c r="M814">
        <v>-194259669</v>
      </c>
      <c r="N814">
        <v>-20660062</v>
      </c>
      <c r="O814">
        <v>85186426</v>
      </c>
      <c r="P814">
        <v>91</v>
      </c>
      <c r="Q814" t="s">
        <v>1672</v>
      </c>
    </row>
    <row r="815" spans="1:17" x14ac:dyDescent="0.3">
      <c r="A815" t="s">
        <v>17</v>
      </c>
      <c r="B815" t="str">
        <f>"600961"</f>
        <v>600961</v>
      </c>
      <c r="C815" t="s">
        <v>1673</v>
      </c>
      <c r="D815" t="s">
        <v>234</v>
      </c>
      <c r="F815">
        <v>340322849</v>
      </c>
      <c r="G815">
        <v>326492843</v>
      </c>
      <c r="H815">
        <v>-733474561</v>
      </c>
      <c r="I815">
        <v>-732918192</v>
      </c>
      <c r="J815">
        <v>225553639</v>
      </c>
      <c r="K815">
        <v>12725303</v>
      </c>
      <c r="L815">
        <v>-325016131</v>
      </c>
      <c r="M815">
        <v>-83472655</v>
      </c>
      <c r="N815">
        <v>-139174177</v>
      </c>
      <c r="O815">
        <v>360500963</v>
      </c>
      <c r="P815">
        <v>127</v>
      </c>
      <c r="Q815" t="s">
        <v>1674</v>
      </c>
    </row>
    <row r="816" spans="1:17" x14ac:dyDescent="0.3">
      <c r="A816" t="s">
        <v>17</v>
      </c>
      <c r="B816" t="str">
        <f>"600962"</f>
        <v>600962</v>
      </c>
      <c r="C816" t="s">
        <v>1675</v>
      </c>
      <c r="D816" t="s">
        <v>205</v>
      </c>
      <c r="F816">
        <v>386023155</v>
      </c>
      <c r="G816">
        <v>424124258</v>
      </c>
      <c r="H816">
        <v>149257509</v>
      </c>
      <c r="I816">
        <v>291963731</v>
      </c>
      <c r="J816">
        <v>266534365</v>
      </c>
      <c r="K816">
        <v>345145242</v>
      </c>
      <c r="L816">
        <v>309032056</v>
      </c>
      <c r="M816">
        <v>305855524</v>
      </c>
      <c r="N816">
        <v>480769956</v>
      </c>
      <c r="O816">
        <v>405257307</v>
      </c>
      <c r="P816">
        <v>94</v>
      </c>
      <c r="Q816" t="s">
        <v>1676</v>
      </c>
    </row>
    <row r="817" spans="1:17" x14ac:dyDescent="0.3">
      <c r="A817" t="s">
        <v>17</v>
      </c>
      <c r="B817" t="str">
        <f>"600963"</f>
        <v>600963</v>
      </c>
      <c r="C817" t="s">
        <v>1677</v>
      </c>
      <c r="D817" t="s">
        <v>161</v>
      </c>
      <c r="F817">
        <v>45832574</v>
      </c>
      <c r="G817">
        <v>360440379</v>
      </c>
      <c r="H817">
        <v>265048737</v>
      </c>
      <c r="I817">
        <v>628725263</v>
      </c>
      <c r="J817">
        <v>915259875</v>
      </c>
      <c r="K817">
        <v>678875877</v>
      </c>
      <c r="L817">
        <v>702275369</v>
      </c>
      <c r="M817">
        <v>1169111974</v>
      </c>
      <c r="N817">
        <v>247648556</v>
      </c>
      <c r="O817">
        <v>-159434451</v>
      </c>
      <c r="P817">
        <v>201</v>
      </c>
      <c r="Q817" t="s">
        <v>1678</v>
      </c>
    </row>
    <row r="818" spans="1:17" x14ac:dyDescent="0.3">
      <c r="A818" t="s">
        <v>17</v>
      </c>
      <c r="B818" t="str">
        <f>"600965"</f>
        <v>600965</v>
      </c>
      <c r="C818" t="s">
        <v>1679</v>
      </c>
      <c r="D818" t="s">
        <v>205</v>
      </c>
      <c r="F818">
        <v>6993761</v>
      </c>
      <c r="G818">
        <v>133255073</v>
      </c>
      <c r="H818">
        <v>75032124</v>
      </c>
      <c r="I818">
        <v>126025260</v>
      </c>
      <c r="J818">
        <v>76665296</v>
      </c>
      <c r="K818">
        <v>138852523</v>
      </c>
      <c r="L818">
        <v>189006184</v>
      </c>
      <c r="M818">
        <v>-706866</v>
      </c>
      <c r="N818">
        <v>61309811</v>
      </c>
      <c r="O818">
        <v>23030013</v>
      </c>
      <c r="P818">
        <v>113</v>
      </c>
      <c r="Q818" t="s">
        <v>1680</v>
      </c>
    </row>
    <row r="819" spans="1:17" x14ac:dyDescent="0.3">
      <c r="A819" t="s">
        <v>17</v>
      </c>
      <c r="B819" t="str">
        <f>"600966"</f>
        <v>600966</v>
      </c>
      <c r="C819" t="s">
        <v>1681</v>
      </c>
      <c r="D819" t="s">
        <v>161</v>
      </c>
      <c r="F819">
        <v>2543336927</v>
      </c>
      <c r="G819">
        <v>1820672617</v>
      </c>
      <c r="H819">
        <v>318158477</v>
      </c>
      <c r="I819">
        <v>-164041254</v>
      </c>
      <c r="J819">
        <v>116152638</v>
      </c>
      <c r="K819">
        <v>486874185</v>
      </c>
      <c r="L819">
        <v>271901417</v>
      </c>
      <c r="M819">
        <v>113378148</v>
      </c>
      <c r="N819">
        <v>-385881969</v>
      </c>
      <c r="O819">
        <v>-1864399866</v>
      </c>
      <c r="P819">
        <v>396</v>
      </c>
      <c r="Q819" t="s">
        <v>1682</v>
      </c>
    </row>
    <row r="820" spans="1:17" x14ac:dyDescent="0.3">
      <c r="A820" t="s">
        <v>17</v>
      </c>
      <c r="B820" t="str">
        <f>"600967"</f>
        <v>600967</v>
      </c>
      <c r="C820" t="s">
        <v>1683</v>
      </c>
      <c r="D820" t="s">
        <v>92</v>
      </c>
      <c r="F820">
        <v>-4603869949</v>
      </c>
      <c r="G820">
        <v>-1687154503</v>
      </c>
      <c r="H820">
        <v>357878721</v>
      </c>
      <c r="I820">
        <v>1571176388</v>
      </c>
      <c r="J820">
        <v>-61000657</v>
      </c>
      <c r="K820">
        <v>-141216911</v>
      </c>
      <c r="L820">
        <v>-411713416</v>
      </c>
      <c r="M820">
        <v>-130307611</v>
      </c>
      <c r="N820">
        <v>-129570536</v>
      </c>
      <c r="O820">
        <v>-55357989</v>
      </c>
      <c r="P820">
        <v>286</v>
      </c>
      <c r="Q820" t="s">
        <v>1684</v>
      </c>
    </row>
    <row r="821" spans="1:17" x14ac:dyDescent="0.3">
      <c r="A821" t="s">
        <v>17</v>
      </c>
      <c r="B821" t="str">
        <f>"600968"</f>
        <v>600968</v>
      </c>
      <c r="C821" t="s">
        <v>1685</v>
      </c>
      <c r="D821" t="s">
        <v>70</v>
      </c>
      <c r="F821">
        <v>631550018</v>
      </c>
      <c r="G821">
        <v>329392068</v>
      </c>
      <c r="H821">
        <v>78983366</v>
      </c>
      <c r="I821">
        <v>847766544</v>
      </c>
      <c r="P821">
        <v>189</v>
      </c>
      <c r="Q821" t="s">
        <v>1686</v>
      </c>
    </row>
    <row r="822" spans="1:17" x14ac:dyDescent="0.3">
      <c r="A822" t="s">
        <v>17</v>
      </c>
      <c r="B822" t="str">
        <f>"600969"</f>
        <v>600969</v>
      </c>
      <c r="C822" t="s">
        <v>1687</v>
      </c>
      <c r="D822" t="s">
        <v>41</v>
      </c>
      <c r="F822">
        <v>-364377791</v>
      </c>
      <c r="G822">
        <v>-522595830</v>
      </c>
      <c r="H822">
        <v>-132296404</v>
      </c>
      <c r="I822">
        <v>-252002828</v>
      </c>
      <c r="J822">
        <v>-79365394</v>
      </c>
      <c r="K822">
        <v>-410251663</v>
      </c>
      <c r="L822">
        <v>-125458372</v>
      </c>
      <c r="M822">
        <v>-57563972</v>
      </c>
      <c r="N822">
        <v>-57508481</v>
      </c>
      <c r="O822">
        <v>-294200615</v>
      </c>
      <c r="P822">
        <v>77</v>
      </c>
      <c r="Q822" t="s">
        <v>1688</v>
      </c>
    </row>
    <row r="823" spans="1:17" x14ac:dyDescent="0.3">
      <c r="A823" t="s">
        <v>17</v>
      </c>
      <c r="B823" t="str">
        <f>"600970"</f>
        <v>600970</v>
      </c>
      <c r="C823" t="s">
        <v>1689</v>
      </c>
      <c r="D823" t="s">
        <v>95</v>
      </c>
      <c r="F823">
        <v>-842236623</v>
      </c>
      <c r="G823">
        <v>-219338599</v>
      </c>
      <c r="H823">
        <v>-517332139</v>
      </c>
      <c r="I823">
        <v>-2303145508</v>
      </c>
      <c r="J823">
        <v>24122860</v>
      </c>
      <c r="K823">
        <v>1331239976</v>
      </c>
      <c r="L823">
        <v>760375543</v>
      </c>
      <c r="M823">
        <v>477838059</v>
      </c>
      <c r="N823">
        <v>-407736689</v>
      </c>
      <c r="O823">
        <v>317141326</v>
      </c>
      <c r="P823">
        <v>853</v>
      </c>
      <c r="Q823" t="s">
        <v>1690</v>
      </c>
    </row>
    <row r="824" spans="1:17" x14ac:dyDescent="0.3">
      <c r="A824" t="s">
        <v>17</v>
      </c>
      <c r="B824" t="str">
        <f>"600971"</f>
        <v>600971</v>
      </c>
      <c r="C824" t="s">
        <v>1691</v>
      </c>
      <c r="D824" t="s">
        <v>257</v>
      </c>
      <c r="F824">
        <v>939723837</v>
      </c>
      <c r="G824">
        <v>803814793</v>
      </c>
      <c r="H824">
        <v>309122652</v>
      </c>
      <c r="I824">
        <v>1048362885</v>
      </c>
      <c r="J824">
        <v>1410518756</v>
      </c>
      <c r="K824">
        <v>1568494310</v>
      </c>
      <c r="L824">
        <v>-751487690</v>
      </c>
      <c r="M824">
        <v>-420851238</v>
      </c>
      <c r="N824">
        <v>-618401128</v>
      </c>
      <c r="O824">
        <v>217769615</v>
      </c>
      <c r="P824">
        <v>1522</v>
      </c>
      <c r="Q824" t="s">
        <v>1692</v>
      </c>
    </row>
    <row r="825" spans="1:17" x14ac:dyDescent="0.3">
      <c r="A825" t="s">
        <v>17</v>
      </c>
      <c r="B825" t="str">
        <f>"600973"</f>
        <v>600973</v>
      </c>
      <c r="C825" t="s">
        <v>1693</v>
      </c>
      <c r="D825" t="s">
        <v>188</v>
      </c>
      <c r="F825">
        <v>-999752911</v>
      </c>
      <c r="G825">
        <v>-1458702379</v>
      </c>
      <c r="H825">
        <v>-620443510</v>
      </c>
      <c r="I825">
        <v>1441229952</v>
      </c>
      <c r="J825">
        <v>-4638589473</v>
      </c>
      <c r="K825">
        <v>-61672965</v>
      </c>
      <c r="L825">
        <v>568746721</v>
      </c>
      <c r="M825">
        <v>-575940116</v>
      </c>
      <c r="N825">
        <v>-1189522752</v>
      </c>
      <c r="O825">
        <v>-284207491</v>
      </c>
      <c r="P825">
        <v>116</v>
      </c>
      <c r="Q825" t="s">
        <v>1694</v>
      </c>
    </row>
    <row r="826" spans="1:17" x14ac:dyDescent="0.3">
      <c r="A826" t="s">
        <v>17</v>
      </c>
      <c r="B826" t="str">
        <f>"600975"</f>
        <v>600975</v>
      </c>
      <c r="C826" t="s">
        <v>1695</v>
      </c>
      <c r="D826" t="s">
        <v>205</v>
      </c>
      <c r="F826">
        <v>-588110465</v>
      </c>
      <c r="G826">
        <v>-39233333</v>
      </c>
      <c r="H826">
        <v>-185208398</v>
      </c>
      <c r="I826">
        <v>-107468672</v>
      </c>
      <c r="J826">
        <v>140014850</v>
      </c>
      <c r="K826">
        <v>74748584</v>
      </c>
      <c r="L826">
        <v>-16706579</v>
      </c>
      <c r="M826">
        <v>-94203668</v>
      </c>
      <c r="N826">
        <v>-143382501</v>
      </c>
      <c r="O826">
        <v>-41035718</v>
      </c>
      <c r="P826">
        <v>305</v>
      </c>
      <c r="Q826" t="s">
        <v>1696</v>
      </c>
    </row>
    <row r="827" spans="1:17" x14ac:dyDescent="0.3">
      <c r="A827" t="s">
        <v>17</v>
      </c>
      <c r="B827" t="str">
        <f>"600976"</f>
        <v>600976</v>
      </c>
      <c r="C827" t="s">
        <v>1697</v>
      </c>
      <c r="D827" t="s">
        <v>113</v>
      </c>
      <c r="F827">
        <v>151514584</v>
      </c>
      <c r="G827">
        <v>33366392</v>
      </c>
      <c r="H827">
        <v>-55255355</v>
      </c>
      <c r="I827">
        <v>-1182340</v>
      </c>
      <c r="J827">
        <v>-59322460</v>
      </c>
      <c r="K827">
        <v>-14414072</v>
      </c>
      <c r="L827">
        <v>-48128550</v>
      </c>
      <c r="M827">
        <v>11339379</v>
      </c>
      <c r="N827">
        <v>-1158814</v>
      </c>
      <c r="O827">
        <v>34410777</v>
      </c>
      <c r="P827">
        <v>250</v>
      </c>
      <c r="Q827" t="s">
        <v>1698</v>
      </c>
    </row>
    <row r="828" spans="1:17" x14ac:dyDescent="0.3">
      <c r="A828" t="s">
        <v>17</v>
      </c>
      <c r="B828" t="str">
        <f>"600977"</f>
        <v>600977</v>
      </c>
      <c r="C828" t="s">
        <v>1699</v>
      </c>
      <c r="D828" t="s">
        <v>89</v>
      </c>
      <c r="F828">
        <v>969468033</v>
      </c>
      <c r="G828">
        <v>-1037562951</v>
      </c>
      <c r="H828">
        <v>1207158109</v>
      </c>
      <c r="I828">
        <v>1641768008</v>
      </c>
      <c r="J828">
        <v>2805487921</v>
      </c>
      <c r="K828">
        <v>54248836</v>
      </c>
      <c r="L828">
        <v>1214849995</v>
      </c>
      <c r="P828">
        <v>554</v>
      </c>
      <c r="Q828" t="s">
        <v>1700</v>
      </c>
    </row>
    <row r="829" spans="1:17" x14ac:dyDescent="0.3">
      <c r="A829" t="s">
        <v>17</v>
      </c>
      <c r="B829" t="str">
        <f>"600978"</f>
        <v>600978</v>
      </c>
      <c r="C829" t="s">
        <v>1701</v>
      </c>
      <c r="G829">
        <v>-58080915</v>
      </c>
      <c r="H829">
        <v>-74571953</v>
      </c>
      <c r="I829">
        <v>527867033</v>
      </c>
      <c r="J829">
        <v>779420351</v>
      </c>
      <c r="K829">
        <v>771609052</v>
      </c>
      <c r="L829">
        <v>580016675</v>
      </c>
      <c r="M829">
        <v>70024513</v>
      </c>
      <c r="N829">
        <v>212746887</v>
      </c>
      <c r="O829">
        <v>247247999</v>
      </c>
      <c r="P829">
        <v>167</v>
      </c>
      <c r="Q829" t="s">
        <v>1702</v>
      </c>
    </row>
    <row r="830" spans="1:17" x14ac:dyDescent="0.3">
      <c r="A830" t="s">
        <v>17</v>
      </c>
      <c r="B830" t="str">
        <f>"600979"</f>
        <v>600979</v>
      </c>
      <c r="C830" t="s">
        <v>1703</v>
      </c>
      <c r="D830" t="s">
        <v>41</v>
      </c>
      <c r="F830">
        <v>140699746</v>
      </c>
      <c r="G830">
        <v>206134758</v>
      </c>
      <c r="H830">
        <v>-55843468</v>
      </c>
      <c r="I830">
        <v>-85313477</v>
      </c>
      <c r="J830">
        <v>215818884</v>
      </c>
      <c r="K830">
        <v>-128618811</v>
      </c>
      <c r="L830">
        <v>23674533</v>
      </c>
      <c r="M830">
        <v>-73467361</v>
      </c>
      <c r="N830">
        <v>22231447</v>
      </c>
      <c r="O830">
        <v>-80872030</v>
      </c>
      <c r="P830">
        <v>117</v>
      </c>
      <c r="Q830" t="s">
        <v>1704</v>
      </c>
    </row>
    <row r="831" spans="1:17" x14ac:dyDescent="0.3">
      <c r="A831" t="s">
        <v>17</v>
      </c>
      <c r="B831" t="str">
        <f>"600980"</f>
        <v>600980</v>
      </c>
      <c r="C831" t="s">
        <v>1705</v>
      </c>
      <c r="D831" t="s">
        <v>234</v>
      </c>
      <c r="F831">
        <v>22571317</v>
      </c>
      <c r="G831">
        <v>8898557</v>
      </c>
      <c r="H831">
        <v>37657273</v>
      </c>
      <c r="I831">
        <v>-32496660</v>
      </c>
      <c r="J831">
        <v>54687557</v>
      </c>
      <c r="K831">
        <v>-33821372</v>
      </c>
      <c r="L831">
        <v>-50750088</v>
      </c>
      <c r="M831">
        <v>-11144174</v>
      </c>
      <c r="N831">
        <v>12666845</v>
      </c>
      <c r="O831">
        <v>-20452272</v>
      </c>
      <c r="P831">
        <v>97</v>
      </c>
      <c r="Q831" t="s">
        <v>1706</v>
      </c>
    </row>
    <row r="832" spans="1:17" x14ac:dyDescent="0.3">
      <c r="A832" t="s">
        <v>17</v>
      </c>
      <c r="B832" t="str">
        <f>"600981"</f>
        <v>600981</v>
      </c>
      <c r="C832" t="s">
        <v>1707</v>
      </c>
      <c r="D832" t="s">
        <v>120</v>
      </c>
      <c r="F832">
        <v>377330725</v>
      </c>
      <c r="G832">
        <v>-348843179</v>
      </c>
      <c r="H832">
        <v>-337762558</v>
      </c>
      <c r="I832">
        <v>-649053153</v>
      </c>
      <c r="J832">
        <v>159727571</v>
      </c>
      <c r="K832">
        <v>721337449</v>
      </c>
      <c r="L832">
        <v>-558382513</v>
      </c>
      <c r="M832">
        <v>-86328550</v>
      </c>
      <c r="N832">
        <v>94798272</v>
      </c>
      <c r="O832">
        <v>-428058986</v>
      </c>
      <c r="P832">
        <v>99</v>
      </c>
      <c r="Q832" t="s">
        <v>1708</v>
      </c>
    </row>
    <row r="833" spans="1:17" x14ac:dyDescent="0.3">
      <c r="A833" t="s">
        <v>17</v>
      </c>
      <c r="B833" t="str">
        <f>"600982"</f>
        <v>600982</v>
      </c>
      <c r="C833" t="s">
        <v>1709</v>
      </c>
      <c r="D833" t="s">
        <v>41</v>
      </c>
      <c r="F833">
        <v>-130619042</v>
      </c>
      <c r="G833">
        <v>147242490</v>
      </c>
      <c r="H833">
        <v>281154558</v>
      </c>
      <c r="I833">
        <v>-92626048</v>
      </c>
      <c r="J833">
        <v>20714764</v>
      </c>
      <c r="K833">
        <v>-281025018</v>
      </c>
      <c r="L833">
        <v>-127248266</v>
      </c>
      <c r="M833">
        <v>-121374853</v>
      </c>
      <c r="N833">
        <v>145933055</v>
      </c>
      <c r="O833">
        <v>-56672716</v>
      </c>
      <c r="P833">
        <v>135</v>
      </c>
      <c r="Q833" t="s">
        <v>1710</v>
      </c>
    </row>
    <row r="834" spans="1:17" x14ac:dyDescent="0.3">
      <c r="A834" t="s">
        <v>17</v>
      </c>
      <c r="B834" t="str">
        <f>"600983"</f>
        <v>600983</v>
      </c>
      <c r="C834" t="s">
        <v>1711</v>
      </c>
      <c r="D834" t="s">
        <v>126</v>
      </c>
      <c r="F834">
        <v>-312805808</v>
      </c>
      <c r="G834">
        <v>-1183609138</v>
      </c>
      <c r="H834">
        <v>-760415685</v>
      </c>
      <c r="I834">
        <v>-714439361</v>
      </c>
      <c r="J834">
        <v>-88361100</v>
      </c>
      <c r="K834">
        <v>635681637</v>
      </c>
      <c r="L834">
        <v>-172082533</v>
      </c>
      <c r="M834">
        <v>-241225932</v>
      </c>
      <c r="N834">
        <v>221839051</v>
      </c>
      <c r="O834">
        <v>280390355</v>
      </c>
      <c r="P834">
        <v>128</v>
      </c>
      <c r="Q834" t="s">
        <v>1712</v>
      </c>
    </row>
    <row r="835" spans="1:17" x14ac:dyDescent="0.3">
      <c r="A835" t="s">
        <v>17</v>
      </c>
      <c r="B835" t="str">
        <f>"600984"</f>
        <v>600984</v>
      </c>
      <c r="C835" t="s">
        <v>1713</v>
      </c>
      <c r="D835" t="s">
        <v>78</v>
      </c>
      <c r="F835">
        <v>-2017545051</v>
      </c>
      <c r="G835">
        <v>-1334305537</v>
      </c>
      <c r="H835">
        <v>187377110</v>
      </c>
      <c r="I835">
        <v>169797803</v>
      </c>
      <c r="J835">
        <v>-180201850</v>
      </c>
      <c r="K835">
        <v>-62621781</v>
      </c>
      <c r="L835">
        <v>20611663</v>
      </c>
      <c r="M835">
        <v>-54001031</v>
      </c>
      <c r="N835">
        <v>-117490488</v>
      </c>
      <c r="O835">
        <v>-68624889</v>
      </c>
      <c r="P835">
        <v>279</v>
      </c>
      <c r="Q835" t="s">
        <v>1714</v>
      </c>
    </row>
    <row r="836" spans="1:17" x14ac:dyDescent="0.3">
      <c r="A836" t="s">
        <v>17</v>
      </c>
      <c r="B836" t="str">
        <f>"600985"</f>
        <v>600985</v>
      </c>
      <c r="C836" t="s">
        <v>1715</v>
      </c>
      <c r="D836" t="s">
        <v>257</v>
      </c>
      <c r="F836">
        <v>3974016914</v>
      </c>
      <c r="G836">
        <v>1979314006</v>
      </c>
      <c r="H836">
        <v>4431928577</v>
      </c>
      <c r="I836">
        <v>4745236367</v>
      </c>
      <c r="J836">
        <v>41471886</v>
      </c>
      <c r="K836">
        <v>-268237560</v>
      </c>
      <c r="L836">
        <v>-88629242</v>
      </c>
      <c r="M836">
        <v>17174525</v>
      </c>
      <c r="N836">
        <v>6828614</v>
      </c>
      <c r="O836">
        <v>-14528168</v>
      </c>
      <c r="P836">
        <v>1009</v>
      </c>
      <c r="Q836" t="s">
        <v>1716</v>
      </c>
    </row>
    <row r="837" spans="1:17" x14ac:dyDescent="0.3">
      <c r="A837" t="s">
        <v>17</v>
      </c>
      <c r="B837" t="str">
        <f>"600986"</f>
        <v>600986</v>
      </c>
      <c r="C837" t="s">
        <v>1717</v>
      </c>
      <c r="D837" t="s">
        <v>89</v>
      </c>
      <c r="F837">
        <v>-634200365</v>
      </c>
      <c r="G837">
        <v>77578511</v>
      </c>
      <c r="H837">
        <v>-60917445</v>
      </c>
      <c r="I837">
        <v>-137998536</v>
      </c>
      <c r="J837">
        <v>-201782589</v>
      </c>
      <c r="K837">
        <v>380652299</v>
      </c>
      <c r="L837">
        <v>160511098</v>
      </c>
      <c r="M837">
        <v>81559542</v>
      </c>
      <c r="N837">
        <v>-542968165</v>
      </c>
      <c r="O837">
        <v>24382259</v>
      </c>
      <c r="P837">
        <v>239</v>
      </c>
      <c r="Q837" t="s">
        <v>1718</v>
      </c>
    </row>
    <row r="838" spans="1:17" x14ac:dyDescent="0.3">
      <c r="A838" t="s">
        <v>17</v>
      </c>
      <c r="B838" t="str">
        <f>"600987"</f>
        <v>600987</v>
      </c>
      <c r="C838" t="s">
        <v>1719</v>
      </c>
      <c r="D838" t="s">
        <v>227</v>
      </c>
      <c r="F838">
        <v>164826453</v>
      </c>
      <c r="G838">
        <v>686510411</v>
      </c>
      <c r="H838">
        <v>347379786</v>
      </c>
      <c r="I838">
        <v>345293459</v>
      </c>
      <c r="J838">
        <v>241185264</v>
      </c>
      <c r="K838">
        <v>383557375</v>
      </c>
      <c r="L838">
        <v>280248101</v>
      </c>
      <c r="M838">
        <v>353835864</v>
      </c>
      <c r="N838">
        <v>276419066</v>
      </c>
      <c r="O838">
        <v>79341105</v>
      </c>
      <c r="P838">
        <v>4845</v>
      </c>
      <c r="Q838" t="s">
        <v>1720</v>
      </c>
    </row>
    <row r="839" spans="1:17" x14ac:dyDescent="0.3">
      <c r="A839" t="s">
        <v>17</v>
      </c>
      <c r="B839" t="str">
        <f>"600988"</f>
        <v>600988</v>
      </c>
      <c r="C839" t="s">
        <v>1721</v>
      </c>
      <c r="D839" t="s">
        <v>234</v>
      </c>
      <c r="F839">
        <v>-82024355</v>
      </c>
      <c r="G839">
        <v>205465620</v>
      </c>
      <c r="H839">
        <v>312877576</v>
      </c>
      <c r="I839">
        <v>166520253</v>
      </c>
      <c r="J839">
        <v>-756289276</v>
      </c>
      <c r="K839">
        <v>-401238537</v>
      </c>
      <c r="L839">
        <v>-203302431</v>
      </c>
      <c r="M839">
        <v>-19341142</v>
      </c>
      <c r="N839">
        <v>163454385</v>
      </c>
      <c r="O839">
        <v>2861495</v>
      </c>
      <c r="P839">
        <v>487</v>
      </c>
      <c r="Q839" t="s">
        <v>1722</v>
      </c>
    </row>
    <row r="840" spans="1:17" x14ac:dyDescent="0.3">
      <c r="A840" t="s">
        <v>17</v>
      </c>
      <c r="B840" t="str">
        <f>"600989"</f>
        <v>600989</v>
      </c>
      <c r="C840" t="s">
        <v>1723</v>
      </c>
      <c r="D840" t="s">
        <v>133</v>
      </c>
      <c r="F840">
        <v>864459889</v>
      </c>
      <c r="G840">
        <v>2287301620</v>
      </c>
      <c r="H840">
        <v>-713203090</v>
      </c>
      <c r="I840">
        <v>1260050834</v>
      </c>
      <c r="J840">
        <v>1733735855</v>
      </c>
      <c r="P840">
        <v>770</v>
      </c>
      <c r="Q840" t="s">
        <v>1724</v>
      </c>
    </row>
    <row r="841" spans="1:17" x14ac:dyDescent="0.3">
      <c r="A841" t="s">
        <v>17</v>
      </c>
      <c r="B841" t="str">
        <f>"600990"</f>
        <v>600990</v>
      </c>
      <c r="C841" t="s">
        <v>1725</v>
      </c>
      <c r="D841" t="s">
        <v>92</v>
      </c>
      <c r="F841">
        <v>-793139061</v>
      </c>
      <c r="G841">
        <v>-860012996</v>
      </c>
      <c r="H841">
        <v>-654239561</v>
      </c>
      <c r="I841">
        <v>-785263938</v>
      </c>
      <c r="J841">
        <v>-966857655</v>
      </c>
      <c r="K841">
        <v>-623264598</v>
      </c>
      <c r="L841">
        <v>-529283488</v>
      </c>
      <c r="M841">
        <v>-416503566</v>
      </c>
      <c r="N841">
        <v>-215304356</v>
      </c>
      <c r="O841">
        <v>-5367162</v>
      </c>
      <c r="P841">
        <v>166</v>
      </c>
      <c r="Q841" t="s">
        <v>1726</v>
      </c>
    </row>
    <row r="842" spans="1:17" x14ac:dyDescent="0.3">
      <c r="A842" t="s">
        <v>17</v>
      </c>
      <c r="B842" t="str">
        <f>"600992"</f>
        <v>600992</v>
      </c>
      <c r="C842" t="s">
        <v>1727</v>
      </c>
      <c r="D842" t="s">
        <v>78</v>
      </c>
      <c r="F842">
        <v>-176778015</v>
      </c>
      <c r="G842">
        <v>-131560959</v>
      </c>
      <c r="H842">
        <v>-9988301</v>
      </c>
      <c r="I842">
        <v>3622136</v>
      </c>
      <c r="J842">
        <v>-96085597</v>
      </c>
      <c r="K842">
        <v>792056</v>
      </c>
      <c r="L842">
        <v>16734031</v>
      </c>
      <c r="M842">
        <v>-30346750</v>
      </c>
      <c r="N842">
        <v>-88652603</v>
      </c>
      <c r="O842">
        <v>-357830662</v>
      </c>
      <c r="P842">
        <v>57</v>
      </c>
      <c r="Q842" t="s">
        <v>1728</v>
      </c>
    </row>
    <row r="843" spans="1:17" x14ac:dyDescent="0.3">
      <c r="A843" t="s">
        <v>17</v>
      </c>
      <c r="B843" t="str">
        <f>"600993"</f>
        <v>600993</v>
      </c>
      <c r="C843" t="s">
        <v>1729</v>
      </c>
      <c r="D843" t="s">
        <v>113</v>
      </c>
      <c r="F843">
        <v>146141806</v>
      </c>
      <c r="G843">
        <v>303204048</v>
      </c>
      <c r="H843">
        <v>97631278</v>
      </c>
      <c r="I843">
        <v>190063230</v>
      </c>
      <c r="J843">
        <v>217018032</v>
      </c>
      <c r="K843">
        <v>136729708</v>
      </c>
      <c r="L843">
        <v>-1608931</v>
      </c>
      <c r="M843">
        <v>-3602555</v>
      </c>
      <c r="N843">
        <v>36536531</v>
      </c>
      <c r="O843">
        <v>83240002</v>
      </c>
      <c r="P843">
        <v>942</v>
      </c>
      <c r="Q843" t="s">
        <v>1730</v>
      </c>
    </row>
    <row r="844" spans="1:17" x14ac:dyDescent="0.3">
      <c r="A844" t="s">
        <v>17</v>
      </c>
      <c r="B844" t="str">
        <f>"600995"</f>
        <v>600995</v>
      </c>
      <c r="C844" t="s">
        <v>1731</v>
      </c>
      <c r="D844" t="s">
        <v>41</v>
      </c>
      <c r="F844">
        <v>56081870</v>
      </c>
      <c r="G844">
        <v>230273517</v>
      </c>
      <c r="H844">
        <v>389634776</v>
      </c>
      <c r="I844">
        <v>361871957</v>
      </c>
      <c r="J844">
        <v>265554451</v>
      </c>
      <c r="K844">
        <v>268746182</v>
      </c>
      <c r="L844">
        <v>150974666</v>
      </c>
      <c r="M844">
        <v>119161164</v>
      </c>
      <c r="N844">
        <v>-3697262</v>
      </c>
      <c r="O844">
        <v>-61621626</v>
      </c>
      <c r="P844">
        <v>267</v>
      </c>
      <c r="Q844" t="s">
        <v>1732</v>
      </c>
    </row>
    <row r="845" spans="1:17" x14ac:dyDescent="0.3">
      <c r="A845" t="s">
        <v>17</v>
      </c>
      <c r="B845" t="str">
        <f>"600996"</f>
        <v>600996</v>
      </c>
      <c r="C845" t="s">
        <v>1733</v>
      </c>
      <c r="D845" t="s">
        <v>89</v>
      </c>
      <c r="F845">
        <v>-696922697</v>
      </c>
      <c r="G845">
        <v>-594227161</v>
      </c>
      <c r="H845">
        <v>-1813443349</v>
      </c>
      <c r="I845">
        <v>-745941423</v>
      </c>
      <c r="J845">
        <v>-1048012678</v>
      </c>
      <c r="K845">
        <v>-149658326</v>
      </c>
      <c r="L845">
        <v>400421800</v>
      </c>
      <c r="P845">
        <v>244</v>
      </c>
      <c r="Q845" t="s">
        <v>1734</v>
      </c>
    </row>
    <row r="846" spans="1:17" x14ac:dyDescent="0.3">
      <c r="A846" t="s">
        <v>17</v>
      </c>
      <c r="B846" t="str">
        <f>"600997"</f>
        <v>600997</v>
      </c>
      <c r="C846" t="s">
        <v>1735</v>
      </c>
      <c r="D846" t="s">
        <v>257</v>
      </c>
      <c r="F846">
        <v>2147196836</v>
      </c>
      <c r="G846">
        <v>-180041148</v>
      </c>
      <c r="H846">
        <v>1150700996</v>
      </c>
      <c r="I846">
        <v>1945083492</v>
      </c>
      <c r="J846">
        <v>1018230716</v>
      </c>
      <c r="K846">
        <v>975454172</v>
      </c>
      <c r="L846">
        <v>244574310</v>
      </c>
      <c r="M846">
        <v>144857171</v>
      </c>
      <c r="N846">
        <v>-31731123</v>
      </c>
      <c r="O846">
        <v>-78711226</v>
      </c>
      <c r="P846">
        <v>729</v>
      </c>
      <c r="Q846" t="s">
        <v>1736</v>
      </c>
    </row>
    <row r="847" spans="1:17" x14ac:dyDescent="0.3">
      <c r="A847" t="s">
        <v>17</v>
      </c>
      <c r="B847" t="str">
        <f>"600998"</f>
        <v>600998</v>
      </c>
      <c r="C847" t="s">
        <v>1737</v>
      </c>
      <c r="D847" t="s">
        <v>113</v>
      </c>
      <c r="F847">
        <v>-3821550077</v>
      </c>
      <c r="G847">
        <v>-1985530114</v>
      </c>
      <c r="H847">
        <v>-3619945349</v>
      </c>
      <c r="I847">
        <v>-5179438567</v>
      </c>
      <c r="J847">
        <v>-5801053740</v>
      </c>
      <c r="K847">
        <v>-2840405219</v>
      </c>
      <c r="L847">
        <v>-3997195363</v>
      </c>
      <c r="M847">
        <v>-3061114088</v>
      </c>
      <c r="N847">
        <v>-2209804438</v>
      </c>
      <c r="O847">
        <v>-1532521280</v>
      </c>
      <c r="P847">
        <v>612</v>
      </c>
      <c r="Q847" t="s">
        <v>1738</v>
      </c>
    </row>
    <row r="848" spans="1:17" x14ac:dyDescent="0.3">
      <c r="A848" t="s">
        <v>17</v>
      </c>
      <c r="B848" t="str">
        <f>"600999"</f>
        <v>600999</v>
      </c>
      <c r="C848" t="s">
        <v>1739</v>
      </c>
      <c r="D848" t="s">
        <v>75</v>
      </c>
      <c r="F848">
        <v>-41028920014</v>
      </c>
      <c r="G848">
        <v>-29519849521</v>
      </c>
      <c r="H848">
        <v>11160591374</v>
      </c>
      <c r="I848">
        <v>28248810315</v>
      </c>
      <c r="J848">
        <v>-17265913041</v>
      </c>
      <c r="K848">
        <v>3070708010</v>
      </c>
      <c r="L848">
        <v>3915289225</v>
      </c>
      <c r="M848">
        <v>7248993294</v>
      </c>
      <c r="N848">
        <v>-12478009504</v>
      </c>
      <c r="O848">
        <v>-9016920975</v>
      </c>
      <c r="P848">
        <v>2820</v>
      </c>
      <c r="Q848" t="s">
        <v>1740</v>
      </c>
    </row>
    <row r="849" spans="1:17" x14ac:dyDescent="0.3">
      <c r="A849" t="s">
        <v>17</v>
      </c>
      <c r="B849" t="str">
        <f>"601000"</f>
        <v>601000</v>
      </c>
      <c r="C849" t="s">
        <v>1741</v>
      </c>
      <c r="D849" t="s">
        <v>22</v>
      </c>
      <c r="F849">
        <v>987055733</v>
      </c>
      <c r="G849">
        <v>1268351673</v>
      </c>
      <c r="H849">
        <v>-269992991</v>
      </c>
      <c r="I849">
        <v>373080200</v>
      </c>
      <c r="J849">
        <v>771781562</v>
      </c>
      <c r="K849">
        <v>875073268</v>
      </c>
      <c r="L849">
        <v>275337437</v>
      </c>
      <c r="M849">
        <v>-853537498</v>
      </c>
      <c r="N849">
        <v>-33947983</v>
      </c>
      <c r="O849">
        <v>-131824544</v>
      </c>
      <c r="P849">
        <v>892</v>
      </c>
      <c r="Q849" t="s">
        <v>1742</v>
      </c>
    </row>
    <row r="850" spans="1:17" x14ac:dyDescent="0.3">
      <c r="A850" t="s">
        <v>17</v>
      </c>
      <c r="B850" t="str">
        <f>"601001"</f>
        <v>601001</v>
      </c>
      <c r="C850" t="s">
        <v>1743</v>
      </c>
      <c r="D850" t="s">
        <v>257</v>
      </c>
      <c r="F850">
        <v>3509775663</v>
      </c>
      <c r="G850">
        <v>1669999450</v>
      </c>
      <c r="H850">
        <v>1223890510</v>
      </c>
      <c r="I850">
        <v>1130717098</v>
      </c>
      <c r="J850">
        <v>1890394604</v>
      </c>
      <c r="K850">
        <v>-185551603</v>
      </c>
      <c r="L850">
        <v>-2320679308</v>
      </c>
      <c r="M850">
        <v>-2174014138</v>
      </c>
      <c r="N850">
        <v>-297161313</v>
      </c>
      <c r="O850">
        <v>-994212219</v>
      </c>
      <c r="P850">
        <v>289</v>
      </c>
      <c r="Q850" t="s">
        <v>1744</v>
      </c>
    </row>
    <row r="851" spans="1:17" x14ac:dyDescent="0.3">
      <c r="A851" t="s">
        <v>17</v>
      </c>
      <c r="B851" t="str">
        <f>"601002"</f>
        <v>601002</v>
      </c>
      <c r="C851" t="s">
        <v>1745</v>
      </c>
      <c r="D851" t="s">
        <v>78</v>
      </c>
      <c r="F851">
        <v>-329385079</v>
      </c>
      <c r="G851">
        <v>150312382</v>
      </c>
      <c r="H851">
        <v>211690146</v>
      </c>
      <c r="I851">
        <v>-97833550</v>
      </c>
      <c r="J851">
        <v>-176057376</v>
      </c>
      <c r="K851">
        <v>179185684</v>
      </c>
      <c r="L851">
        <v>-87953618</v>
      </c>
      <c r="M851">
        <v>255577804</v>
      </c>
      <c r="N851">
        <v>-158771339</v>
      </c>
      <c r="O851">
        <v>129354550</v>
      </c>
      <c r="P851">
        <v>146</v>
      </c>
      <c r="Q851" t="s">
        <v>1746</v>
      </c>
    </row>
    <row r="852" spans="1:17" x14ac:dyDescent="0.3">
      <c r="A852" t="s">
        <v>17</v>
      </c>
      <c r="B852" t="str">
        <f>"601003"</f>
        <v>601003</v>
      </c>
      <c r="C852" t="s">
        <v>1747</v>
      </c>
      <c r="D852" t="s">
        <v>38</v>
      </c>
      <c r="F852">
        <v>-2883798872</v>
      </c>
      <c r="G852">
        <v>1660555377</v>
      </c>
      <c r="H852">
        <v>4303588680</v>
      </c>
      <c r="I852">
        <v>4632053836</v>
      </c>
      <c r="J852">
        <v>2786270545</v>
      </c>
      <c r="K852">
        <v>1555098974</v>
      </c>
      <c r="L852">
        <v>389448654</v>
      </c>
      <c r="M852">
        <v>3954855301</v>
      </c>
      <c r="N852">
        <v>1379209453</v>
      </c>
      <c r="O852">
        <v>-2656062515</v>
      </c>
      <c r="P852">
        <v>1021</v>
      </c>
      <c r="Q852" t="s">
        <v>1748</v>
      </c>
    </row>
    <row r="853" spans="1:17" x14ac:dyDescent="0.3">
      <c r="A853" t="s">
        <v>17</v>
      </c>
      <c r="B853" t="str">
        <f>"601005"</f>
        <v>601005</v>
      </c>
      <c r="C853" t="s">
        <v>1749</v>
      </c>
      <c r="D853" t="s">
        <v>38</v>
      </c>
      <c r="F853">
        <v>-1095808000</v>
      </c>
      <c r="G853">
        <v>298196000</v>
      </c>
      <c r="H853">
        <v>-943346000</v>
      </c>
      <c r="I853">
        <v>445031000</v>
      </c>
      <c r="J853">
        <v>-107308000</v>
      </c>
      <c r="K853">
        <v>-301419000</v>
      </c>
      <c r="L853">
        <v>-1015788000</v>
      </c>
      <c r="M853">
        <v>39544000</v>
      </c>
      <c r="N853">
        <v>51481000</v>
      </c>
      <c r="O853">
        <v>1130426000</v>
      </c>
      <c r="P853">
        <v>249</v>
      </c>
      <c r="Q853" t="s">
        <v>1750</v>
      </c>
    </row>
    <row r="854" spans="1:17" x14ac:dyDescent="0.3">
      <c r="A854" t="s">
        <v>17</v>
      </c>
      <c r="B854" t="str">
        <f>"601006"</f>
        <v>601006</v>
      </c>
      <c r="C854" t="s">
        <v>1751</v>
      </c>
      <c r="D854" t="s">
        <v>22</v>
      </c>
      <c r="F854">
        <v>13160304654</v>
      </c>
      <c r="G854">
        <v>8268666870</v>
      </c>
      <c r="H854">
        <v>7924375544</v>
      </c>
      <c r="I854">
        <v>8486004788</v>
      </c>
      <c r="J854">
        <v>11759468650</v>
      </c>
      <c r="K854">
        <v>940988146</v>
      </c>
      <c r="L854">
        <v>9311693903</v>
      </c>
      <c r="M854">
        <v>11436710921</v>
      </c>
      <c r="N854">
        <v>9370790834</v>
      </c>
      <c r="O854">
        <v>6513254729</v>
      </c>
      <c r="P854">
        <v>4203</v>
      </c>
      <c r="Q854" t="s">
        <v>1752</v>
      </c>
    </row>
    <row r="855" spans="1:17" x14ac:dyDescent="0.3">
      <c r="A855" t="s">
        <v>17</v>
      </c>
      <c r="B855" t="str">
        <f>"601007"</f>
        <v>601007</v>
      </c>
      <c r="C855" t="s">
        <v>1753</v>
      </c>
      <c r="D855" t="s">
        <v>110</v>
      </c>
      <c r="F855">
        <v>145013494</v>
      </c>
      <c r="G855">
        <v>197431236</v>
      </c>
      <c r="H855">
        <v>105240488</v>
      </c>
      <c r="I855">
        <v>263323042</v>
      </c>
      <c r="J855">
        <v>161098756</v>
      </c>
      <c r="K855">
        <v>40932694</v>
      </c>
      <c r="L855">
        <v>-23899328</v>
      </c>
      <c r="M855">
        <v>-190839212</v>
      </c>
      <c r="N855">
        <v>-322590012</v>
      </c>
      <c r="O855">
        <v>-198397556</v>
      </c>
      <c r="P855">
        <v>111</v>
      </c>
      <c r="Q855" t="s">
        <v>1754</v>
      </c>
    </row>
    <row r="856" spans="1:17" x14ac:dyDescent="0.3">
      <c r="A856" t="s">
        <v>17</v>
      </c>
      <c r="B856" t="str">
        <f>"601008"</f>
        <v>601008</v>
      </c>
      <c r="C856" t="s">
        <v>1755</v>
      </c>
      <c r="D856" t="s">
        <v>22</v>
      </c>
      <c r="F856">
        <v>347129845</v>
      </c>
      <c r="G856">
        <v>-641876649</v>
      </c>
      <c r="H856">
        <v>245939543</v>
      </c>
      <c r="I856">
        <v>24362270</v>
      </c>
      <c r="J856">
        <v>-56735575</v>
      </c>
      <c r="K856">
        <v>-108701831</v>
      </c>
      <c r="L856">
        <v>-270001854</v>
      </c>
      <c r="M856">
        <v>-323687345</v>
      </c>
      <c r="N856">
        <v>-436909732</v>
      </c>
      <c r="O856">
        <v>-19669363</v>
      </c>
      <c r="P856">
        <v>131</v>
      </c>
      <c r="Q856" t="s">
        <v>1756</v>
      </c>
    </row>
    <row r="857" spans="1:17" x14ac:dyDescent="0.3">
      <c r="A857" t="s">
        <v>17</v>
      </c>
      <c r="B857" t="str">
        <f>"601009"</f>
        <v>601009</v>
      </c>
      <c r="C857" t="s">
        <v>1757</v>
      </c>
      <c r="D857" t="s">
        <v>19</v>
      </c>
      <c r="F857">
        <v>80209648000</v>
      </c>
      <c r="G857">
        <v>3923007000</v>
      </c>
      <c r="H857">
        <v>-15972887000</v>
      </c>
      <c r="I857">
        <v>16047394000</v>
      </c>
      <c r="J857">
        <v>-14994500000</v>
      </c>
      <c r="K857">
        <v>56243115000</v>
      </c>
      <c r="L857">
        <v>76737821000</v>
      </c>
      <c r="M857">
        <v>86811155774</v>
      </c>
      <c r="N857">
        <v>51805327289</v>
      </c>
      <c r="O857">
        <v>1920996942</v>
      </c>
      <c r="P857">
        <v>44245</v>
      </c>
      <c r="Q857" t="s">
        <v>1758</v>
      </c>
    </row>
    <row r="858" spans="1:17" x14ac:dyDescent="0.3">
      <c r="A858" t="s">
        <v>17</v>
      </c>
      <c r="B858" t="str">
        <f>"601010"</f>
        <v>601010</v>
      </c>
      <c r="C858" t="s">
        <v>1759</v>
      </c>
      <c r="D858" t="s">
        <v>120</v>
      </c>
      <c r="F858">
        <v>130169582</v>
      </c>
      <c r="G858">
        <v>178591222</v>
      </c>
      <c r="H858">
        <v>446725576</v>
      </c>
      <c r="I858">
        <v>35076212</v>
      </c>
      <c r="J858">
        <v>249683037</v>
      </c>
      <c r="K858">
        <v>239223808</v>
      </c>
      <c r="L858">
        <v>-214352570</v>
      </c>
      <c r="M858">
        <v>-73838856</v>
      </c>
      <c r="N858">
        <v>68817476</v>
      </c>
      <c r="O858">
        <v>-19298727</v>
      </c>
      <c r="P858">
        <v>94</v>
      </c>
      <c r="Q858" t="s">
        <v>1760</v>
      </c>
    </row>
    <row r="859" spans="1:17" x14ac:dyDescent="0.3">
      <c r="A859" t="s">
        <v>17</v>
      </c>
      <c r="B859" t="str">
        <f>"601011"</f>
        <v>601011</v>
      </c>
      <c r="C859" t="s">
        <v>1761</v>
      </c>
      <c r="D859" t="s">
        <v>257</v>
      </c>
      <c r="F859">
        <v>181410399</v>
      </c>
      <c r="G859">
        <v>43306559</v>
      </c>
      <c r="H859">
        <v>224973425</v>
      </c>
      <c r="I859">
        <v>333970718</v>
      </c>
      <c r="J859">
        <v>-119978130</v>
      </c>
      <c r="K859">
        <v>-195404847</v>
      </c>
      <c r="L859">
        <v>-433552291</v>
      </c>
      <c r="M859">
        <v>-147677490</v>
      </c>
      <c r="N859">
        <v>3833167</v>
      </c>
      <c r="O859">
        <v>-361525641</v>
      </c>
      <c r="P859">
        <v>134</v>
      </c>
      <c r="Q859" t="s">
        <v>1762</v>
      </c>
    </row>
    <row r="860" spans="1:17" x14ac:dyDescent="0.3">
      <c r="A860" t="s">
        <v>17</v>
      </c>
      <c r="B860" t="str">
        <f>"601012"</f>
        <v>601012</v>
      </c>
      <c r="C860" t="s">
        <v>1763</v>
      </c>
      <c r="D860" t="s">
        <v>188</v>
      </c>
      <c r="F860">
        <v>1356827890</v>
      </c>
      <c r="G860">
        <v>3001958283</v>
      </c>
      <c r="H860">
        <v>2852069885</v>
      </c>
      <c r="I860">
        <v>-2604308535</v>
      </c>
      <c r="J860">
        <v>-2469385447</v>
      </c>
      <c r="K860">
        <v>-1447676546</v>
      </c>
      <c r="L860">
        <v>-1102274267</v>
      </c>
      <c r="M860">
        <v>-198271648</v>
      </c>
      <c r="N860">
        <v>-9472980</v>
      </c>
      <c r="O860">
        <v>-545896933</v>
      </c>
      <c r="P860">
        <v>6947</v>
      </c>
      <c r="Q860" t="s">
        <v>1764</v>
      </c>
    </row>
    <row r="861" spans="1:17" x14ac:dyDescent="0.3">
      <c r="A861" t="s">
        <v>17</v>
      </c>
      <c r="B861" t="str">
        <f>"601015"</f>
        <v>601015</v>
      </c>
      <c r="C861" t="s">
        <v>1765</v>
      </c>
      <c r="D861" t="s">
        <v>257</v>
      </c>
      <c r="F861">
        <v>-303019164</v>
      </c>
      <c r="G861">
        <v>260176277</v>
      </c>
      <c r="H861">
        <v>-790825215</v>
      </c>
      <c r="I861">
        <v>-219077009</v>
      </c>
      <c r="J861">
        <v>473408285</v>
      </c>
      <c r="K861">
        <v>411785738</v>
      </c>
      <c r="L861">
        <v>116449906</v>
      </c>
      <c r="M861">
        <v>15917792</v>
      </c>
      <c r="P861">
        <v>212</v>
      </c>
      <c r="Q861" t="s">
        <v>1766</v>
      </c>
    </row>
    <row r="862" spans="1:17" x14ac:dyDescent="0.3">
      <c r="A862" t="s">
        <v>17</v>
      </c>
      <c r="B862" t="str">
        <f>"601016"</f>
        <v>601016</v>
      </c>
      <c r="C862" t="s">
        <v>1767</v>
      </c>
      <c r="D862" t="s">
        <v>41</v>
      </c>
      <c r="F862">
        <v>-3821585030</v>
      </c>
      <c r="G862">
        <v>-4920322611</v>
      </c>
      <c r="H862">
        <v>-428460552</v>
      </c>
      <c r="I862">
        <v>-46264974</v>
      </c>
      <c r="J862">
        <v>-1555238060</v>
      </c>
      <c r="K862">
        <v>-1433969864</v>
      </c>
      <c r="L862">
        <v>-808383852</v>
      </c>
      <c r="M862">
        <v>-68443956</v>
      </c>
      <c r="N862">
        <v>-135171590</v>
      </c>
      <c r="P862">
        <v>542</v>
      </c>
      <c r="Q862" t="s">
        <v>1768</v>
      </c>
    </row>
    <row r="863" spans="1:17" x14ac:dyDescent="0.3">
      <c r="A863" t="s">
        <v>17</v>
      </c>
      <c r="B863" t="str">
        <f>"601018"</f>
        <v>601018</v>
      </c>
      <c r="C863" t="s">
        <v>1769</v>
      </c>
      <c r="D863" t="s">
        <v>22</v>
      </c>
      <c r="F863">
        <v>3306462000</v>
      </c>
      <c r="G863">
        <v>2390107000</v>
      </c>
      <c r="H863">
        <v>-1424382000</v>
      </c>
      <c r="I863">
        <v>6152419000</v>
      </c>
      <c r="J863">
        <v>498249000</v>
      </c>
      <c r="K863">
        <v>998139000</v>
      </c>
      <c r="L863">
        <v>1212268000</v>
      </c>
      <c r="M863">
        <v>1103502000</v>
      </c>
      <c r="N863">
        <v>1092922000</v>
      </c>
      <c r="O863">
        <v>920879000</v>
      </c>
      <c r="P863">
        <v>335</v>
      </c>
      <c r="Q863" t="s">
        <v>1770</v>
      </c>
    </row>
    <row r="864" spans="1:17" x14ac:dyDescent="0.3">
      <c r="A864" t="s">
        <v>17</v>
      </c>
      <c r="B864" t="str">
        <f>"601019"</f>
        <v>601019</v>
      </c>
      <c r="C864" t="s">
        <v>1771</v>
      </c>
      <c r="D864" t="s">
        <v>89</v>
      </c>
      <c r="F864">
        <v>10963423</v>
      </c>
      <c r="G864">
        <v>286541045</v>
      </c>
      <c r="H864">
        <v>-456162265</v>
      </c>
      <c r="I864">
        <v>-183272324</v>
      </c>
      <c r="J864">
        <v>-353730351</v>
      </c>
      <c r="K864">
        <v>201044796</v>
      </c>
      <c r="P864">
        <v>401</v>
      </c>
      <c r="Q864" t="s">
        <v>1772</v>
      </c>
    </row>
    <row r="865" spans="1:17" x14ac:dyDescent="0.3">
      <c r="A865" t="s">
        <v>17</v>
      </c>
      <c r="B865" t="str">
        <f>"601020"</f>
        <v>601020</v>
      </c>
      <c r="C865" t="s">
        <v>1773</v>
      </c>
      <c r="D865" t="s">
        <v>234</v>
      </c>
      <c r="F865">
        <v>52521043</v>
      </c>
      <c r="G865">
        <v>400140239</v>
      </c>
      <c r="H865">
        <v>-482391695</v>
      </c>
      <c r="I865">
        <v>128787254</v>
      </c>
      <c r="J865">
        <v>-18914785</v>
      </c>
      <c r="K865">
        <v>-282778225</v>
      </c>
      <c r="L865">
        <v>-86745578</v>
      </c>
      <c r="P865">
        <v>180</v>
      </c>
      <c r="Q865" t="s">
        <v>1774</v>
      </c>
    </row>
    <row r="866" spans="1:17" x14ac:dyDescent="0.3">
      <c r="A866" t="s">
        <v>17</v>
      </c>
      <c r="B866" t="str">
        <f>"601021"</f>
        <v>601021</v>
      </c>
      <c r="C866" t="s">
        <v>1775</v>
      </c>
      <c r="D866" t="s">
        <v>22</v>
      </c>
      <c r="F866">
        <v>-2479947382</v>
      </c>
      <c r="G866">
        <v>-2352428579</v>
      </c>
      <c r="H866">
        <v>-307156024</v>
      </c>
      <c r="I866">
        <v>418625128</v>
      </c>
      <c r="J866">
        <v>-334688324</v>
      </c>
      <c r="K866">
        <v>-1913901527</v>
      </c>
      <c r="L866">
        <v>-1029152933</v>
      </c>
      <c r="M866">
        <v>-1223383366</v>
      </c>
      <c r="N866">
        <v>763600118</v>
      </c>
      <c r="P866">
        <v>1019</v>
      </c>
      <c r="Q866" t="s">
        <v>1776</v>
      </c>
    </row>
    <row r="867" spans="1:17" x14ac:dyDescent="0.3">
      <c r="A867" t="s">
        <v>17</v>
      </c>
      <c r="B867" t="str">
        <f>"601028"</f>
        <v>601028</v>
      </c>
      <c r="C867" t="s">
        <v>1777</v>
      </c>
      <c r="D867" t="s">
        <v>120</v>
      </c>
      <c r="F867">
        <v>211110629</v>
      </c>
      <c r="G867">
        <v>-239943620</v>
      </c>
      <c r="H867">
        <v>-183870162</v>
      </c>
      <c r="I867">
        <v>46999238</v>
      </c>
      <c r="J867">
        <v>189108292</v>
      </c>
      <c r="K867">
        <v>47288706</v>
      </c>
      <c r="L867">
        <v>-162009970</v>
      </c>
      <c r="M867">
        <v>157407202</v>
      </c>
      <c r="N867">
        <v>-265684692</v>
      </c>
      <c r="O867">
        <v>81056433</v>
      </c>
      <c r="P867">
        <v>87</v>
      </c>
      <c r="Q867" t="s">
        <v>1778</v>
      </c>
    </row>
    <row r="868" spans="1:17" x14ac:dyDescent="0.3">
      <c r="A868" t="s">
        <v>17</v>
      </c>
      <c r="B868" t="str">
        <f>"601038"</f>
        <v>601038</v>
      </c>
      <c r="C868" t="s">
        <v>1779</v>
      </c>
      <c r="D868" t="s">
        <v>78</v>
      </c>
      <c r="F868">
        <v>1437953858</v>
      </c>
      <c r="G868">
        <v>719875981</v>
      </c>
      <c r="H868">
        <v>25677770</v>
      </c>
      <c r="I868">
        <v>-573623261</v>
      </c>
      <c r="J868">
        <v>-916646768</v>
      </c>
      <c r="K868">
        <v>1123988813</v>
      </c>
      <c r="L868">
        <v>297837029</v>
      </c>
      <c r="M868">
        <v>-931948255</v>
      </c>
      <c r="N868">
        <v>-697650010</v>
      </c>
      <c r="O868">
        <v>-966923393</v>
      </c>
      <c r="P868">
        <v>179</v>
      </c>
      <c r="Q868" t="s">
        <v>1780</v>
      </c>
    </row>
    <row r="869" spans="1:17" x14ac:dyDescent="0.3">
      <c r="A869" t="s">
        <v>17</v>
      </c>
      <c r="B869" t="str">
        <f>"601058"</f>
        <v>601058</v>
      </c>
      <c r="C869" t="s">
        <v>1781</v>
      </c>
      <c r="D869" t="s">
        <v>27</v>
      </c>
      <c r="F869">
        <v>-713420704</v>
      </c>
      <c r="G869">
        <v>1422678900</v>
      </c>
      <c r="H869">
        <v>735730080</v>
      </c>
      <c r="I869">
        <v>141129685</v>
      </c>
      <c r="J869">
        <v>-421182995</v>
      </c>
      <c r="K869">
        <v>350220972</v>
      </c>
      <c r="L869">
        <v>-495581991</v>
      </c>
      <c r="M869">
        <v>487722326</v>
      </c>
      <c r="N869">
        <v>-496724213</v>
      </c>
      <c r="O869">
        <v>175905248</v>
      </c>
      <c r="P869">
        <v>590</v>
      </c>
      <c r="Q869" t="s">
        <v>1782</v>
      </c>
    </row>
    <row r="870" spans="1:17" x14ac:dyDescent="0.3">
      <c r="A870" t="s">
        <v>17</v>
      </c>
      <c r="B870" t="str">
        <f>"601066"</f>
        <v>601066</v>
      </c>
      <c r="C870" t="s">
        <v>1783</v>
      </c>
      <c r="D870" t="s">
        <v>75</v>
      </c>
      <c r="F870">
        <v>19681938927</v>
      </c>
      <c r="G870">
        <v>-18145182619</v>
      </c>
      <c r="H870">
        <v>15083923762</v>
      </c>
      <c r="I870">
        <v>9392477090</v>
      </c>
      <c r="J870">
        <v>-31292826400</v>
      </c>
      <c r="K870">
        <v>-3726733400</v>
      </c>
      <c r="P870">
        <v>1825</v>
      </c>
      <c r="Q870" t="s">
        <v>1784</v>
      </c>
    </row>
    <row r="871" spans="1:17" x14ac:dyDescent="0.3">
      <c r="A871" t="s">
        <v>17</v>
      </c>
      <c r="B871" t="str">
        <f>"601068"</f>
        <v>601068</v>
      </c>
      <c r="C871" t="s">
        <v>1785</v>
      </c>
      <c r="D871" t="s">
        <v>95</v>
      </c>
      <c r="F871">
        <v>-4235636594</v>
      </c>
      <c r="G871">
        <v>-4151850919</v>
      </c>
      <c r="H871">
        <v>-1582172503</v>
      </c>
      <c r="I871">
        <v>-1281541039</v>
      </c>
      <c r="J871">
        <v>-72616569</v>
      </c>
      <c r="P871">
        <v>109</v>
      </c>
      <c r="Q871" t="s">
        <v>1786</v>
      </c>
    </row>
    <row r="872" spans="1:17" x14ac:dyDescent="0.3">
      <c r="A872" t="s">
        <v>17</v>
      </c>
      <c r="B872" t="str">
        <f>"601069"</f>
        <v>601069</v>
      </c>
      <c r="C872" t="s">
        <v>1787</v>
      </c>
      <c r="D872" t="s">
        <v>234</v>
      </c>
      <c r="F872">
        <v>-415706163</v>
      </c>
      <c r="G872">
        <v>-8094839</v>
      </c>
      <c r="H872">
        <v>-306722943</v>
      </c>
      <c r="I872">
        <v>-190970750</v>
      </c>
      <c r="J872">
        <v>-10421730</v>
      </c>
      <c r="K872">
        <v>121160541</v>
      </c>
      <c r="L872">
        <v>-57309346</v>
      </c>
      <c r="M872">
        <v>-133710985</v>
      </c>
      <c r="N872">
        <v>-302268354</v>
      </c>
      <c r="P872">
        <v>142</v>
      </c>
      <c r="Q872" t="s">
        <v>1788</v>
      </c>
    </row>
    <row r="873" spans="1:17" x14ac:dyDescent="0.3">
      <c r="A873" t="s">
        <v>17</v>
      </c>
      <c r="B873" t="str">
        <f>"601077"</f>
        <v>601077</v>
      </c>
      <c r="C873" t="s">
        <v>1789</v>
      </c>
      <c r="D873" t="s">
        <v>19</v>
      </c>
      <c r="F873">
        <v>20630564000</v>
      </c>
      <c r="G873">
        <v>69027177000</v>
      </c>
      <c r="H873">
        <v>33089930000</v>
      </c>
      <c r="I873">
        <v>-89791932000</v>
      </c>
      <c r="J873">
        <v>-43620126000</v>
      </c>
      <c r="K873">
        <v>1492234000</v>
      </c>
      <c r="L873">
        <v>36636925000</v>
      </c>
      <c r="M873">
        <v>41428898000</v>
      </c>
      <c r="N873">
        <v>5372247000</v>
      </c>
      <c r="O873">
        <v>6700373000</v>
      </c>
      <c r="P873">
        <v>509</v>
      </c>
      <c r="Q873" t="s">
        <v>1790</v>
      </c>
    </row>
    <row r="874" spans="1:17" x14ac:dyDescent="0.3">
      <c r="A874" t="s">
        <v>17</v>
      </c>
      <c r="B874" t="str">
        <f>"601086"</f>
        <v>601086</v>
      </c>
      <c r="C874" t="s">
        <v>1791</v>
      </c>
      <c r="D874" t="s">
        <v>120</v>
      </c>
      <c r="F874">
        <v>130097486</v>
      </c>
      <c r="G874">
        <v>-8229296</v>
      </c>
      <c r="H874">
        <v>50232126</v>
      </c>
      <c r="I874">
        <v>206030552</v>
      </c>
      <c r="J874">
        <v>77190941</v>
      </c>
      <c r="K874">
        <v>89117049</v>
      </c>
      <c r="P874">
        <v>79</v>
      </c>
      <c r="Q874" t="s">
        <v>1792</v>
      </c>
    </row>
    <row r="875" spans="1:17" x14ac:dyDescent="0.3">
      <c r="A875" t="s">
        <v>17</v>
      </c>
      <c r="B875" t="str">
        <f>"601088"</f>
        <v>601088</v>
      </c>
      <c r="C875" t="s">
        <v>1793</v>
      </c>
      <c r="D875" t="s">
        <v>257</v>
      </c>
      <c r="F875">
        <v>51778000000</v>
      </c>
      <c r="G875">
        <v>61010000000</v>
      </c>
      <c r="H875">
        <v>46304000000</v>
      </c>
      <c r="I875">
        <v>56164000000</v>
      </c>
      <c r="J875">
        <v>69676000000</v>
      </c>
      <c r="K875">
        <v>48722000000</v>
      </c>
      <c r="L875">
        <v>20532000000</v>
      </c>
      <c r="M875">
        <v>32563000000</v>
      </c>
      <c r="N875">
        <v>3457000000</v>
      </c>
      <c r="O875">
        <v>27892000000</v>
      </c>
      <c r="P875">
        <v>3942</v>
      </c>
      <c r="Q875" t="s">
        <v>1794</v>
      </c>
    </row>
    <row r="876" spans="1:17" x14ac:dyDescent="0.3">
      <c r="A876" t="s">
        <v>17</v>
      </c>
      <c r="B876" t="str">
        <f>"601098"</f>
        <v>601098</v>
      </c>
      <c r="C876" t="s">
        <v>1795</v>
      </c>
      <c r="D876" t="s">
        <v>89</v>
      </c>
      <c r="F876">
        <v>-564613121</v>
      </c>
      <c r="G876">
        <v>367923242</v>
      </c>
      <c r="H876">
        <v>600337118</v>
      </c>
      <c r="I876">
        <v>-67044318</v>
      </c>
      <c r="J876">
        <v>837857924</v>
      </c>
      <c r="K876">
        <v>571674080</v>
      </c>
      <c r="L876">
        <v>340598545</v>
      </c>
      <c r="M876">
        <v>85868142</v>
      </c>
      <c r="N876">
        <v>381485999</v>
      </c>
      <c r="O876">
        <v>196531594</v>
      </c>
      <c r="P876">
        <v>882</v>
      </c>
      <c r="Q876" t="s">
        <v>1796</v>
      </c>
    </row>
    <row r="877" spans="1:17" x14ac:dyDescent="0.3">
      <c r="A877" t="s">
        <v>17</v>
      </c>
      <c r="B877" t="str">
        <f>"601099"</f>
        <v>601099</v>
      </c>
      <c r="C877" t="s">
        <v>1797</v>
      </c>
      <c r="D877" t="s">
        <v>75</v>
      </c>
      <c r="F877">
        <v>2239251897</v>
      </c>
      <c r="G877">
        <v>3569220526</v>
      </c>
      <c r="H877">
        <v>3827090700</v>
      </c>
      <c r="I877">
        <v>3883803853</v>
      </c>
      <c r="J877">
        <v>120010275</v>
      </c>
      <c r="K877">
        <v>-4233528358</v>
      </c>
      <c r="L877">
        <v>-6978000857</v>
      </c>
      <c r="M877">
        <v>-2887810372</v>
      </c>
      <c r="N877">
        <v>190774484</v>
      </c>
      <c r="O877">
        <v>-964662987</v>
      </c>
      <c r="P877">
        <v>738</v>
      </c>
      <c r="Q877" t="s">
        <v>1798</v>
      </c>
    </row>
    <row r="878" spans="1:17" x14ac:dyDescent="0.3">
      <c r="A878" t="s">
        <v>17</v>
      </c>
      <c r="B878" t="str">
        <f>"601100"</f>
        <v>601100</v>
      </c>
      <c r="C878" t="s">
        <v>1799</v>
      </c>
      <c r="D878" t="s">
        <v>78</v>
      </c>
      <c r="F878">
        <v>1825276747</v>
      </c>
      <c r="G878">
        <v>991502872</v>
      </c>
      <c r="H878">
        <v>819229579</v>
      </c>
      <c r="I878">
        <v>131242391</v>
      </c>
      <c r="J878">
        <v>-9287463</v>
      </c>
      <c r="K878">
        <v>-140376818</v>
      </c>
      <c r="L878">
        <v>-66062576</v>
      </c>
      <c r="M878">
        <v>-222687900</v>
      </c>
      <c r="N878">
        <v>-198536047</v>
      </c>
      <c r="O878">
        <v>-200581566</v>
      </c>
      <c r="P878">
        <v>1784</v>
      </c>
      <c r="Q878" t="s">
        <v>1800</v>
      </c>
    </row>
    <row r="879" spans="1:17" x14ac:dyDescent="0.3">
      <c r="A879" t="s">
        <v>17</v>
      </c>
      <c r="B879" t="str">
        <f>"601101"</f>
        <v>601101</v>
      </c>
      <c r="C879" t="s">
        <v>1801</v>
      </c>
      <c r="D879" t="s">
        <v>257</v>
      </c>
      <c r="F879">
        <v>2808197963</v>
      </c>
      <c r="G879">
        <v>1099200683</v>
      </c>
      <c r="H879">
        <v>1109997468</v>
      </c>
      <c r="I879">
        <v>1933257755</v>
      </c>
      <c r="J879">
        <v>732737690</v>
      </c>
      <c r="K879">
        <v>435964353</v>
      </c>
      <c r="L879">
        <v>-654232711</v>
      </c>
      <c r="M879">
        <v>-838306716</v>
      </c>
      <c r="N879">
        <v>-331571041</v>
      </c>
      <c r="O879">
        <v>-319924015</v>
      </c>
      <c r="P879">
        <v>281</v>
      </c>
      <c r="Q879" t="s">
        <v>1802</v>
      </c>
    </row>
    <row r="880" spans="1:17" x14ac:dyDescent="0.3">
      <c r="A880" t="s">
        <v>17</v>
      </c>
      <c r="B880" t="str">
        <f>"601106"</f>
        <v>601106</v>
      </c>
      <c r="C880" t="s">
        <v>1803</v>
      </c>
      <c r="D880" t="s">
        <v>78</v>
      </c>
      <c r="F880">
        <v>-2186277722</v>
      </c>
      <c r="G880">
        <v>-1832803700</v>
      </c>
      <c r="H880">
        <v>-659761331</v>
      </c>
      <c r="I880">
        <v>-660908155</v>
      </c>
      <c r="J880">
        <v>382622472</v>
      </c>
      <c r="K880">
        <v>-1698316406</v>
      </c>
      <c r="L880">
        <v>-524549389</v>
      </c>
      <c r="M880">
        <v>-2072903315</v>
      </c>
      <c r="N880">
        <v>-579359182</v>
      </c>
      <c r="O880">
        <v>-2188830639</v>
      </c>
      <c r="P880">
        <v>175</v>
      </c>
      <c r="Q880" t="s">
        <v>1804</v>
      </c>
    </row>
    <row r="881" spans="1:17" x14ac:dyDescent="0.3">
      <c r="A881" t="s">
        <v>17</v>
      </c>
      <c r="B881" t="str">
        <f>"601107"</f>
        <v>601107</v>
      </c>
      <c r="C881" t="s">
        <v>1805</v>
      </c>
      <c r="D881" t="s">
        <v>22</v>
      </c>
      <c r="F881">
        <v>-1303676216</v>
      </c>
      <c r="G881">
        <v>-22170948</v>
      </c>
      <c r="H881">
        <v>605802468</v>
      </c>
      <c r="I881">
        <v>1301140208</v>
      </c>
      <c r="J881">
        <v>457949196</v>
      </c>
      <c r="K881">
        <v>242184936</v>
      </c>
      <c r="L881">
        <v>-2042011873</v>
      </c>
      <c r="M881">
        <v>-473226154</v>
      </c>
      <c r="N881">
        <v>-2080007937</v>
      </c>
      <c r="O881">
        <v>-1060498802</v>
      </c>
      <c r="P881">
        <v>231</v>
      </c>
      <c r="Q881" t="s">
        <v>1806</v>
      </c>
    </row>
    <row r="882" spans="1:17" x14ac:dyDescent="0.3">
      <c r="A882" t="s">
        <v>17</v>
      </c>
      <c r="B882" t="str">
        <f>"601108"</f>
        <v>601108</v>
      </c>
      <c r="C882" t="s">
        <v>1807</v>
      </c>
      <c r="D882" t="s">
        <v>75</v>
      </c>
      <c r="F882">
        <v>3154717999</v>
      </c>
      <c r="G882">
        <v>-5937998282</v>
      </c>
      <c r="H882">
        <v>6191563382</v>
      </c>
      <c r="I882">
        <v>-1564243824</v>
      </c>
      <c r="J882">
        <v>-5554639844</v>
      </c>
      <c r="K882">
        <v>-6938761807</v>
      </c>
      <c r="L882">
        <v>7348966200</v>
      </c>
      <c r="M882">
        <v>3784543000</v>
      </c>
      <c r="N882">
        <v>1445468900</v>
      </c>
      <c r="P882">
        <v>980</v>
      </c>
      <c r="Q882" t="s">
        <v>1808</v>
      </c>
    </row>
    <row r="883" spans="1:17" x14ac:dyDescent="0.3">
      <c r="A883" t="s">
        <v>17</v>
      </c>
      <c r="B883" t="str">
        <f>"601111"</f>
        <v>601111</v>
      </c>
      <c r="C883" t="s">
        <v>1809</v>
      </c>
      <c r="D883" t="s">
        <v>22</v>
      </c>
      <c r="F883">
        <v>7205199000</v>
      </c>
      <c r="G883">
        <v>-10519595000</v>
      </c>
      <c r="H883">
        <v>20016032000</v>
      </c>
      <c r="I883">
        <v>14961913000</v>
      </c>
      <c r="J883">
        <v>11253917000</v>
      </c>
      <c r="K883">
        <v>3330266000</v>
      </c>
      <c r="L883">
        <v>20752861000</v>
      </c>
      <c r="M883">
        <v>6039162000</v>
      </c>
      <c r="N883">
        <v>-86058000</v>
      </c>
      <c r="O883">
        <v>1511651000</v>
      </c>
      <c r="P883">
        <v>1108</v>
      </c>
      <c r="Q883" t="s">
        <v>1810</v>
      </c>
    </row>
    <row r="884" spans="1:17" x14ac:dyDescent="0.3">
      <c r="A884" t="s">
        <v>17</v>
      </c>
      <c r="B884" t="str">
        <f>"601113"</f>
        <v>601113</v>
      </c>
      <c r="C884" t="s">
        <v>1811</v>
      </c>
      <c r="D884" t="s">
        <v>120</v>
      </c>
      <c r="F884">
        <v>37200091</v>
      </c>
      <c r="G884">
        <v>120915762</v>
      </c>
      <c r="H884">
        <v>40697203</v>
      </c>
      <c r="I884">
        <v>-584995672</v>
      </c>
      <c r="J884">
        <v>140344077</v>
      </c>
      <c r="K884">
        <v>40676209</v>
      </c>
      <c r="L884">
        <v>136227118</v>
      </c>
      <c r="M884">
        <v>-531405035</v>
      </c>
      <c r="N884">
        <v>-14948886</v>
      </c>
      <c r="O884">
        <v>558240112</v>
      </c>
      <c r="P884">
        <v>68</v>
      </c>
      <c r="Q884" t="s">
        <v>1812</v>
      </c>
    </row>
    <row r="885" spans="1:17" x14ac:dyDescent="0.3">
      <c r="A885" t="s">
        <v>17</v>
      </c>
      <c r="B885" t="str">
        <f>"601116"</f>
        <v>601116</v>
      </c>
      <c r="C885" t="s">
        <v>1813</v>
      </c>
      <c r="D885" t="s">
        <v>120</v>
      </c>
      <c r="F885">
        <v>115535075</v>
      </c>
      <c r="G885">
        <v>52205788</v>
      </c>
      <c r="H885">
        <v>84300535</v>
      </c>
      <c r="I885">
        <v>219523844</v>
      </c>
      <c r="J885">
        <v>244322229</v>
      </c>
      <c r="K885">
        <v>133497950</v>
      </c>
      <c r="L885">
        <v>80300805</v>
      </c>
      <c r="M885">
        <v>-49940427</v>
      </c>
      <c r="N885">
        <v>252986375</v>
      </c>
      <c r="O885">
        <v>349897037</v>
      </c>
      <c r="P885">
        <v>124</v>
      </c>
      <c r="Q885" t="s">
        <v>1814</v>
      </c>
    </row>
    <row r="886" spans="1:17" x14ac:dyDescent="0.3">
      <c r="A886" t="s">
        <v>17</v>
      </c>
      <c r="B886" t="str">
        <f>"601117"</f>
        <v>601117</v>
      </c>
      <c r="C886" t="s">
        <v>1815</v>
      </c>
      <c r="D886" t="s">
        <v>95</v>
      </c>
      <c r="F886">
        <v>-5906017885</v>
      </c>
      <c r="G886">
        <v>418604765</v>
      </c>
      <c r="H886">
        <v>1237626773</v>
      </c>
      <c r="I886">
        <v>1111476892</v>
      </c>
      <c r="J886">
        <v>-1561195868</v>
      </c>
      <c r="K886">
        <v>521810290</v>
      </c>
      <c r="L886">
        <v>-1241516734</v>
      </c>
      <c r="M886">
        <v>-3364165238</v>
      </c>
      <c r="N886">
        <v>-1322088931</v>
      </c>
      <c r="O886">
        <v>155032704</v>
      </c>
      <c r="P886">
        <v>717</v>
      </c>
      <c r="Q886" t="s">
        <v>1816</v>
      </c>
    </row>
    <row r="887" spans="1:17" x14ac:dyDescent="0.3">
      <c r="A887" t="s">
        <v>17</v>
      </c>
      <c r="B887" t="str">
        <f>"601118"</f>
        <v>601118</v>
      </c>
      <c r="C887" t="s">
        <v>1817</v>
      </c>
      <c r="D887" t="s">
        <v>205</v>
      </c>
      <c r="F887">
        <v>-1093342799</v>
      </c>
      <c r="G887">
        <v>-1519174216</v>
      </c>
      <c r="H887">
        <v>-115282046</v>
      </c>
      <c r="I887">
        <v>-156681132</v>
      </c>
      <c r="J887">
        <v>-591553081</v>
      </c>
      <c r="K887">
        <v>-247435323</v>
      </c>
      <c r="L887">
        <v>-406221760</v>
      </c>
      <c r="M887">
        <v>-460092838</v>
      </c>
      <c r="N887">
        <v>11157738</v>
      </c>
      <c r="O887">
        <v>-291508227</v>
      </c>
      <c r="P887">
        <v>199</v>
      </c>
      <c r="Q887" t="s">
        <v>1818</v>
      </c>
    </row>
    <row r="888" spans="1:17" x14ac:dyDescent="0.3">
      <c r="A888" t="s">
        <v>17</v>
      </c>
      <c r="B888" t="str">
        <f>"601126"</f>
        <v>601126</v>
      </c>
      <c r="C888" t="s">
        <v>1819</v>
      </c>
      <c r="D888" t="s">
        <v>188</v>
      </c>
      <c r="F888">
        <v>345464029</v>
      </c>
      <c r="G888">
        <v>466905683</v>
      </c>
      <c r="H888">
        <v>142438892</v>
      </c>
      <c r="I888">
        <v>4001851</v>
      </c>
      <c r="J888">
        <v>-62052098</v>
      </c>
      <c r="K888">
        <v>-358062579</v>
      </c>
      <c r="L888">
        <v>-500832404</v>
      </c>
      <c r="M888">
        <v>-454649911</v>
      </c>
      <c r="N888">
        <v>-369250874</v>
      </c>
      <c r="O888">
        <v>-571323080</v>
      </c>
      <c r="P888">
        <v>280</v>
      </c>
      <c r="Q888" t="s">
        <v>1820</v>
      </c>
    </row>
    <row r="889" spans="1:17" x14ac:dyDescent="0.3">
      <c r="A889" t="s">
        <v>17</v>
      </c>
      <c r="B889" t="str">
        <f>"601127"</f>
        <v>601127</v>
      </c>
      <c r="C889" t="s">
        <v>1821</v>
      </c>
      <c r="D889" t="s">
        <v>27</v>
      </c>
      <c r="F889">
        <v>-1357443764</v>
      </c>
      <c r="G889">
        <v>-515529182</v>
      </c>
      <c r="H889">
        <v>-1969406534</v>
      </c>
      <c r="I889">
        <v>-1260258738</v>
      </c>
      <c r="J889">
        <v>-288416203</v>
      </c>
      <c r="K889">
        <v>387521322</v>
      </c>
      <c r="L889">
        <v>19425587</v>
      </c>
      <c r="P889">
        <v>476</v>
      </c>
      <c r="Q889" t="s">
        <v>1822</v>
      </c>
    </row>
    <row r="890" spans="1:17" x14ac:dyDescent="0.3">
      <c r="A890" t="s">
        <v>17</v>
      </c>
      <c r="B890" t="str">
        <f>"601128"</f>
        <v>601128</v>
      </c>
      <c r="C890" t="s">
        <v>1823</v>
      </c>
      <c r="D890" t="s">
        <v>19</v>
      </c>
      <c r="F890">
        <v>-6795277000</v>
      </c>
      <c r="G890">
        <v>-723150000</v>
      </c>
      <c r="H890">
        <v>7816838000</v>
      </c>
      <c r="I890">
        <v>937482000</v>
      </c>
      <c r="J890">
        <v>-6354056000</v>
      </c>
      <c r="K890">
        <v>5732320000</v>
      </c>
      <c r="L890">
        <v>-1726029000</v>
      </c>
      <c r="P890">
        <v>940</v>
      </c>
      <c r="Q890" t="s">
        <v>1824</v>
      </c>
    </row>
    <row r="891" spans="1:17" x14ac:dyDescent="0.3">
      <c r="A891" t="s">
        <v>17</v>
      </c>
      <c r="B891" t="str">
        <f>"601137"</f>
        <v>601137</v>
      </c>
      <c r="C891" t="s">
        <v>1825</v>
      </c>
      <c r="D891" t="s">
        <v>234</v>
      </c>
      <c r="F891">
        <v>-1356603363</v>
      </c>
      <c r="G891">
        <v>-1027155712</v>
      </c>
      <c r="H891">
        <v>-378698852</v>
      </c>
      <c r="I891">
        <v>39251640</v>
      </c>
      <c r="J891">
        <v>-351834063</v>
      </c>
      <c r="K891">
        <v>-36687383</v>
      </c>
      <c r="L891">
        <v>-30288234</v>
      </c>
      <c r="M891">
        <v>-236510885</v>
      </c>
      <c r="N891">
        <v>-478801085</v>
      </c>
      <c r="O891">
        <v>-451213891</v>
      </c>
      <c r="P891">
        <v>283</v>
      </c>
      <c r="Q891" t="s">
        <v>1826</v>
      </c>
    </row>
    <row r="892" spans="1:17" x14ac:dyDescent="0.3">
      <c r="A892" t="s">
        <v>17</v>
      </c>
      <c r="B892" t="str">
        <f>"601138"</f>
        <v>601138</v>
      </c>
      <c r="C892" t="s">
        <v>1827</v>
      </c>
      <c r="D892" t="s">
        <v>150</v>
      </c>
      <c r="F892">
        <v>-3403844000</v>
      </c>
      <c r="G892">
        <v>-10598680000</v>
      </c>
      <c r="H892">
        <v>1722907000</v>
      </c>
      <c r="I892">
        <v>6095511000</v>
      </c>
      <c r="J892">
        <v>-172932000</v>
      </c>
      <c r="P892">
        <v>1319</v>
      </c>
      <c r="Q892" t="s">
        <v>1828</v>
      </c>
    </row>
    <row r="893" spans="1:17" x14ac:dyDescent="0.3">
      <c r="A893" t="s">
        <v>17</v>
      </c>
      <c r="B893" t="str">
        <f>"601139"</f>
        <v>601139</v>
      </c>
      <c r="C893" t="s">
        <v>1829</v>
      </c>
      <c r="D893" t="s">
        <v>41</v>
      </c>
      <c r="F893">
        <v>235047182</v>
      </c>
      <c r="G893">
        <v>2323734987</v>
      </c>
      <c r="H893">
        <v>1360444682</v>
      </c>
      <c r="I893">
        <v>782498845</v>
      </c>
      <c r="J893">
        <v>-3320489</v>
      </c>
      <c r="K893">
        <v>89338269</v>
      </c>
      <c r="L893">
        <v>-412855356</v>
      </c>
      <c r="M893">
        <v>-47074286</v>
      </c>
      <c r="N893">
        <v>7295255</v>
      </c>
      <c r="O893">
        <v>-401442033</v>
      </c>
      <c r="P893">
        <v>475</v>
      </c>
      <c r="Q893" t="s">
        <v>1830</v>
      </c>
    </row>
    <row r="894" spans="1:17" x14ac:dyDescent="0.3">
      <c r="A894" t="s">
        <v>17</v>
      </c>
      <c r="B894" t="str">
        <f>"601155"</f>
        <v>601155</v>
      </c>
      <c r="C894" t="s">
        <v>1831</v>
      </c>
      <c r="D894" t="s">
        <v>30</v>
      </c>
      <c r="F894">
        <v>-10204247859</v>
      </c>
      <c r="G894">
        <v>-26517416542</v>
      </c>
      <c r="H894">
        <v>-11661759932</v>
      </c>
      <c r="I894">
        <v>-13189406759</v>
      </c>
      <c r="J894">
        <v>-8840718392</v>
      </c>
      <c r="K894">
        <v>886234309</v>
      </c>
      <c r="L894">
        <v>-1497748747</v>
      </c>
      <c r="P894">
        <v>7594</v>
      </c>
      <c r="Q894" t="s">
        <v>1832</v>
      </c>
    </row>
    <row r="895" spans="1:17" x14ac:dyDescent="0.3">
      <c r="A895" t="s">
        <v>17</v>
      </c>
      <c r="B895" t="str">
        <f>"601156"</f>
        <v>601156</v>
      </c>
      <c r="C895" t="s">
        <v>1833</v>
      </c>
      <c r="D895" t="s">
        <v>22</v>
      </c>
      <c r="F895">
        <v>3649982736</v>
      </c>
      <c r="P895">
        <v>107</v>
      </c>
      <c r="Q895" t="s">
        <v>1834</v>
      </c>
    </row>
    <row r="896" spans="1:17" x14ac:dyDescent="0.3">
      <c r="A896" t="s">
        <v>17</v>
      </c>
      <c r="B896" t="str">
        <f>"601158"</f>
        <v>601158</v>
      </c>
      <c r="C896" t="s">
        <v>1835</v>
      </c>
      <c r="D896" t="s">
        <v>33</v>
      </c>
      <c r="F896">
        <v>-173583070</v>
      </c>
      <c r="G896">
        <v>584203679</v>
      </c>
      <c r="H896">
        <v>246904038</v>
      </c>
      <c r="I896">
        <v>622354845</v>
      </c>
      <c r="J896">
        <v>909033513</v>
      </c>
      <c r="K896">
        <v>1357690710</v>
      </c>
      <c r="L896">
        <v>1588401131</v>
      </c>
      <c r="M896">
        <v>1643228021</v>
      </c>
      <c r="N896">
        <v>1415087735</v>
      </c>
      <c r="O896">
        <v>1062998158</v>
      </c>
      <c r="P896">
        <v>585</v>
      </c>
      <c r="Q896" t="s">
        <v>1836</v>
      </c>
    </row>
    <row r="897" spans="1:17" x14ac:dyDescent="0.3">
      <c r="A897" t="s">
        <v>17</v>
      </c>
      <c r="B897" t="str">
        <f>"601162"</f>
        <v>601162</v>
      </c>
      <c r="C897" t="s">
        <v>1837</v>
      </c>
      <c r="D897" t="s">
        <v>75</v>
      </c>
      <c r="F897">
        <v>2090100753</v>
      </c>
      <c r="G897">
        <v>-7269194925</v>
      </c>
      <c r="H897">
        <v>-614060370</v>
      </c>
      <c r="I897">
        <v>1806753721</v>
      </c>
      <c r="J897">
        <v>-1921228466</v>
      </c>
      <c r="K897">
        <v>-3202438280</v>
      </c>
      <c r="P897">
        <v>897</v>
      </c>
      <c r="Q897" t="s">
        <v>1838</v>
      </c>
    </row>
    <row r="898" spans="1:17" x14ac:dyDescent="0.3">
      <c r="A898" t="s">
        <v>17</v>
      </c>
      <c r="B898" t="str">
        <f>"601163"</f>
        <v>601163</v>
      </c>
      <c r="C898" t="s">
        <v>1839</v>
      </c>
      <c r="D898" t="s">
        <v>27</v>
      </c>
      <c r="F898">
        <v>-85883792</v>
      </c>
      <c r="G898">
        <v>824932925</v>
      </c>
      <c r="H898">
        <v>794913485</v>
      </c>
      <c r="I898">
        <v>-756104824</v>
      </c>
      <c r="J898">
        <v>321217733</v>
      </c>
      <c r="K898">
        <v>741311665</v>
      </c>
      <c r="L898">
        <v>90663270</v>
      </c>
      <c r="P898">
        <v>224</v>
      </c>
      <c r="Q898" t="s">
        <v>1840</v>
      </c>
    </row>
    <row r="899" spans="1:17" x14ac:dyDescent="0.3">
      <c r="A899" t="s">
        <v>17</v>
      </c>
      <c r="B899" t="str">
        <f>"601166"</f>
        <v>601166</v>
      </c>
      <c r="C899" t="s">
        <v>1841</v>
      </c>
      <c r="D899" t="s">
        <v>19</v>
      </c>
      <c r="F899">
        <v>-89897000000</v>
      </c>
      <c r="G899">
        <v>-96352000000</v>
      </c>
      <c r="H899">
        <v>-542146000000</v>
      </c>
      <c r="I899">
        <v>-378720000000</v>
      </c>
      <c r="J899">
        <v>-168375000000</v>
      </c>
      <c r="K899">
        <v>14555000000</v>
      </c>
      <c r="L899">
        <v>603385000000</v>
      </c>
      <c r="M899">
        <v>209791000000</v>
      </c>
      <c r="N899">
        <v>177900000000</v>
      </c>
      <c r="O899">
        <v>63376000000</v>
      </c>
      <c r="P899">
        <v>24373</v>
      </c>
      <c r="Q899" t="s">
        <v>1842</v>
      </c>
    </row>
    <row r="900" spans="1:17" x14ac:dyDescent="0.3">
      <c r="A900" t="s">
        <v>17</v>
      </c>
      <c r="B900" t="str">
        <f>"601168"</f>
        <v>601168</v>
      </c>
      <c r="C900" t="s">
        <v>1843</v>
      </c>
      <c r="D900" t="s">
        <v>234</v>
      </c>
      <c r="F900">
        <v>4731312817</v>
      </c>
      <c r="G900">
        <v>1307451593</v>
      </c>
      <c r="H900">
        <v>200422780</v>
      </c>
      <c r="I900">
        <v>-2886846534</v>
      </c>
      <c r="J900">
        <v>-323140702</v>
      </c>
      <c r="K900">
        <v>-720119129</v>
      </c>
      <c r="L900">
        <v>-219580886</v>
      </c>
      <c r="M900">
        <v>-2468286307</v>
      </c>
      <c r="N900">
        <v>-216225162</v>
      </c>
      <c r="O900">
        <v>-506810024</v>
      </c>
      <c r="P900">
        <v>392</v>
      </c>
      <c r="Q900" t="s">
        <v>1844</v>
      </c>
    </row>
    <row r="901" spans="1:17" x14ac:dyDescent="0.3">
      <c r="A901" t="s">
        <v>17</v>
      </c>
      <c r="B901" t="str">
        <f>"601169"</f>
        <v>601169</v>
      </c>
      <c r="C901" t="s">
        <v>1845</v>
      </c>
      <c r="D901" t="s">
        <v>19</v>
      </c>
      <c r="F901">
        <v>-15257000000</v>
      </c>
      <c r="G901">
        <v>-13699000000</v>
      </c>
      <c r="H901">
        <v>22128000000</v>
      </c>
      <c r="I901">
        <v>-7768000000</v>
      </c>
      <c r="J901">
        <v>5884000000</v>
      </c>
      <c r="K901">
        <v>-41255000000</v>
      </c>
      <c r="L901">
        <v>41312000000</v>
      </c>
      <c r="M901">
        <v>32775000000</v>
      </c>
      <c r="N901">
        <v>20557126000</v>
      </c>
      <c r="O901">
        <v>-22720365000</v>
      </c>
      <c r="P901">
        <v>16387</v>
      </c>
      <c r="Q901" t="s">
        <v>1846</v>
      </c>
    </row>
    <row r="902" spans="1:17" x14ac:dyDescent="0.3">
      <c r="A902" t="s">
        <v>17</v>
      </c>
      <c r="B902" t="str">
        <f>"601177"</f>
        <v>601177</v>
      </c>
      <c r="C902" t="s">
        <v>1847</v>
      </c>
      <c r="D902" t="s">
        <v>78</v>
      </c>
      <c r="F902">
        <v>50374849</v>
      </c>
      <c r="G902">
        <v>210261204</v>
      </c>
      <c r="H902">
        <v>52277201</v>
      </c>
      <c r="I902">
        <v>62136140</v>
      </c>
      <c r="J902">
        <v>19707142</v>
      </c>
      <c r="K902">
        <v>-86200145</v>
      </c>
      <c r="L902">
        <v>-115342012</v>
      </c>
      <c r="M902">
        <v>-17502746</v>
      </c>
      <c r="N902">
        <v>-27059625</v>
      </c>
      <c r="O902">
        <v>-291309505</v>
      </c>
      <c r="P902">
        <v>74</v>
      </c>
      <c r="Q902" t="s">
        <v>1848</v>
      </c>
    </row>
    <row r="903" spans="1:17" x14ac:dyDescent="0.3">
      <c r="A903" t="s">
        <v>17</v>
      </c>
      <c r="B903" t="str">
        <f>"601179"</f>
        <v>601179</v>
      </c>
      <c r="C903" t="s">
        <v>1849</v>
      </c>
      <c r="D903" t="s">
        <v>188</v>
      </c>
      <c r="F903">
        <v>-79463916</v>
      </c>
      <c r="G903">
        <v>-465681795</v>
      </c>
      <c r="H903">
        <v>-1033516482</v>
      </c>
      <c r="I903">
        <v>-3136950023</v>
      </c>
      <c r="J903">
        <v>-1041613637</v>
      </c>
      <c r="K903">
        <v>-1210140267</v>
      </c>
      <c r="L903">
        <v>1056828649</v>
      </c>
      <c r="M903">
        <v>-666705070</v>
      </c>
      <c r="N903">
        <v>-832005166</v>
      </c>
      <c r="O903">
        <v>-614380837</v>
      </c>
      <c r="P903">
        <v>329</v>
      </c>
      <c r="Q903" t="s">
        <v>1850</v>
      </c>
    </row>
    <row r="904" spans="1:17" x14ac:dyDescent="0.3">
      <c r="A904" t="s">
        <v>17</v>
      </c>
      <c r="B904" t="str">
        <f>"601186"</f>
        <v>601186</v>
      </c>
      <c r="C904" t="s">
        <v>1851</v>
      </c>
      <c r="D904" t="s">
        <v>95</v>
      </c>
      <c r="F904">
        <v>-71546357000</v>
      </c>
      <c r="G904">
        <v>-47315116000</v>
      </c>
      <c r="H904">
        <v>-39891242000</v>
      </c>
      <c r="I904">
        <v>-67164632000</v>
      </c>
      <c r="J904">
        <v>-37774595000</v>
      </c>
      <c r="K904">
        <v>-27679642000</v>
      </c>
      <c r="L904">
        <v>-4885983000</v>
      </c>
      <c r="M904">
        <v>-26862513000</v>
      </c>
      <c r="N904">
        <v>-22945144000</v>
      </c>
      <c r="O904">
        <v>-3264845000</v>
      </c>
      <c r="P904">
        <v>1361</v>
      </c>
      <c r="Q904" t="s">
        <v>1852</v>
      </c>
    </row>
    <row r="905" spans="1:17" x14ac:dyDescent="0.3">
      <c r="A905" t="s">
        <v>17</v>
      </c>
      <c r="B905" t="str">
        <f>"601187"</f>
        <v>601187</v>
      </c>
      <c r="C905" t="s">
        <v>1853</v>
      </c>
      <c r="D905" t="s">
        <v>19</v>
      </c>
      <c r="F905">
        <v>-20203393000</v>
      </c>
      <c r="G905">
        <v>-18297501000</v>
      </c>
      <c r="H905">
        <v>-24059580000</v>
      </c>
      <c r="K905">
        <v>10346520544</v>
      </c>
      <c r="P905">
        <v>177</v>
      </c>
      <c r="Q905" t="s">
        <v>1854</v>
      </c>
    </row>
    <row r="906" spans="1:17" x14ac:dyDescent="0.3">
      <c r="A906" t="s">
        <v>17</v>
      </c>
      <c r="B906" t="str">
        <f>"601188"</f>
        <v>601188</v>
      </c>
      <c r="C906" t="s">
        <v>1855</v>
      </c>
      <c r="D906" t="s">
        <v>22</v>
      </c>
      <c r="F906">
        <v>226771811</v>
      </c>
      <c r="G906">
        <v>179669980</v>
      </c>
      <c r="H906">
        <v>423583473</v>
      </c>
      <c r="I906">
        <v>367710434</v>
      </c>
      <c r="J906">
        <v>579737530</v>
      </c>
      <c r="K906">
        <v>118797488</v>
      </c>
      <c r="L906">
        <v>256851837</v>
      </c>
      <c r="M906">
        <v>158918028</v>
      </c>
      <c r="N906">
        <v>84953487</v>
      </c>
      <c r="O906">
        <v>-14818086</v>
      </c>
      <c r="P906">
        <v>124</v>
      </c>
      <c r="Q906" t="s">
        <v>1856</v>
      </c>
    </row>
    <row r="907" spans="1:17" x14ac:dyDescent="0.3">
      <c r="A907" t="s">
        <v>17</v>
      </c>
      <c r="B907" t="str">
        <f>"601198"</f>
        <v>601198</v>
      </c>
      <c r="C907" t="s">
        <v>1857</v>
      </c>
      <c r="D907" t="s">
        <v>75</v>
      </c>
      <c r="F907">
        <v>6411486811</v>
      </c>
      <c r="G907">
        <v>-2715701901</v>
      </c>
      <c r="H907">
        <v>4058711912</v>
      </c>
      <c r="I907">
        <v>-3715853233</v>
      </c>
      <c r="J907">
        <v>-2390112019</v>
      </c>
      <c r="K907">
        <v>-3394475100</v>
      </c>
      <c r="L907">
        <v>577732802</v>
      </c>
      <c r="M907">
        <v>4109269047.79</v>
      </c>
      <c r="P907">
        <v>814</v>
      </c>
      <c r="Q907" t="s">
        <v>1858</v>
      </c>
    </row>
    <row r="908" spans="1:17" x14ac:dyDescent="0.3">
      <c r="A908" t="s">
        <v>17</v>
      </c>
      <c r="B908" t="str">
        <f>"601199"</f>
        <v>601199</v>
      </c>
      <c r="C908" t="s">
        <v>1859</v>
      </c>
      <c r="D908" t="s">
        <v>33</v>
      </c>
      <c r="F908">
        <v>-133783354</v>
      </c>
      <c r="G908">
        <v>226991537</v>
      </c>
      <c r="H908">
        <v>72494121</v>
      </c>
      <c r="I908">
        <v>-109125362</v>
      </c>
      <c r="J908">
        <v>-98409996</v>
      </c>
      <c r="K908">
        <v>55299163</v>
      </c>
      <c r="L908">
        <v>41525606</v>
      </c>
      <c r="M908">
        <v>171594497</v>
      </c>
      <c r="N908">
        <v>155031563</v>
      </c>
      <c r="O908">
        <v>223137550</v>
      </c>
      <c r="P908">
        <v>186</v>
      </c>
      <c r="Q908" t="s">
        <v>1860</v>
      </c>
    </row>
    <row r="909" spans="1:17" x14ac:dyDescent="0.3">
      <c r="A909" t="s">
        <v>17</v>
      </c>
      <c r="B909" t="str">
        <f>"601200"</f>
        <v>601200</v>
      </c>
      <c r="C909" t="s">
        <v>1861</v>
      </c>
      <c r="D909" t="s">
        <v>33</v>
      </c>
      <c r="F909">
        <v>-1399804989</v>
      </c>
      <c r="G909">
        <v>-2395610568</v>
      </c>
      <c r="H909">
        <v>-1422383240</v>
      </c>
      <c r="I909">
        <v>-1003505561</v>
      </c>
      <c r="J909">
        <v>212855032</v>
      </c>
      <c r="K909">
        <v>-336934920</v>
      </c>
      <c r="P909">
        <v>326</v>
      </c>
      <c r="Q909" t="s">
        <v>1862</v>
      </c>
    </row>
    <row r="910" spans="1:17" x14ac:dyDescent="0.3">
      <c r="A910" t="s">
        <v>17</v>
      </c>
      <c r="B910" t="str">
        <f>"601208"</f>
        <v>601208</v>
      </c>
      <c r="C910" t="s">
        <v>1863</v>
      </c>
      <c r="D910" t="s">
        <v>133</v>
      </c>
      <c r="F910">
        <v>-219778196</v>
      </c>
      <c r="G910">
        <v>-109407006</v>
      </c>
      <c r="H910">
        <v>-19868394</v>
      </c>
      <c r="I910">
        <v>41643212</v>
      </c>
      <c r="J910">
        <v>-19798905</v>
      </c>
      <c r="K910">
        <v>205004397</v>
      </c>
      <c r="L910">
        <v>9897653</v>
      </c>
      <c r="M910">
        <v>-74304619</v>
      </c>
      <c r="N910">
        <v>-412111196</v>
      </c>
      <c r="O910">
        <v>31189610</v>
      </c>
      <c r="P910">
        <v>3075</v>
      </c>
      <c r="Q910" t="s">
        <v>1864</v>
      </c>
    </row>
    <row r="911" spans="1:17" x14ac:dyDescent="0.3">
      <c r="A911" t="s">
        <v>17</v>
      </c>
      <c r="B911" t="str">
        <f>"601211"</f>
        <v>601211</v>
      </c>
      <c r="C911" t="s">
        <v>1865</v>
      </c>
      <c r="D911" t="s">
        <v>75</v>
      </c>
      <c r="F911">
        <v>-891362663</v>
      </c>
      <c r="G911">
        <v>-5009114485</v>
      </c>
      <c r="H911">
        <v>25321544796</v>
      </c>
      <c r="I911">
        <v>42357612259</v>
      </c>
      <c r="J911">
        <v>-45128912249</v>
      </c>
      <c r="K911">
        <v>-55428664550</v>
      </c>
      <c r="L911">
        <v>74541361513</v>
      </c>
      <c r="M911">
        <v>14317334875</v>
      </c>
      <c r="P911">
        <v>3571</v>
      </c>
      <c r="Q911" t="s">
        <v>1866</v>
      </c>
    </row>
    <row r="912" spans="1:17" x14ac:dyDescent="0.3">
      <c r="A912" t="s">
        <v>17</v>
      </c>
      <c r="B912" t="str">
        <f>"601212"</f>
        <v>601212</v>
      </c>
      <c r="C912" t="s">
        <v>1867</v>
      </c>
      <c r="D912" t="s">
        <v>234</v>
      </c>
      <c r="F912">
        <v>305280648</v>
      </c>
      <c r="G912">
        <v>1960999799</v>
      </c>
      <c r="H912">
        <v>1405416119</v>
      </c>
      <c r="I912">
        <v>591997145</v>
      </c>
      <c r="J912">
        <v>-860842828</v>
      </c>
      <c r="K912">
        <v>1621389769</v>
      </c>
      <c r="L912">
        <v>2376046647</v>
      </c>
      <c r="P912">
        <v>185</v>
      </c>
      <c r="Q912" t="s">
        <v>1868</v>
      </c>
    </row>
    <row r="913" spans="1:17" x14ac:dyDescent="0.3">
      <c r="A913" t="s">
        <v>17</v>
      </c>
      <c r="B913" t="str">
        <f>"601216"</f>
        <v>601216</v>
      </c>
      <c r="C913" t="s">
        <v>1869</v>
      </c>
      <c r="D913" t="s">
        <v>133</v>
      </c>
      <c r="F913">
        <v>3498190570</v>
      </c>
      <c r="G913">
        <v>2427073694</v>
      </c>
      <c r="H913">
        <v>1581654462</v>
      </c>
      <c r="I913">
        <v>1943302747</v>
      </c>
      <c r="J913">
        <v>595803966</v>
      </c>
      <c r="K913">
        <v>1068268748</v>
      </c>
      <c r="L913">
        <v>843204812</v>
      </c>
      <c r="M913">
        <v>-345231480</v>
      </c>
      <c r="N913">
        <v>-455071928</v>
      </c>
      <c r="O913">
        <v>-552556435</v>
      </c>
      <c r="P913">
        <v>957</v>
      </c>
      <c r="Q913" t="s">
        <v>1870</v>
      </c>
    </row>
    <row r="914" spans="1:17" x14ac:dyDescent="0.3">
      <c r="A914" t="s">
        <v>17</v>
      </c>
      <c r="B914" t="str">
        <f>"601218"</f>
        <v>601218</v>
      </c>
      <c r="C914" t="s">
        <v>1871</v>
      </c>
      <c r="D914" t="s">
        <v>188</v>
      </c>
      <c r="F914">
        <v>-107205288</v>
      </c>
      <c r="G914">
        <v>171928764</v>
      </c>
      <c r="H914">
        <v>-136660628</v>
      </c>
      <c r="I914">
        <v>-272527570</v>
      </c>
      <c r="J914">
        <v>-170929194</v>
      </c>
      <c r="K914">
        <v>76709436</v>
      </c>
      <c r="L914">
        <v>-133828713</v>
      </c>
      <c r="M914">
        <v>6904666</v>
      </c>
      <c r="N914">
        <v>-144226034</v>
      </c>
      <c r="O914">
        <v>-163355207</v>
      </c>
      <c r="P914">
        <v>146</v>
      </c>
      <c r="Q914" t="s">
        <v>1872</v>
      </c>
    </row>
    <row r="915" spans="1:17" x14ac:dyDescent="0.3">
      <c r="A915" t="s">
        <v>17</v>
      </c>
      <c r="B915" t="str">
        <f>"601222"</f>
        <v>601222</v>
      </c>
      <c r="C915" t="s">
        <v>1873</v>
      </c>
      <c r="D915" t="s">
        <v>41</v>
      </c>
      <c r="F915">
        <v>140374115</v>
      </c>
      <c r="G915">
        <v>470941853</v>
      </c>
      <c r="H915">
        <v>-93893776</v>
      </c>
      <c r="I915">
        <v>-877848048</v>
      </c>
      <c r="J915">
        <v>-1523474254</v>
      </c>
      <c r="K915">
        <v>-2183601790</v>
      </c>
      <c r="L915">
        <v>-724568628</v>
      </c>
      <c r="M915">
        <v>-122762400</v>
      </c>
      <c r="N915">
        <v>-16753503</v>
      </c>
      <c r="O915">
        <v>-88353907</v>
      </c>
      <c r="P915">
        <v>557</v>
      </c>
      <c r="Q915" t="s">
        <v>1874</v>
      </c>
    </row>
    <row r="916" spans="1:17" x14ac:dyDescent="0.3">
      <c r="A916" t="s">
        <v>17</v>
      </c>
      <c r="B916" t="str">
        <f>"601225"</f>
        <v>601225</v>
      </c>
      <c r="C916" t="s">
        <v>1875</v>
      </c>
      <c r="D916" t="s">
        <v>257</v>
      </c>
      <c r="F916">
        <v>28403847171</v>
      </c>
      <c r="G916">
        <v>8194774150</v>
      </c>
      <c r="H916">
        <v>12892223683</v>
      </c>
      <c r="I916">
        <v>11180047157</v>
      </c>
      <c r="J916">
        <v>9499261970</v>
      </c>
      <c r="K916">
        <v>3610686522</v>
      </c>
      <c r="L916">
        <v>-1574827768</v>
      </c>
      <c r="M916">
        <v>-2090633169</v>
      </c>
      <c r="N916">
        <v>-1287781014</v>
      </c>
      <c r="P916">
        <v>2638</v>
      </c>
      <c r="Q916" t="s">
        <v>1876</v>
      </c>
    </row>
    <row r="917" spans="1:17" x14ac:dyDescent="0.3">
      <c r="A917" t="s">
        <v>17</v>
      </c>
      <c r="B917" t="str">
        <f>"601226"</f>
        <v>601226</v>
      </c>
      <c r="C917" t="s">
        <v>1877</v>
      </c>
      <c r="D917" t="s">
        <v>95</v>
      </c>
      <c r="F917">
        <v>-27860792</v>
      </c>
      <c r="G917">
        <v>-536214823</v>
      </c>
      <c r="H917">
        <v>137226095</v>
      </c>
      <c r="I917">
        <v>-254566874</v>
      </c>
      <c r="J917">
        <v>-315436435</v>
      </c>
      <c r="K917">
        <v>75932612</v>
      </c>
      <c r="L917">
        <v>-671259986</v>
      </c>
      <c r="M917">
        <v>-453542184</v>
      </c>
      <c r="N917">
        <v>-200297510</v>
      </c>
      <c r="P917">
        <v>114</v>
      </c>
      <c r="Q917" t="s">
        <v>1878</v>
      </c>
    </row>
    <row r="918" spans="1:17" x14ac:dyDescent="0.3">
      <c r="A918" t="s">
        <v>17</v>
      </c>
      <c r="B918" t="str">
        <f>"601228"</f>
        <v>601228</v>
      </c>
      <c r="C918" t="s">
        <v>1879</v>
      </c>
      <c r="D918" t="s">
        <v>22</v>
      </c>
      <c r="F918">
        <v>-2096193518</v>
      </c>
      <c r="G918">
        <v>-553239948</v>
      </c>
      <c r="H918">
        <v>525603900</v>
      </c>
      <c r="I918">
        <v>592008778</v>
      </c>
      <c r="J918">
        <v>609324851</v>
      </c>
      <c r="K918">
        <v>402896059</v>
      </c>
      <c r="P918">
        <v>189</v>
      </c>
      <c r="Q918" t="s">
        <v>1880</v>
      </c>
    </row>
    <row r="919" spans="1:17" x14ac:dyDescent="0.3">
      <c r="A919" t="s">
        <v>17</v>
      </c>
      <c r="B919" t="str">
        <f>"601229"</f>
        <v>601229</v>
      </c>
      <c r="C919" t="s">
        <v>1881</v>
      </c>
      <c r="D919" t="s">
        <v>19</v>
      </c>
      <c r="F919">
        <v>9837161000</v>
      </c>
      <c r="G919">
        <v>14805953000</v>
      </c>
      <c r="H919">
        <v>-12906755000</v>
      </c>
      <c r="I919">
        <v>-83219329000</v>
      </c>
      <c r="J919">
        <v>-87046944000</v>
      </c>
      <c r="K919">
        <v>104440028000</v>
      </c>
      <c r="L919">
        <v>29883291000</v>
      </c>
      <c r="P919">
        <v>1546</v>
      </c>
      <c r="Q919" t="s">
        <v>1882</v>
      </c>
    </row>
    <row r="920" spans="1:17" x14ac:dyDescent="0.3">
      <c r="A920" t="s">
        <v>17</v>
      </c>
      <c r="B920" t="str">
        <f>"601231"</f>
        <v>601231</v>
      </c>
      <c r="C920" t="s">
        <v>1883</v>
      </c>
      <c r="D920" t="s">
        <v>150</v>
      </c>
      <c r="F920">
        <v>-3043564436</v>
      </c>
      <c r="G920">
        <v>-1269964838</v>
      </c>
      <c r="H920">
        <v>-140142379</v>
      </c>
      <c r="I920">
        <v>-415446633</v>
      </c>
      <c r="J920">
        <v>747901816</v>
      </c>
      <c r="K920">
        <v>513584854</v>
      </c>
      <c r="L920">
        <v>-1087030984</v>
      </c>
      <c r="M920">
        <v>158080305</v>
      </c>
      <c r="N920">
        <v>875650467</v>
      </c>
      <c r="O920">
        <v>108770794</v>
      </c>
      <c r="P920">
        <v>735</v>
      </c>
      <c r="Q920" t="s">
        <v>1884</v>
      </c>
    </row>
    <row r="921" spans="1:17" x14ac:dyDescent="0.3">
      <c r="A921" t="s">
        <v>17</v>
      </c>
      <c r="B921" t="str">
        <f>"601233"</f>
        <v>601233</v>
      </c>
      <c r="C921" t="s">
        <v>1885</v>
      </c>
      <c r="D921" t="s">
        <v>70</v>
      </c>
      <c r="F921">
        <v>-5095470111</v>
      </c>
      <c r="G921">
        <v>-1001233669</v>
      </c>
      <c r="H921">
        <v>4015813731</v>
      </c>
      <c r="I921">
        <v>260052616</v>
      </c>
      <c r="J921">
        <v>-771012750</v>
      </c>
      <c r="K921">
        <v>-470700039</v>
      </c>
      <c r="L921">
        <v>18942566</v>
      </c>
      <c r="M921">
        <v>2239254009</v>
      </c>
      <c r="N921">
        <v>-1030372949</v>
      </c>
      <c r="O921">
        <v>-2136980478</v>
      </c>
      <c r="P921">
        <v>807</v>
      </c>
      <c r="Q921" t="s">
        <v>1886</v>
      </c>
    </row>
    <row r="922" spans="1:17" x14ac:dyDescent="0.3">
      <c r="A922" t="s">
        <v>17</v>
      </c>
      <c r="B922" t="str">
        <f>"601236"</f>
        <v>601236</v>
      </c>
      <c r="C922" t="s">
        <v>1887</v>
      </c>
      <c r="D922" t="s">
        <v>75</v>
      </c>
      <c r="F922">
        <v>1395241700</v>
      </c>
      <c r="G922">
        <v>2787899480</v>
      </c>
      <c r="H922">
        <v>-4016516307</v>
      </c>
      <c r="I922">
        <v>-8052971379</v>
      </c>
      <c r="P922">
        <v>879</v>
      </c>
      <c r="Q922" t="s">
        <v>1888</v>
      </c>
    </row>
    <row r="923" spans="1:17" x14ac:dyDescent="0.3">
      <c r="A923" t="s">
        <v>17</v>
      </c>
      <c r="B923" t="str">
        <f>"601238"</f>
        <v>601238</v>
      </c>
      <c r="C923" t="s">
        <v>1889</v>
      </c>
      <c r="D923" t="s">
        <v>27</v>
      </c>
      <c r="F923">
        <v>-11614073525</v>
      </c>
      <c r="G923">
        <v>-12200235087</v>
      </c>
      <c r="H923">
        <v>-16499740620</v>
      </c>
      <c r="I923">
        <v>-11636668813</v>
      </c>
      <c r="J923">
        <v>241644396</v>
      </c>
      <c r="K923">
        <v>1924680109</v>
      </c>
      <c r="L923">
        <v>-714901623</v>
      </c>
      <c r="M923">
        <v>-1964589602</v>
      </c>
      <c r="N923">
        <v>-534984783</v>
      </c>
      <c r="O923">
        <v>-2242471545</v>
      </c>
      <c r="P923">
        <v>1300</v>
      </c>
      <c r="Q923" t="s">
        <v>1890</v>
      </c>
    </row>
    <row r="924" spans="1:17" x14ac:dyDescent="0.3">
      <c r="A924" t="s">
        <v>17</v>
      </c>
      <c r="B924" t="str">
        <f>"601258"</f>
        <v>601258</v>
      </c>
      <c r="C924" t="s">
        <v>1891</v>
      </c>
      <c r="D924" t="s">
        <v>27</v>
      </c>
      <c r="F924">
        <v>-99574387</v>
      </c>
      <c r="G924">
        <v>-1130429580</v>
      </c>
      <c r="H924">
        <v>-3570364361</v>
      </c>
      <c r="I924">
        <v>-10321112855</v>
      </c>
      <c r="J924">
        <v>-6428025135</v>
      </c>
      <c r="K924">
        <v>-2013632954</v>
      </c>
      <c r="L924">
        <v>2111416072</v>
      </c>
      <c r="M924">
        <v>3714329474</v>
      </c>
      <c r="N924">
        <v>8267843208</v>
      </c>
      <c r="O924">
        <v>-7349837073</v>
      </c>
      <c r="P924">
        <v>133</v>
      </c>
      <c r="Q924" t="s">
        <v>1892</v>
      </c>
    </row>
    <row r="925" spans="1:17" x14ac:dyDescent="0.3">
      <c r="A925" t="s">
        <v>17</v>
      </c>
      <c r="B925" t="str">
        <f>"601268"</f>
        <v>601268</v>
      </c>
      <c r="C925" t="s">
        <v>1893</v>
      </c>
      <c r="K925">
        <v>-227433049.12</v>
      </c>
      <c r="L925">
        <v>-1513511306.9100001</v>
      </c>
      <c r="M925">
        <v>-526347350.49000001</v>
      </c>
      <c r="N925">
        <v>-1420844334.79</v>
      </c>
      <c r="O925">
        <v>-2215603324.0599999</v>
      </c>
      <c r="P925">
        <v>2</v>
      </c>
      <c r="Q925" t="s">
        <v>1894</v>
      </c>
    </row>
    <row r="926" spans="1:17" x14ac:dyDescent="0.3">
      <c r="A926" t="s">
        <v>17</v>
      </c>
      <c r="B926" t="str">
        <f>"601279"</f>
        <v>601279</v>
      </c>
      <c r="C926" t="s">
        <v>1895</v>
      </c>
      <c r="D926" t="s">
        <v>27</v>
      </c>
      <c r="F926">
        <v>-126783107</v>
      </c>
      <c r="G926">
        <v>477901266</v>
      </c>
      <c r="P926">
        <v>43</v>
      </c>
      <c r="Q926" t="s">
        <v>1896</v>
      </c>
    </row>
    <row r="927" spans="1:17" x14ac:dyDescent="0.3">
      <c r="A927" t="s">
        <v>17</v>
      </c>
      <c r="B927" t="str">
        <f>"601288"</f>
        <v>601288</v>
      </c>
      <c r="C927" t="s">
        <v>1897</v>
      </c>
      <c r="D927" t="s">
        <v>19</v>
      </c>
      <c r="F927">
        <v>141523000000</v>
      </c>
      <c r="G927">
        <v>-296171000000</v>
      </c>
      <c r="H927">
        <v>97209000000</v>
      </c>
      <c r="I927">
        <v>105516000000</v>
      </c>
      <c r="J927">
        <v>587434000000</v>
      </c>
      <c r="K927">
        <v>500870000000</v>
      </c>
      <c r="L927">
        <v>500358000000</v>
      </c>
      <c r="M927">
        <v>51747000000</v>
      </c>
      <c r="N927">
        <v>131140000000</v>
      </c>
      <c r="O927">
        <v>516335000000</v>
      </c>
      <c r="P927">
        <v>9499</v>
      </c>
      <c r="Q927" t="s">
        <v>1898</v>
      </c>
    </row>
    <row r="928" spans="1:17" x14ac:dyDescent="0.3">
      <c r="A928" t="s">
        <v>17</v>
      </c>
      <c r="B928" t="str">
        <f>"601298"</f>
        <v>601298</v>
      </c>
      <c r="C928" t="s">
        <v>1899</v>
      </c>
      <c r="D928" t="s">
        <v>22</v>
      </c>
      <c r="F928">
        <v>-93419445</v>
      </c>
      <c r="G928">
        <v>-345738515</v>
      </c>
      <c r="H928">
        <v>607827976</v>
      </c>
      <c r="I928">
        <v>1654668100</v>
      </c>
      <c r="J928">
        <v>1565457500</v>
      </c>
      <c r="P928">
        <v>431</v>
      </c>
      <c r="Q928" t="s">
        <v>1900</v>
      </c>
    </row>
    <row r="929" spans="1:17" x14ac:dyDescent="0.3">
      <c r="A929" t="s">
        <v>17</v>
      </c>
      <c r="B929" t="str">
        <f>"601299"</f>
        <v>601299</v>
      </c>
      <c r="C929" t="s">
        <v>1901</v>
      </c>
      <c r="M929">
        <v>-14237426000</v>
      </c>
      <c r="N929">
        <v>-14804444000</v>
      </c>
      <c r="O929">
        <v>-9416905000</v>
      </c>
      <c r="P929">
        <v>12</v>
      </c>
      <c r="Q929" t="s">
        <v>1902</v>
      </c>
    </row>
    <row r="930" spans="1:17" x14ac:dyDescent="0.3">
      <c r="A930" t="s">
        <v>17</v>
      </c>
      <c r="B930" t="str">
        <f>"601311"</f>
        <v>601311</v>
      </c>
      <c r="C930" t="s">
        <v>1903</v>
      </c>
      <c r="D930" t="s">
        <v>188</v>
      </c>
      <c r="F930">
        <v>68214305</v>
      </c>
      <c r="G930">
        <v>438965390</v>
      </c>
      <c r="H930">
        <v>310574066</v>
      </c>
      <c r="I930">
        <v>180089008</v>
      </c>
      <c r="J930">
        <v>-541570309</v>
      </c>
      <c r="K930">
        <v>103118253</v>
      </c>
      <c r="L930">
        <v>430886527</v>
      </c>
      <c r="M930">
        <v>-115691767</v>
      </c>
      <c r="N930">
        <v>116460685</v>
      </c>
      <c r="O930">
        <v>29433715</v>
      </c>
      <c r="P930">
        <v>340</v>
      </c>
      <c r="Q930" t="s">
        <v>1904</v>
      </c>
    </row>
    <row r="931" spans="1:17" x14ac:dyDescent="0.3">
      <c r="A931" t="s">
        <v>17</v>
      </c>
      <c r="B931" t="str">
        <f>"601313"</f>
        <v>601313</v>
      </c>
      <c r="C931" t="s">
        <v>1905</v>
      </c>
      <c r="I931">
        <v>2255649000</v>
      </c>
      <c r="J931">
        <v>-5291198</v>
      </c>
      <c r="K931">
        <v>-18187707.75</v>
      </c>
      <c r="L931">
        <v>60670459.159999996</v>
      </c>
      <c r="M931">
        <v>167922354.28</v>
      </c>
      <c r="N931">
        <v>193410990.56</v>
      </c>
      <c r="O931">
        <v>152305765.31</v>
      </c>
      <c r="P931">
        <v>53</v>
      </c>
      <c r="Q931" t="s">
        <v>1906</v>
      </c>
    </row>
    <row r="932" spans="1:17" x14ac:dyDescent="0.3">
      <c r="A932" t="s">
        <v>17</v>
      </c>
      <c r="B932" t="str">
        <f>"601318"</f>
        <v>601318</v>
      </c>
      <c r="C932" t="s">
        <v>1907</v>
      </c>
      <c r="D932" t="s">
        <v>75</v>
      </c>
      <c r="F932">
        <v>41217000000</v>
      </c>
      <c r="G932">
        <v>259031000000</v>
      </c>
      <c r="H932">
        <v>326301000000</v>
      </c>
      <c r="I932">
        <v>173475000000</v>
      </c>
      <c r="J932">
        <v>-3372000000</v>
      </c>
      <c r="K932">
        <v>-29345000000</v>
      </c>
      <c r="L932">
        <v>159506000000</v>
      </c>
      <c r="M932">
        <v>84161000000</v>
      </c>
      <c r="N932">
        <v>203785000000</v>
      </c>
      <c r="O932">
        <v>157864000000</v>
      </c>
      <c r="P932">
        <v>27843</v>
      </c>
      <c r="Q932" t="s">
        <v>1908</v>
      </c>
    </row>
    <row r="933" spans="1:17" x14ac:dyDescent="0.3">
      <c r="A933" t="s">
        <v>17</v>
      </c>
      <c r="B933" t="str">
        <f>"601319"</f>
        <v>601319</v>
      </c>
      <c r="C933" t="s">
        <v>1909</v>
      </c>
      <c r="D933" t="s">
        <v>75</v>
      </c>
      <c r="F933">
        <v>45644000000</v>
      </c>
      <c r="G933">
        <v>8530000000</v>
      </c>
      <c r="H933">
        <v>14050000000</v>
      </c>
      <c r="I933">
        <v>-32826000000</v>
      </c>
      <c r="J933">
        <v>-9030000000</v>
      </c>
      <c r="P933">
        <v>901</v>
      </c>
      <c r="Q933" t="s">
        <v>1910</v>
      </c>
    </row>
    <row r="934" spans="1:17" x14ac:dyDescent="0.3">
      <c r="A934" t="s">
        <v>17</v>
      </c>
      <c r="B934" t="str">
        <f>"601326"</f>
        <v>601326</v>
      </c>
      <c r="C934" t="s">
        <v>1911</v>
      </c>
      <c r="D934" t="s">
        <v>22</v>
      </c>
      <c r="F934">
        <v>1046819821</v>
      </c>
      <c r="G934">
        <v>1426461330</v>
      </c>
      <c r="H934">
        <v>1851613816</v>
      </c>
      <c r="I934">
        <v>2174999348</v>
      </c>
      <c r="J934">
        <v>1945337226</v>
      </c>
      <c r="K934">
        <v>779223556</v>
      </c>
      <c r="P934">
        <v>127</v>
      </c>
      <c r="Q934" t="s">
        <v>1912</v>
      </c>
    </row>
    <row r="935" spans="1:17" x14ac:dyDescent="0.3">
      <c r="A935" t="s">
        <v>17</v>
      </c>
      <c r="B935" t="str">
        <f>"601328"</f>
        <v>601328</v>
      </c>
      <c r="C935" t="s">
        <v>1913</v>
      </c>
      <c r="D935" t="s">
        <v>19</v>
      </c>
      <c r="F935">
        <v>-144511000000</v>
      </c>
      <c r="G935">
        <v>172147000000</v>
      </c>
      <c r="H935">
        <v>39860000000</v>
      </c>
      <c r="I935">
        <v>104676000000</v>
      </c>
      <c r="J935">
        <v>9890000000</v>
      </c>
      <c r="K935">
        <v>119888000000</v>
      </c>
      <c r="L935">
        <v>284148000000</v>
      </c>
      <c r="M935">
        <v>-25115000000</v>
      </c>
      <c r="N935">
        <v>108039000000</v>
      </c>
      <c r="O935">
        <v>45116000000</v>
      </c>
      <c r="P935">
        <v>4577</v>
      </c>
      <c r="Q935" t="s">
        <v>1914</v>
      </c>
    </row>
    <row r="936" spans="1:17" x14ac:dyDescent="0.3">
      <c r="A936" t="s">
        <v>17</v>
      </c>
      <c r="B936" t="str">
        <f>"601330"</f>
        <v>601330</v>
      </c>
      <c r="C936" t="s">
        <v>1915</v>
      </c>
      <c r="D936" t="s">
        <v>33</v>
      </c>
      <c r="F936">
        <v>-938505361</v>
      </c>
      <c r="G936">
        <v>-1093988636</v>
      </c>
      <c r="H936">
        <v>-1490936392</v>
      </c>
      <c r="I936">
        <v>-749576432</v>
      </c>
      <c r="J936">
        <v>-453391418</v>
      </c>
      <c r="P936">
        <v>234</v>
      </c>
      <c r="Q936" t="s">
        <v>1916</v>
      </c>
    </row>
    <row r="937" spans="1:17" x14ac:dyDescent="0.3">
      <c r="A937" t="s">
        <v>17</v>
      </c>
      <c r="B937" t="str">
        <f>"601333"</f>
        <v>601333</v>
      </c>
      <c r="C937" t="s">
        <v>1917</v>
      </c>
      <c r="D937" t="s">
        <v>22</v>
      </c>
      <c r="F937">
        <v>-24623556</v>
      </c>
      <c r="G937">
        <v>493073312</v>
      </c>
      <c r="H937">
        <v>445267883</v>
      </c>
      <c r="I937">
        <v>1180798120</v>
      </c>
      <c r="J937">
        <v>435151819</v>
      </c>
      <c r="K937">
        <v>-183370081</v>
      </c>
      <c r="L937">
        <v>803850821</v>
      </c>
      <c r="M937">
        <v>1009677732</v>
      </c>
      <c r="N937">
        <v>789836266</v>
      </c>
      <c r="O937">
        <v>1020860197</v>
      </c>
      <c r="P937">
        <v>318</v>
      </c>
      <c r="Q937" t="s">
        <v>1918</v>
      </c>
    </row>
    <row r="938" spans="1:17" x14ac:dyDescent="0.3">
      <c r="A938" t="s">
        <v>17</v>
      </c>
      <c r="B938" t="str">
        <f>"601336"</f>
        <v>601336</v>
      </c>
      <c r="C938" t="s">
        <v>1919</v>
      </c>
      <c r="D938" t="s">
        <v>75</v>
      </c>
      <c r="F938">
        <v>56288000000</v>
      </c>
      <c r="G938">
        <v>54056000000</v>
      </c>
      <c r="H938">
        <v>25261000000</v>
      </c>
      <c r="I938">
        <v>6167000000</v>
      </c>
      <c r="J938">
        <v>2483000000</v>
      </c>
      <c r="K938">
        <v>8578000000</v>
      </c>
      <c r="L938">
        <v>4596000000</v>
      </c>
      <c r="M938">
        <v>29200000000</v>
      </c>
      <c r="N938">
        <v>36701000000</v>
      </c>
      <c r="O938">
        <v>43811000000</v>
      </c>
      <c r="P938">
        <v>1856</v>
      </c>
      <c r="Q938" t="s">
        <v>1920</v>
      </c>
    </row>
    <row r="939" spans="1:17" x14ac:dyDescent="0.3">
      <c r="A939" t="s">
        <v>17</v>
      </c>
      <c r="B939" t="str">
        <f>"601339"</f>
        <v>601339</v>
      </c>
      <c r="C939" t="s">
        <v>1921</v>
      </c>
      <c r="D939" t="s">
        <v>227</v>
      </c>
      <c r="F939">
        <v>482613031</v>
      </c>
      <c r="G939">
        <v>730053707</v>
      </c>
      <c r="H939">
        <v>-948265265</v>
      </c>
      <c r="I939">
        <v>-1265860365</v>
      </c>
      <c r="J939">
        <v>-15291155</v>
      </c>
      <c r="K939">
        <v>759922801</v>
      </c>
      <c r="L939">
        <v>-606563489</v>
      </c>
      <c r="M939">
        <v>-855814454</v>
      </c>
      <c r="N939">
        <v>-146808560</v>
      </c>
      <c r="O939">
        <v>770272558</v>
      </c>
      <c r="P939">
        <v>207</v>
      </c>
      <c r="Q939" t="s">
        <v>1922</v>
      </c>
    </row>
    <row r="940" spans="1:17" x14ac:dyDescent="0.3">
      <c r="A940" t="s">
        <v>17</v>
      </c>
      <c r="B940" t="str">
        <f>"601360"</f>
        <v>601360</v>
      </c>
      <c r="C940" t="s">
        <v>1923</v>
      </c>
      <c r="D940" t="s">
        <v>212</v>
      </c>
      <c r="F940">
        <v>-333942000</v>
      </c>
      <c r="G940">
        <v>687941000</v>
      </c>
      <c r="H940">
        <v>1381119000</v>
      </c>
      <c r="I940">
        <v>2255649000</v>
      </c>
      <c r="J940">
        <v>-5291198</v>
      </c>
      <c r="K940">
        <v>-18187708</v>
      </c>
      <c r="L940">
        <v>60670459</v>
      </c>
      <c r="M940">
        <v>167922354</v>
      </c>
      <c r="N940">
        <v>193410991</v>
      </c>
      <c r="O940">
        <v>152305765</v>
      </c>
      <c r="P940">
        <v>1010</v>
      </c>
      <c r="Q940" t="s">
        <v>1924</v>
      </c>
    </row>
    <row r="941" spans="1:17" x14ac:dyDescent="0.3">
      <c r="A941" t="s">
        <v>17</v>
      </c>
      <c r="B941" t="str">
        <f>"601366"</f>
        <v>601366</v>
      </c>
      <c r="C941" t="s">
        <v>1925</v>
      </c>
      <c r="D941" t="s">
        <v>120</v>
      </c>
      <c r="F941">
        <v>-74697264</v>
      </c>
      <c r="G941">
        <v>-154153824</v>
      </c>
      <c r="H941">
        <v>-153973670</v>
      </c>
      <c r="I941">
        <v>167717434</v>
      </c>
      <c r="J941">
        <v>535151722</v>
      </c>
      <c r="K941">
        <v>675746709</v>
      </c>
      <c r="P941">
        <v>132</v>
      </c>
      <c r="Q941" t="s">
        <v>1926</v>
      </c>
    </row>
    <row r="942" spans="1:17" x14ac:dyDescent="0.3">
      <c r="A942" t="s">
        <v>17</v>
      </c>
      <c r="B942" t="str">
        <f>"601368"</f>
        <v>601368</v>
      </c>
      <c r="C942" t="s">
        <v>1927</v>
      </c>
      <c r="D942" t="s">
        <v>33</v>
      </c>
      <c r="F942">
        <v>-1233609431</v>
      </c>
      <c r="G942">
        <v>-1558670872</v>
      </c>
      <c r="H942">
        <v>-1214715237</v>
      </c>
      <c r="I942">
        <v>-107173801</v>
      </c>
      <c r="J942">
        <v>-54844190</v>
      </c>
      <c r="K942">
        <v>51345647</v>
      </c>
      <c r="L942">
        <v>-24411355</v>
      </c>
      <c r="M942">
        <v>46875423</v>
      </c>
      <c r="P942">
        <v>109</v>
      </c>
      <c r="Q942" t="s">
        <v>1928</v>
      </c>
    </row>
    <row r="943" spans="1:17" x14ac:dyDescent="0.3">
      <c r="A943" t="s">
        <v>17</v>
      </c>
      <c r="B943" t="str">
        <f>"601369"</f>
        <v>601369</v>
      </c>
      <c r="C943" t="s">
        <v>1929</v>
      </c>
      <c r="D943" t="s">
        <v>78</v>
      </c>
      <c r="F943">
        <v>583017832</v>
      </c>
      <c r="G943">
        <v>701019852</v>
      </c>
      <c r="H943">
        <v>691403021</v>
      </c>
      <c r="I943">
        <v>470056025</v>
      </c>
      <c r="J943">
        <v>-146092645</v>
      </c>
      <c r="K943">
        <v>-297501119</v>
      </c>
      <c r="L943">
        <v>-298455844</v>
      </c>
      <c r="M943">
        <v>154893491</v>
      </c>
      <c r="N943">
        <v>-43763453</v>
      </c>
      <c r="O943">
        <v>103180924</v>
      </c>
      <c r="P943">
        <v>219</v>
      </c>
      <c r="Q943" t="s">
        <v>1930</v>
      </c>
    </row>
    <row r="944" spans="1:17" x14ac:dyDescent="0.3">
      <c r="A944" t="s">
        <v>17</v>
      </c>
      <c r="B944" t="str">
        <f>"601375"</f>
        <v>601375</v>
      </c>
      <c r="C944" t="s">
        <v>1931</v>
      </c>
      <c r="D944" t="s">
        <v>75</v>
      </c>
      <c r="F944">
        <v>-880486926</v>
      </c>
      <c r="G944">
        <v>1186942160</v>
      </c>
      <c r="H944">
        <v>2483525515</v>
      </c>
      <c r="I944">
        <v>-1120725845</v>
      </c>
      <c r="J944">
        <v>-2873158274</v>
      </c>
      <c r="K944">
        <v>-2688641500</v>
      </c>
      <c r="L944">
        <v>2739475900</v>
      </c>
      <c r="M944">
        <v>823005023.79999995</v>
      </c>
      <c r="N944">
        <v>-432876712.17000002</v>
      </c>
      <c r="P944">
        <v>690</v>
      </c>
      <c r="Q944" t="s">
        <v>1932</v>
      </c>
    </row>
    <row r="945" spans="1:17" x14ac:dyDescent="0.3">
      <c r="A945" t="s">
        <v>17</v>
      </c>
      <c r="B945" t="str">
        <f>"601377"</f>
        <v>601377</v>
      </c>
      <c r="C945" t="s">
        <v>1933</v>
      </c>
      <c r="D945" t="s">
        <v>75</v>
      </c>
      <c r="F945">
        <v>14576907592</v>
      </c>
      <c r="G945">
        <v>4583663695</v>
      </c>
      <c r="H945">
        <v>25304244371</v>
      </c>
      <c r="I945">
        <v>10024771096</v>
      </c>
      <c r="J945">
        <v>-18030807168</v>
      </c>
      <c r="K945">
        <v>-15979352401</v>
      </c>
      <c r="L945">
        <v>14442599100</v>
      </c>
      <c r="M945">
        <v>-2214233993</v>
      </c>
      <c r="N945">
        <v>-4115534838</v>
      </c>
      <c r="O945">
        <v>-1462832078</v>
      </c>
      <c r="P945">
        <v>1731</v>
      </c>
      <c r="Q945" t="s">
        <v>1934</v>
      </c>
    </row>
    <row r="946" spans="1:17" x14ac:dyDescent="0.3">
      <c r="A946" t="s">
        <v>17</v>
      </c>
      <c r="B946" t="str">
        <f>"601388"</f>
        <v>601388</v>
      </c>
      <c r="C946" t="s">
        <v>1935</v>
      </c>
      <c r="D946" t="s">
        <v>234</v>
      </c>
      <c r="F946">
        <v>324427019</v>
      </c>
      <c r="G946">
        <v>484843273</v>
      </c>
      <c r="H946">
        <v>332985315</v>
      </c>
      <c r="I946">
        <v>34892387</v>
      </c>
      <c r="J946">
        <v>-46034762</v>
      </c>
      <c r="K946">
        <v>-18119450</v>
      </c>
      <c r="L946">
        <v>38898292</v>
      </c>
      <c r="M946">
        <v>261222658</v>
      </c>
      <c r="N946">
        <v>-169087273</v>
      </c>
      <c r="O946">
        <v>-131178703</v>
      </c>
      <c r="P946">
        <v>207</v>
      </c>
      <c r="Q946" t="s">
        <v>1936</v>
      </c>
    </row>
    <row r="947" spans="1:17" x14ac:dyDescent="0.3">
      <c r="A947" t="s">
        <v>17</v>
      </c>
      <c r="B947" t="str">
        <f>"601390"</f>
        <v>601390</v>
      </c>
      <c r="C947" t="s">
        <v>1937</v>
      </c>
      <c r="D947" t="s">
        <v>95</v>
      </c>
      <c r="F947">
        <v>-76269399000</v>
      </c>
      <c r="G947">
        <v>-60881275000</v>
      </c>
      <c r="H947">
        <v>-49527170000</v>
      </c>
      <c r="I947">
        <v>-40942333000</v>
      </c>
      <c r="J947">
        <v>-21320876000</v>
      </c>
      <c r="K947">
        <v>-4836427000</v>
      </c>
      <c r="L947">
        <v>-14655306000</v>
      </c>
      <c r="M947">
        <v>-13773252000</v>
      </c>
      <c r="N947">
        <v>-10613910000</v>
      </c>
      <c r="O947">
        <v>-19106975000</v>
      </c>
      <c r="P947">
        <v>1323</v>
      </c>
      <c r="Q947" t="s">
        <v>1938</v>
      </c>
    </row>
    <row r="948" spans="1:17" x14ac:dyDescent="0.3">
      <c r="A948" t="s">
        <v>17</v>
      </c>
      <c r="B948" t="str">
        <f>"601398"</f>
        <v>601398</v>
      </c>
      <c r="C948" t="s">
        <v>1939</v>
      </c>
      <c r="D948" t="s">
        <v>19</v>
      </c>
      <c r="F948">
        <v>958547000000</v>
      </c>
      <c r="G948">
        <v>2009944000000</v>
      </c>
      <c r="H948">
        <v>1351318000000</v>
      </c>
      <c r="I948">
        <v>849239000000</v>
      </c>
      <c r="J948">
        <v>710274000000</v>
      </c>
      <c r="K948">
        <v>272993000000</v>
      </c>
      <c r="L948">
        <v>725264000000</v>
      </c>
      <c r="M948">
        <v>52069000000</v>
      </c>
      <c r="N948">
        <v>49039000000</v>
      </c>
      <c r="O948">
        <v>874594000000</v>
      </c>
      <c r="P948">
        <v>20386</v>
      </c>
      <c r="Q948" t="s">
        <v>1940</v>
      </c>
    </row>
    <row r="949" spans="1:17" x14ac:dyDescent="0.3">
      <c r="A949" t="s">
        <v>17</v>
      </c>
      <c r="B949" t="str">
        <f>"601399"</f>
        <v>601399</v>
      </c>
      <c r="C949" t="s">
        <v>1941</v>
      </c>
      <c r="D949" t="s">
        <v>78</v>
      </c>
      <c r="F949">
        <v>101810613</v>
      </c>
      <c r="G949">
        <v>-823468224</v>
      </c>
      <c r="H949">
        <v>-1079634415</v>
      </c>
      <c r="N949">
        <v>-1420844334</v>
      </c>
      <c r="O949">
        <v>-2215603324</v>
      </c>
      <c r="P949">
        <v>53</v>
      </c>
      <c r="Q949" t="s">
        <v>1942</v>
      </c>
    </row>
    <row r="950" spans="1:17" x14ac:dyDescent="0.3">
      <c r="A950" t="s">
        <v>17</v>
      </c>
      <c r="B950" t="str">
        <f>"601456"</f>
        <v>601456</v>
      </c>
      <c r="C950" t="s">
        <v>1943</v>
      </c>
      <c r="D950" t="s">
        <v>75</v>
      </c>
      <c r="F950">
        <v>-4706515865</v>
      </c>
      <c r="G950">
        <v>-2767384618</v>
      </c>
      <c r="H950">
        <v>5446540000</v>
      </c>
      <c r="P950">
        <v>310</v>
      </c>
      <c r="Q950" t="s">
        <v>1944</v>
      </c>
    </row>
    <row r="951" spans="1:17" x14ac:dyDescent="0.3">
      <c r="A951" t="s">
        <v>17</v>
      </c>
      <c r="B951" t="str">
        <f>"601500"</f>
        <v>601500</v>
      </c>
      <c r="C951" t="s">
        <v>1945</v>
      </c>
      <c r="D951" t="s">
        <v>27</v>
      </c>
      <c r="F951">
        <v>-631026262</v>
      </c>
      <c r="G951">
        <v>-182056572</v>
      </c>
      <c r="H951">
        <v>-1206969445</v>
      </c>
      <c r="I951">
        <v>-88395226</v>
      </c>
      <c r="J951">
        <v>138309054</v>
      </c>
      <c r="K951">
        <v>199411513</v>
      </c>
      <c r="L951">
        <v>166455202</v>
      </c>
      <c r="P951">
        <v>85</v>
      </c>
      <c r="Q951" t="s">
        <v>1946</v>
      </c>
    </row>
    <row r="952" spans="1:17" x14ac:dyDescent="0.3">
      <c r="A952" t="s">
        <v>17</v>
      </c>
      <c r="B952" t="str">
        <f>"601512"</f>
        <v>601512</v>
      </c>
      <c r="C952" t="s">
        <v>1947</v>
      </c>
      <c r="D952" t="s">
        <v>30</v>
      </c>
      <c r="F952">
        <v>-26433710</v>
      </c>
      <c r="G952">
        <v>-1062212218</v>
      </c>
      <c r="H952">
        <v>-1230231075</v>
      </c>
      <c r="I952">
        <v>550971376</v>
      </c>
      <c r="P952">
        <v>103</v>
      </c>
      <c r="Q952" t="s">
        <v>1948</v>
      </c>
    </row>
    <row r="953" spans="1:17" x14ac:dyDescent="0.3">
      <c r="A953" t="s">
        <v>17</v>
      </c>
      <c r="B953" t="str">
        <f>"601515"</f>
        <v>601515</v>
      </c>
      <c r="C953" t="s">
        <v>1949</v>
      </c>
      <c r="D953" t="s">
        <v>161</v>
      </c>
      <c r="F953">
        <v>255328470</v>
      </c>
      <c r="G953">
        <v>635949812</v>
      </c>
      <c r="H953">
        <v>290039126</v>
      </c>
      <c r="I953">
        <v>169081808</v>
      </c>
      <c r="J953">
        <v>721744665</v>
      </c>
      <c r="K953">
        <v>49696424</v>
      </c>
      <c r="L953">
        <v>174610434</v>
      </c>
      <c r="M953">
        <v>338882878</v>
      </c>
      <c r="N953">
        <v>-73870891</v>
      </c>
      <c r="O953">
        <v>258536774</v>
      </c>
      <c r="P953">
        <v>28151</v>
      </c>
      <c r="Q953" t="s">
        <v>1950</v>
      </c>
    </row>
    <row r="954" spans="1:17" x14ac:dyDescent="0.3">
      <c r="A954" t="s">
        <v>17</v>
      </c>
      <c r="B954" t="str">
        <f>"601518"</f>
        <v>601518</v>
      </c>
      <c r="C954" t="s">
        <v>1951</v>
      </c>
      <c r="D954" t="s">
        <v>22</v>
      </c>
      <c r="F954">
        <v>433475465</v>
      </c>
      <c r="G954">
        <v>-22338473</v>
      </c>
      <c r="H954">
        <v>323333836</v>
      </c>
      <c r="I954">
        <v>335737814</v>
      </c>
      <c r="J954">
        <v>450136182</v>
      </c>
      <c r="K954">
        <v>-27673978</v>
      </c>
      <c r="L954">
        <v>-617883131</v>
      </c>
      <c r="M954">
        <v>-1208277264</v>
      </c>
      <c r="N954">
        <v>-45026295</v>
      </c>
      <c r="O954">
        <v>80657469</v>
      </c>
      <c r="P954">
        <v>111</v>
      </c>
      <c r="Q954" t="s">
        <v>1952</v>
      </c>
    </row>
    <row r="955" spans="1:17" x14ac:dyDescent="0.3">
      <c r="A955" t="s">
        <v>17</v>
      </c>
      <c r="B955" t="str">
        <f>"601519"</f>
        <v>601519</v>
      </c>
      <c r="C955" t="s">
        <v>1953</v>
      </c>
      <c r="D955" t="s">
        <v>212</v>
      </c>
      <c r="F955">
        <v>14264364</v>
      </c>
      <c r="G955">
        <v>-135425553</v>
      </c>
      <c r="H955">
        <v>-64533759</v>
      </c>
      <c r="I955">
        <v>-69523469</v>
      </c>
      <c r="J955">
        <v>-247570467</v>
      </c>
      <c r="K955">
        <v>-538634045</v>
      </c>
      <c r="L955">
        <v>-362818633</v>
      </c>
      <c r="M955">
        <v>-372672850</v>
      </c>
      <c r="N955">
        <v>-221746890</v>
      </c>
      <c r="O955">
        <v>-294042043</v>
      </c>
      <c r="P955">
        <v>209</v>
      </c>
      <c r="Q955" t="s">
        <v>1954</v>
      </c>
    </row>
    <row r="956" spans="1:17" x14ac:dyDescent="0.3">
      <c r="A956" t="s">
        <v>17</v>
      </c>
      <c r="B956" t="str">
        <f>"601528"</f>
        <v>601528</v>
      </c>
      <c r="C956" t="s">
        <v>1955</v>
      </c>
      <c r="D956" t="s">
        <v>19</v>
      </c>
      <c r="F956">
        <v>-5140003000</v>
      </c>
      <c r="G956">
        <v>1383683000</v>
      </c>
      <c r="P956">
        <v>49</v>
      </c>
      <c r="Q956" t="s">
        <v>1956</v>
      </c>
    </row>
    <row r="957" spans="1:17" x14ac:dyDescent="0.3">
      <c r="A957" t="s">
        <v>17</v>
      </c>
      <c r="B957" t="str">
        <f>"601555"</f>
        <v>601555</v>
      </c>
      <c r="C957" t="s">
        <v>1957</v>
      </c>
      <c r="D957" t="s">
        <v>75</v>
      </c>
      <c r="F957">
        <v>6236576366</v>
      </c>
      <c r="G957">
        <v>-3637508561</v>
      </c>
      <c r="H957">
        <v>-1430783316</v>
      </c>
      <c r="I957">
        <v>3074487983</v>
      </c>
      <c r="J957">
        <v>-10975500288</v>
      </c>
      <c r="K957">
        <v>-7941738499</v>
      </c>
      <c r="L957">
        <v>6062654878</v>
      </c>
      <c r="M957">
        <v>-1753039619</v>
      </c>
      <c r="N957">
        <v>-1270325939</v>
      </c>
      <c r="O957">
        <v>-2060355121</v>
      </c>
      <c r="P957">
        <v>937</v>
      </c>
      <c r="Q957" t="s">
        <v>1958</v>
      </c>
    </row>
    <row r="958" spans="1:17" x14ac:dyDescent="0.3">
      <c r="A958" t="s">
        <v>17</v>
      </c>
      <c r="B958" t="str">
        <f>"601558"</f>
        <v>601558</v>
      </c>
      <c r="C958" t="s">
        <v>1959</v>
      </c>
      <c r="H958">
        <v>-138771616</v>
      </c>
      <c r="I958">
        <v>-289378890</v>
      </c>
      <c r="J958">
        <v>99307033</v>
      </c>
      <c r="K958">
        <v>-179581067</v>
      </c>
      <c r="L958">
        <v>-75310038</v>
      </c>
      <c r="M958">
        <v>-225957166</v>
      </c>
      <c r="N958">
        <v>-1300481670</v>
      </c>
      <c r="O958">
        <v>-625189853</v>
      </c>
      <c r="P958">
        <v>47</v>
      </c>
      <c r="Q958" t="s">
        <v>1960</v>
      </c>
    </row>
    <row r="959" spans="1:17" x14ac:dyDescent="0.3">
      <c r="A959" t="s">
        <v>17</v>
      </c>
      <c r="B959" t="str">
        <f>"601566"</f>
        <v>601566</v>
      </c>
      <c r="C959" t="s">
        <v>1961</v>
      </c>
      <c r="D959" t="s">
        <v>227</v>
      </c>
      <c r="F959">
        <v>-26489027</v>
      </c>
      <c r="G959">
        <v>102591719</v>
      </c>
      <c r="H959">
        <v>44373984</v>
      </c>
      <c r="I959">
        <v>236404417</v>
      </c>
      <c r="J959">
        <v>258804147</v>
      </c>
      <c r="K959">
        <v>237009434</v>
      </c>
      <c r="L959">
        <v>352569380</v>
      </c>
      <c r="M959">
        <v>247160257</v>
      </c>
      <c r="N959">
        <v>278702561</v>
      </c>
      <c r="O959">
        <v>171671489</v>
      </c>
      <c r="P959">
        <v>426</v>
      </c>
      <c r="Q959" t="s">
        <v>1962</v>
      </c>
    </row>
    <row r="960" spans="1:17" x14ac:dyDescent="0.3">
      <c r="A960" t="s">
        <v>17</v>
      </c>
      <c r="B960" t="str">
        <f>"601567"</f>
        <v>601567</v>
      </c>
      <c r="C960" t="s">
        <v>1963</v>
      </c>
      <c r="D960" t="s">
        <v>188</v>
      </c>
      <c r="F960">
        <v>-623447145</v>
      </c>
      <c r="G960">
        <v>21041965</v>
      </c>
      <c r="H960">
        <v>-80337199</v>
      </c>
      <c r="I960">
        <v>-171239184</v>
      </c>
      <c r="J960">
        <v>90926297</v>
      </c>
      <c r="K960">
        <v>-250145245</v>
      </c>
      <c r="L960">
        <v>-172476688</v>
      </c>
      <c r="M960">
        <v>-377179704</v>
      </c>
      <c r="N960">
        <v>-200790291</v>
      </c>
      <c r="O960">
        <v>-157407286</v>
      </c>
      <c r="P960">
        <v>325</v>
      </c>
      <c r="Q960" t="s">
        <v>1964</v>
      </c>
    </row>
    <row r="961" spans="1:17" x14ac:dyDescent="0.3">
      <c r="A961" t="s">
        <v>17</v>
      </c>
      <c r="B961" t="str">
        <f>"601568"</f>
        <v>601568</v>
      </c>
      <c r="C961" t="s">
        <v>1965</v>
      </c>
      <c r="D961" t="s">
        <v>133</v>
      </c>
      <c r="F961">
        <v>2363985862</v>
      </c>
      <c r="G961">
        <v>1645237853</v>
      </c>
      <c r="H961">
        <v>947616339</v>
      </c>
      <c r="P961">
        <v>121</v>
      </c>
      <c r="Q961" t="s">
        <v>1966</v>
      </c>
    </row>
    <row r="962" spans="1:17" x14ac:dyDescent="0.3">
      <c r="A962" t="s">
        <v>17</v>
      </c>
      <c r="B962" t="str">
        <f>"601577"</f>
        <v>601577</v>
      </c>
      <c r="C962" t="s">
        <v>1967</v>
      </c>
      <c r="D962" t="s">
        <v>19</v>
      </c>
      <c r="F962">
        <v>17531234000</v>
      </c>
      <c r="G962">
        <v>24947468000</v>
      </c>
      <c r="H962">
        <v>-14415290000</v>
      </c>
      <c r="I962">
        <v>-37820084000</v>
      </c>
      <c r="J962">
        <v>11092449000</v>
      </c>
      <c r="K962">
        <v>6327421000</v>
      </c>
      <c r="P962">
        <v>927</v>
      </c>
      <c r="Q962" t="s">
        <v>1968</v>
      </c>
    </row>
    <row r="963" spans="1:17" x14ac:dyDescent="0.3">
      <c r="A963" t="s">
        <v>17</v>
      </c>
      <c r="B963" t="str">
        <f>"601579"</f>
        <v>601579</v>
      </c>
      <c r="C963" t="s">
        <v>1969</v>
      </c>
      <c r="D963" t="s">
        <v>123</v>
      </c>
      <c r="F963">
        <v>-165373469</v>
      </c>
      <c r="G963">
        <v>-36232954</v>
      </c>
      <c r="H963">
        <v>-239756751</v>
      </c>
      <c r="I963">
        <v>-500364872</v>
      </c>
      <c r="J963">
        <v>-185489414</v>
      </c>
      <c r="K963">
        <v>-86598880</v>
      </c>
      <c r="L963">
        <v>-302707056</v>
      </c>
      <c r="M963">
        <v>-255821053</v>
      </c>
      <c r="N963">
        <v>-205792410</v>
      </c>
      <c r="P963">
        <v>186</v>
      </c>
      <c r="Q963" t="s">
        <v>1970</v>
      </c>
    </row>
    <row r="964" spans="1:17" x14ac:dyDescent="0.3">
      <c r="A964" t="s">
        <v>17</v>
      </c>
      <c r="B964" t="str">
        <f>"601588"</f>
        <v>601588</v>
      </c>
      <c r="C964" t="s">
        <v>1971</v>
      </c>
      <c r="D964" t="s">
        <v>30</v>
      </c>
      <c r="F964">
        <v>3820388413</v>
      </c>
      <c r="G964">
        <v>-36720402</v>
      </c>
      <c r="H964">
        <v>749362558</v>
      </c>
      <c r="I964">
        <v>3016366265</v>
      </c>
      <c r="J964">
        <v>459135998</v>
      </c>
      <c r="K964">
        <v>5651444315</v>
      </c>
      <c r="L964">
        <v>-1682033930</v>
      </c>
      <c r="M964">
        <v>-340634959</v>
      </c>
      <c r="N964">
        <v>603849521</v>
      </c>
      <c r="O964">
        <v>179632610</v>
      </c>
      <c r="P964">
        <v>536</v>
      </c>
      <c r="Q964" t="s">
        <v>1972</v>
      </c>
    </row>
    <row r="965" spans="1:17" x14ac:dyDescent="0.3">
      <c r="A965" t="s">
        <v>17</v>
      </c>
      <c r="B965" t="str">
        <f>"601595"</f>
        <v>601595</v>
      </c>
      <c r="C965" t="s">
        <v>1973</v>
      </c>
      <c r="D965" t="s">
        <v>89</v>
      </c>
      <c r="F965">
        <v>86012699</v>
      </c>
      <c r="G965">
        <v>-327963692</v>
      </c>
      <c r="H965">
        <v>-93949948</v>
      </c>
      <c r="I965">
        <v>-85832811</v>
      </c>
      <c r="J965">
        <v>25373276</v>
      </c>
      <c r="K965">
        <v>78633413</v>
      </c>
      <c r="L965">
        <v>97427912</v>
      </c>
      <c r="P965">
        <v>158</v>
      </c>
      <c r="Q965" t="s">
        <v>1974</v>
      </c>
    </row>
    <row r="966" spans="1:17" x14ac:dyDescent="0.3">
      <c r="A966" t="s">
        <v>17</v>
      </c>
      <c r="B966" t="str">
        <f>"601598"</f>
        <v>601598</v>
      </c>
      <c r="C966" t="s">
        <v>1975</v>
      </c>
      <c r="D966" t="s">
        <v>22</v>
      </c>
      <c r="F966">
        <v>957263556</v>
      </c>
      <c r="G966">
        <v>9086162</v>
      </c>
      <c r="H966">
        <v>-1129921988</v>
      </c>
      <c r="I966">
        <v>-1298397712</v>
      </c>
      <c r="J966">
        <v>-2177396806</v>
      </c>
      <c r="P966">
        <v>316</v>
      </c>
      <c r="Q966" t="s">
        <v>1976</v>
      </c>
    </row>
    <row r="967" spans="1:17" x14ac:dyDescent="0.3">
      <c r="A967" t="s">
        <v>17</v>
      </c>
      <c r="B967" t="str">
        <f>"601599"</f>
        <v>601599</v>
      </c>
      <c r="C967" t="s">
        <v>1977</v>
      </c>
      <c r="D967" t="s">
        <v>227</v>
      </c>
      <c r="F967">
        <v>582432445</v>
      </c>
      <c r="G967">
        <v>877787136</v>
      </c>
      <c r="H967">
        <v>465293442</v>
      </c>
      <c r="I967">
        <v>272891705</v>
      </c>
      <c r="J967">
        <v>-833323150</v>
      </c>
      <c r="K967">
        <v>-792622668</v>
      </c>
      <c r="L967">
        <v>82751892</v>
      </c>
      <c r="M967">
        <v>133128987</v>
      </c>
      <c r="N967">
        <v>38318077</v>
      </c>
      <c r="O967">
        <v>-191848103</v>
      </c>
      <c r="P967">
        <v>60</v>
      </c>
      <c r="Q967" t="s">
        <v>1978</v>
      </c>
    </row>
    <row r="968" spans="1:17" x14ac:dyDescent="0.3">
      <c r="A968" t="s">
        <v>17</v>
      </c>
      <c r="B968" t="str">
        <f>"601600"</f>
        <v>601600</v>
      </c>
      <c r="C968" t="s">
        <v>1979</v>
      </c>
      <c r="D968" t="s">
        <v>234</v>
      </c>
      <c r="F968">
        <v>15907973000</v>
      </c>
      <c r="G968">
        <v>7343203000</v>
      </c>
      <c r="H968">
        <v>2436318000</v>
      </c>
      <c r="I968">
        <v>5158968000</v>
      </c>
      <c r="J968">
        <v>1890373000</v>
      </c>
      <c r="K968">
        <v>3487110000</v>
      </c>
      <c r="L968">
        <v>-3171683000</v>
      </c>
      <c r="M968">
        <v>-269098000</v>
      </c>
      <c r="N968">
        <v>-4001998000</v>
      </c>
      <c r="O968">
        <v>-7138706000</v>
      </c>
      <c r="P968">
        <v>744</v>
      </c>
      <c r="Q968" t="s">
        <v>1980</v>
      </c>
    </row>
    <row r="969" spans="1:17" x14ac:dyDescent="0.3">
      <c r="A969" t="s">
        <v>17</v>
      </c>
      <c r="B969" t="str">
        <f>"601601"</f>
        <v>601601</v>
      </c>
      <c r="C969" t="s">
        <v>1981</v>
      </c>
      <c r="D969" t="s">
        <v>75</v>
      </c>
      <c r="F969">
        <v>72939000000</v>
      </c>
      <c r="G969">
        <v>80149000000</v>
      </c>
      <c r="H969">
        <v>87678000000</v>
      </c>
      <c r="I969">
        <v>71811000000</v>
      </c>
      <c r="J969">
        <v>62962000000</v>
      </c>
      <c r="K969">
        <v>39191000000</v>
      </c>
      <c r="L969">
        <v>22695000000</v>
      </c>
      <c r="M969">
        <v>28732000000</v>
      </c>
      <c r="N969">
        <v>35430000000</v>
      </c>
      <c r="O969">
        <v>41548000000</v>
      </c>
      <c r="P969">
        <v>2648</v>
      </c>
      <c r="Q969" t="s">
        <v>1982</v>
      </c>
    </row>
    <row r="970" spans="1:17" x14ac:dyDescent="0.3">
      <c r="A970" t="s">
        <v>17</v>
      </c>
      <c r="B970" t="str">
        <f>"601606"</f>
        <v>601606</v>
      </c>
      <c r="C970" t="s">
        <v>1983</v>
      </c>
      <c r="D970" t="s">
        <v>92</v>
      </c>
      <c r="F970">
        <v>-120946296</v>
      </c>
      <c r="G970">
        <v>-138052033</v>
      </c>
      <c r="H970">
        <v>41567796</v>
      </c>
      <c r="I970">
        <v>-163421080</v>
      </c>
      <c r="J970">
        <v>-103436196</v>
      </c>
      <c r="P970">
        <v>180</v>
      </c>
      <c r="Q970" t="s">
        <v>1984</v>
      </c>
    </row>
    <row r="971" spans="1:17" x14ac:dyDescent="0.3">
      <c r="A971" t="s">
        <v>17</v>
      </c>
      <c r="B971" t="str">
        <f>"601607"</f>
        <v>601607</v>
      </c>
      <c r="C971" t="s">
        <v>1525</v>
      </c>
      <c r="D971" t="s">
        <v>113</v>
      </c>
      <c r="F971">
        <v>1215242114</v>
      </c>
      <c r="G971">
        <v>3003739236</v>
      </c>
      <c r="H971">
        <v>1926871609</v>
      </c>
      <c r="I971">
        <v>431056773</v>
      </c>
      <c r="J971">
        <v>552081555</v>
      </c>
      <c r="K971">
        <v>206833153</v>
      </c>
      <c r="L971">
        <v>-338588766</v>
      </c>
      <c r="M971">
        <v>218010465</v>
      </c>
      <c r="N971">
        <v>-23593770</v>
      </c>
      <c r="O971">
        <v>333886716</v>
      </c>
      <c r="P971">
        <v>1370</v>
      </c>
      <c r="Q971" t="s">
        <v>1985</v>
      </c>
    </row>
    <row r="972" spans="1:17" x14ac:dyDescent="0.3">
      <c r="A972" t="s">
        <v>17</v>
      </c>
      <c r="B972" t="str">
        <f>"601608"</f>
        <v>601608</v>
      </c>
      <c r="C972" t="s">
        <v>1986</v>
      </c>
      <c r="D972" t="s">
        <v>78</v>
      </c>
      <c r="F972">
        <v>32256680</v>
      </c>
      <c r="G972">
        <v>-65597876</v>
      </c>
      <c r="H972">
        <v>-85849098</v>
      </c>
      <c r="I972">
        <v>24249871</v>
      </c>
      <c r="J972">
        <v>271680516</v>
      </c>
      <c r="K972">
        <v>-464924368</v>
      </c>
      <c r="L972">
        <v>-525381779</v>
      </c>
      <c r="M972">
        <v>-669984302</v>
      </c>
      <c r="N972">
        <v>-715045126</v>
      </c>
      <c r="O972">
        <v>293106473</v>
      </c>
      <c r="P972">
        <v>178</v>
      </c>
      <c r="Q972" t="s">
        <v>1987</v>
      </c>
    </row>
    <row r="973" spans="1:17" x14ac:dyDescent="0.3">
      <c r="A973" t="s">
        <v>17</v>
      </c>
      <c r="B973" t="str">
        <f>"601609"</f>
        <v>601609</v>
      </c>
      <c r="C973" t="s">
        <v>1988</v>
      </c>
      <c r="D973" t="s">
        <v>234</v>
      </c>
      <c r="F973">
        <v>-4458174336</v>
      </c>
      <c r="G973">
        <v>-2765154521</v>
      </c>
      <c r="H973">
        <v>-1670473162</v>
      </c>
      <c r="P973">
        <v>106</v>
      </c>
      <c r="Q973" t="s">
        <v>1989</v>
      </c>
    </row>
    <row r="974" spans="1:17" x14ac:dyDescent="0.3">
      <c r="A974" t="s">
        <v>17</v>
      </c>
      <c r="B974" t="str">
        <f>"601611"</f>
        <v>601611</v>
      </c>
      <c r="C974" t="s">
        <v>1990</v>
      </c>
      <c r="D974" t="s">
        <v>95</v>
      </c>
      <c r="F974">
        <v>-8497744487</v>
      </c>
      <c r="G974">
        <v>-7050121266</v>
      </c>
      <c r="H974">
        <v>-13427161888</v>
      </c>
      <c r="I974">
        <v>-4427866005</v>
      </c>
      <c r="J974">
        <v>-2248526511</v>
      </c>
      <c r="K974">
        <v>-684354106</v>
      </c>
      <c r="L974">
        <v>-1756275442</v>
      </c>
      <c r="P974">
        <v>346</v>
      </c>
      <c r="Q974" t="s">
        <v>1991</v>
      </c>
    </row>
    <row r="975" spans="1:17" x14ac:dyDescent="0.3">
      <c r="A975" t="s">
        <v>17</v>
      </c>
      <c r="B975" t="str">
        <f>"601615"</f>
        <v>601615</v>
      </c>
      <c r="C975" t="s">
        <v>1992</v>
      </c>
      <c r="D975" t="s">
        <v>188</v>
      </c>
      <c r="F975">
        <v>-1714281046</v>
      </c>
      <c r="G975">
        <v>495767592</v>
      </c>
      <c r="H975">
        <v>-403692766</v>
      </c>
      <c r="I975">
        <v>-1475089901</v>
      </c>
      <c r="J975">
        <v>-900155430</v>
      </c>
      <c r="P975">
        <v>1068</v>
      </c>
      <c r="Q975" t="s">
        <v>1993</v>
      </c>
    </row>
    <row r="976" spans="1:17" x14ac:dyDescent="0.3">
      <c r="A976" t="s">
        <v>17</v>
      </c>
      <c r="B976" t="str">
        <f>"601616"</f>
        <v>601616</v>
      </c>
      <c r="C976" t="s">
        <v>1994</v>
      </c>
      <c r="D976" t="s">
        <v>188</v>
      </c>
      <c r="F976">
        <v>95585398</v>
      </c>
      <c r="G976">
        <v>61317584</v>
      </c>
      <c r="H976">
        <v>93679648</v>
      </c>
      <c r="I976">
        <v>227256478</v>
      </c>
      <c r="J976">
        <v>12318792</v>
      </c>
      <c r="K976">
        <v>42658567</v>
      </c>
      <c r="L976">
        <v>-16423183</v>
      </c>
      <c r="M976">
        <v>-77669135</v>
      </c>
      <c r="N976">
        <v>-71568173</v>
      </c>
      <c r="O976">
        <v>-124057990</v>
      </c>
      <c r="P976">
        <v>72</v>
      </c>
      <c r="Q976" t="s">
        <v>1995</v>
      </c>
    </row>
    <row r="977" spans="1:17" x14ac:dyDescent="0.3">
      <c r="A977" t="s">
        <v>17</v>
      </c>
      <c r="B977" t="str">
        <f>"601618"</f>
        <v>601618</v>
      </c>
      <c r="C977" t="s">
        <v>1996</v>
      </c>
      <c r="D977" t="s">
        <v>95</v>
      </c>
      <c r="F977">
        <v>-3742601000</v>
      </c>
      <c r="G977">
        <v>-1343069000</v>
      </c>
      <c r="H977">
        <v>-12043072000</v>
      </c>
      <c r="I977">
        <v>-10286696000</v>
      </c>
      <c r="J977">
        <v>-16332452000</v>
      </c>
      <c r="K977">
        <v>-4584011000</v>
      </c>
      <c r="L977">
        <v>-4356947000</v>
      </c>
      <c r="M977">
        <v>-7524822000</v>
      </c>
      <c r="N977">
        <v>-3205783000</v>
      </c>
      <c r="O977">
        <v>-13690859000</v>
      </c>
      <c r="P977">
        <v>584</v>
      </c>
      <c r="Q977" t="s">
        <v>1997</v>
      </c>
    </row>
    <row r="978" spans="1:17" x14ac:dyDescent="0.3">
      <c r="A978" t="s">
        <v>17</v>
      </c>
      <c r="B978" t="str">
        <f>"601619"</f>
        <v>601619</v>
      </c>
      <c r="C978" t="s">
        <v>1998</v>
      </c>
      <c r="D978" t="s">
        <v>41</v>
      </c>
      <c r="F978">
        <v>295412966</v>
      </c>
      <c r="G978">
        <v>-34880825</v>
      </c>
      <c r="H978">
        <v>296878810</v>
      </c>
      <c r="I978">
        <v>513140687</v>
      </c>
      <c r="J978">
        <v>-704449692</v>
      </c>
      <c r="K978">
        <v>-609867158</v>
      </c>
      <c r="P978">
        <v>184</v>
      </c>
      <c r="Q978" t="s">
        <v>1999</v>
      </c>
    </row>
    <row r="979" spans="1:17" x14ac:dyDescent="0.3">
      <c r="A979" t="s">
        <v>17</v>
      </c>
      <c r="B979" t="str">
        <f>"601628"</f>
        <v>601628</v>
      </c>
      <c r="C979" t="s">
        <v>2000</v>
      </c>
      <c r="D979" t="s">
        <v>75</v>
      </c>
      <c r="F979">
        <v>243529000000</v>
      </c>
      <c r="G979">
        <v>234330000000</v>
      </c>
      <c r="H979">
        <v>201337000000</v>
      </c>
      <c r="I979">
        <v>65849000000</v>
      </c>
      <c r="J979">
        <v>173886000000</v>
      </c>
      <c r="K979">
        <v>9436000000</v>
      </c>
      <c r="L979">
        <v>35711000000</v>
      </c>
      <c r="M979">
        <v>38839000000</v>
      </c>
      <c r="N979">
        <v>51630000000</v>
      </c>
      <c r="O979">
        <v>90153000000</v>
      </c>
      <c r="P979">
        <v>1729</v>
      </c>
      <c r="Q979" t="s">
        <v>2001</v>
      </c>
    </row>
    <row r="980" spans="1:17" x14ac:dyDescent="0.3">
      <c r="A980" t="s">
        <v>17</v>
      </c>
      <c r="B980" t="str">
        <f>"601633"</f>
        <v>601633</v>
      </c>
      <c r="C980" t="s">
        <v>2002</v>
      </c>
      <c r="D980" t="s">
        <v>27</v>
      </c>
      <c r="F980">
        <v>10864500975</v>
      </c>
      <c r="G980">
        <v>-4486837214</v>
      </c>
      <c r="H980">
        <v>4691599790</v>
      </c>
      <c r="I980">
        <v>13136856703</v>
      </c>
      <c r="J980">
        <v>2316778258</v>
      </c>
      <c r="K980">
        <v>2360432967</v>
      </c>
      <c r="L980">
        <v>5901916816</v>
      </c>
      <c r="M980">
        <v>1368798884</v>
      </c>
      <c r="N980">
        <v>3541589537</v>
      </c>
      <c r="O980">
        <v>764941548</v>
      </c>
      <c r="P980">
        <v>2070</v>
      </c>
      <c r="Q980" t="s">
        <v>2003</v>
      </c>
    </row>
    <row r="981" spans="1:17" x14ac:dyDescent="0.3">
      <c r="A981" t="s">
        <v>17</v>
      </c>
      <c r="B981" t="str">
        <f>"601636"</f>
        <v>601636</v>
      </c>
      <c r="C981" t="s">
        <v>2004</v>
      </c>
      <c r="D981" t="s">
        <v>350</v>
      </c>
      <c r="F981">
        <v>3090270246</v>
      </c>
      <c r="G981">
        <v>874316154</v>
      </c>
      <c r="H981">
        <v>552725711</v>
      </c>
      <c r="I981">
        <v>550783940</v>
      </c>
      <c r="J981">
        <v>1020067851</v>
      </c>
      <c r="K981">
        <v>726164560</v>
      </c>
      <c r="L981">
        <v>-399835168</v>
      </c>
      <c r="M981">
        <v>-486995587</v>
      </c>
      <c r="N981">
        <v>-297299661</v>
      </c>
      <c r="O981">
        <v>-1349536904</v>
      </c>
      <c r="P981">
        <v>1517</v>
      </c>
      <c r="Q981" t="s">
        <v>2005</v>
      </c>
    </row>
    <row r="982" spans="1:17" x14ac:dyDescent="0.3">
      <c r="A982" t="s">
        <v>17</v>
      </c>
      <c r="B982" t="str">
        <f>"601658"</f>
        <v>601658</v>
      </c>
      <c r="C982" t="s">
        <v>2006</v>
      </c>
      <c r="D982" t="s">
        <v>19</v>
      </c>
      <c r="F982">
        <v>-55882000000</v>
      </c>
      <c r="G982">
        <v>20620000000</v>
      </c>
      <c r="H982">
        <v>83517000000</v>
      </c>
      <c r="I982">
        <v>76388000000</v>
      </c>
      <c r="J982">
        <v>-440688000000</v>
      </c>
      <c r="P982">
        <v>1192</v>
      </c>
      <c r="Q982" t="s">
        <v>2007</v>
      </c>
    </row>
    <row r="983" spans="1:17" x14ac:dyDescent="0.3">
      <c r="A983" t="s">
        <v>17</v>
      </c>
      <c r="B983" t="str">
        <f>"601665"</f>
        <v>601665</v>
      </c>
      <c r="C983" t="s">
        <v>2008</v>
      </c>
      <c r="D983" t="s">
        <v>19</v>
      </c>
      <c r="F983">
        <v>13386963000</v>
      </c>
      <c r="G983">
        <v>9026801000</v>
      </c>
      <c r="P983">
        <v>52</v>
      </c>
      <c r="Q983" t="s">
        <v>2009</v>
      </c>
    </row>
    <row r="984" spans="1:17" x14ac:dyDescent="0.3">
      <c r="A984" t="s">
        <v>17</v>
      </c>
      <c r="B984" t="str">
        <f>"601666"</f>
        <v>601666</v>
      </c>
      <c r="C984" t="s">
        <v>2010</v>
      </c>
      <c r="D984" t="s">
        <v>257</v>
      </c>
      <c r="F984">
        <v>4348299134</v>
      </c>
      <c r="G984">
        <v>-1079568656</v>
      </c>
      <c r="H984">
        <v>201061491</v>
      </c>
      <c r="I984">
        <v>2572619258</v>
      </c>
      <c r="J984">
        <v>-491598493</v>
      </c>
      <c r="K984">
        <v>445853675</v>
      </c>
      <c r="L984">
        <v>-2812587404</v>
      </c>
      <c r="M984">
        <v>-1247423653</v>
      </c>
      <c r="N984">
        <v>-2579083408</v>
      </c>
      <c r="O984">
        <v>-64865126</v>
      </c>
      <c r="P984">
        <v>401</v>
      </c>
      <c r="Q984" t="s">
        <v>2011</v>
      </c>
    </row>
    <row r="985" spans="1:17" x14ac:dyDescent="0.3">
      <c r="A985" t="s">
        <v>17</v>
      </c>
      <c r="B985" t="str">
        <f>"601668"</f>
        <v>601668</v>
      </c>
      <c r="C985" t="s">
        <v>2012</v>
      </c>
      <c r="D985" t="s">
        <v>95</v>
      </c>
      <c r="F985">
        <v>-60048118000</v>
      </c>
      <c r="G985">
        <v>-103022479000</v>
      </c>
      <c r="H985">
        <v>-117690549000</v>
      </c>
      <c r="I985">
        <v>-71264186000</v>
      </c>
      <c r="J985">
        <v>-84102246000</v>
      </c>
      <c r="K985">
        <v>16392830000</v>
      </c>
      <c r="L985">
        <v>-22875554000</v>
      </c>
      <c r="M985">
        <v>-52396482000</v>
      </c>
      <c r="N985">
        <v>-30785280000</v>
      </c>
      <c r="O985">
        <v>-17448408000</v>
      </c>
      <c r="P985">
        <v>10287</v>
      </c>
      <c r="Q985" t="s">
        <v>2013</v>
      </c>
    </row>
    <row r="986" spans="1:17" x14ac:dyDescent="0.3">
      <c r="A986" t="s">
        <v>17</v>
      </c>
      <c r="B986" t="str">
        <f>"601669"</f>
        <v>601669</v>
      </c>
      <c r="C986" t="s">
        <v>2014</v>
      </c>
      <c r="D986" t="s">
        <v>95</v>
      </c>
      <c r="F986">
        <v>-44292859856</v>
      </c>
      <c r="G986">
        <v>-39664640590</v>
      </c>
      <c r="H986">
        <v>-58748249371</v>
      </c>
      <c r="I986">
        <v>-37965255782</v>
      </c>
      <c r="J986">
        <v>-47712219014</v>
      </c>
      <c r="K986">
        <v>-16201897405</v>
      </c>
      <c r="L986">
        <v>-19438505114</v>
      </c>
      <c r="M986">
        <v>-11634166849</v>
      </c>
      <c r="N986">
        <v>-10621818312</v>
      </c>
      <c r="O986">
        <v>-10347083354</v>
      </c>
      <c r="P986">
        <v>752</v>
      </c>
      <c r="Q986" t="s">
        <v>2015</v>
      </c>
    </row>
    <row r="987" spans="1:17" x14ac:dyDescent="0.3">
      <c r="A987" t="s">
        <v>17</v>
      </c>
      <c r="B987" t="str">
        <f>"601677"</f>
        <v>601677</v>
      </c>
      <c r="C987" t="s">
        <v>2016</v>
      </c>
      <c r="D987" t="s">
        <v>234</v>
      </c>
      <c r="F987">
        <v>1041201166</v>
      </c>
      <c r="G987">
        <v>948113377</v>
      </c>
      <c r="H987">
        <v>-341602185</v>
      </c>
      <c r="I987">
        <v>-750203341</v>
      </c>
      <c r="J987">
        <v>-782120728</v>
      </c>
      <c r="K987">
        <v>-338136217</v>
      </c>
      <c r="L987">
        <v>-535735264</v>
      </c>
      <c r="M987">
        <v>596209424</v>
      </c>
      <c r="N987">
        <v>-397374674</v>
      </c>
      <c r="O987">
        <v>-175801595</v>
      </c>
      <c r="P987">
        <v>372</v>
      </c>
      <c r="Q987" t="s">
        <v>2017</v>
      </c>
    </row>
    <row r="988" spans="1:17" x14ac:dyDescent="0.3">
      <c r="A988" t="s">
        <v>17</v>
      </c>
      <c r="B988" t="str">
        <f>"601678"</f>
        <v>601678</v>
      </c>
      <c r="C988" t="s">
        <v>2018</v>
      </c>
      <c r="D988" t="s">
        <v>133</v>
      </c>
      <c r="F988">
        <v>-130836435</v>
      </c>
      <c r="G988">
        <v>-372689435</v>
      </c>
      <c r="H988">
        <v>371281105</v>
      </c>
      <c r="I988">
        <v>482005641</v>
      </c>
      <c r="J988">
        <v>406442660</v>
      </c>
      <c r="K988">
        <v>359085331</v>
      </c>
      <c r="L988">
        <v>-99849545</v>
      </c>
      <c r="M988">
        <v>-162551392</v>
      </c>
      <c r="N988">
        <v>-500439979</v>
      </c>
      <c r="O988">
        <v>147113571</v>
      </c>
      <c r="P988">
        <v>353</v>
      </c>
      <c r="Q988" t="s">
        <v>2019</v>
      </c>
    </row>
    <row r="989" spans="1:17" x14ac:dyDescent="0.3">
      <c r="A989" t="s">
        <v>17</v>
      </c>
      <c r="B989" t="str">
        <f>"601686"</f>
        <v>601686</v>
      </c>
      <c r="C989" t="s">
        <v>2020</v>
      </c>
      <c r="D989" t="s">
        <v>38</v>
      </c>
      <c r="F989">
        <v>-3521585245</v>
      </c>
      <c r="G989">
        <v>-450293000</v>
      </c>
      <c r="H989">
        <v>323877900</v>
      </c>
      <c r="P989">
        <v>57</v>
      </c>
      <c r="Q989" t="s">
        <v>2021</v>
      </c>
    </row>
    <row r="990" spans="1:17" x14ac:dyDescent="0.3">
      <c r="A990" t="s">
        <v>17</v>
      </c>
      <c r="B990" t="str">
        <f>"601688"</f>
        <v>601688</v>
      </c>
      <c r="C990" t="s">
        <v>2022</v>
      </c>
      <c r="D990" t="s">
        <v>75</v>
      </c>
      <c r="F990">
        <v>7647800446</v>
      </c>
      <c r="G990">
        <v>6392631881</v>
      </c>
      <c r="H990">
        <v>7911287055</v>
      </c>
      <c r="I990">
        <v>25694360472</v>
      </c>
      <c r="J990">
        <v>-47465253480</v>
      </c>
      <c r="K990">
        <v>353570476</v>
      </c>
      <c r="L990">
        <v>69935958170</v>
      </c>
      <c r="M990">
        <v>18436803182</v>
      </c>
      <c r="N990">
        <v>-18264520423</v>
      </c>
      <c r="O990">
        <v>-9918215048</v>
      </c>
      <c r="P990">
        <v>6874</v>
      </c>
      <c r="Q990" t="s">
        <v>2023</v>
      </c>
    </row>
    <row r="991" spans="1:17" x14ac:dyDescent="0.3">
      <c r="A991" t="s">
        <v>17</v>
      </c>
      <c r="B991" t="str">
        <f>"601689"</f>
        <v>601689</v>
      </c>
      <c r="C991" t="s">
        <v>2024</v>
      </c>
      <c r="D991" t="s">
        <v>27</v>
      </c>
      <c r="F991">
        <v>-1402190563</v>
      </c>
      <c r="G991">
        <v>55816854</v>
      </c>
      <c r="H991">
        <v>164844119</v>
      </c>
      <c r="I991">
        <v>-660036423</v>
      </c>
      <c r="J991">
        <v>-314110296</v>
      </c>
      <c r="K991">
        <v>-301119322</v>
      </c>
      <c r="L991">
        <v>-198226971</v>
      </c>
      <c r="M991">
        <v>71334419</v>
      </c>
      <c r="P991">
        <v>663</v>
      </c>
      <c r="Q991" t="s">
        <v>2025</v>
      </c>
    </row>
    <row r="992" spans="1:17" x14ac:dyDescent="0.3">
      <c r="A992" t="s">
        <v>17</v>
      </c>
      <c r="B992" t="str">
        <f>"601696"</f>
        <v>601696</v>
      </c>
      <c r="C992" t="s">
        <v>2026</v>
      </c>
      <c r="D992" t="s">
        <v>75</v>
      </c>
      <c r="F992">
        <v>6483733678</v>
      </c>
      <c r="G992">
        <v>4881996306</v>
      </c>
      <c r="H992">
        <v>7628809986</v>
      </c>
      <c r="I992">
        <v>3506704793</v>
      </c>
      <c r="P992">
        <v>517</v>
      </c>
      <c r="Q992" t="s">
        <v>2027</v>
      </c>
    </row>
    <row r="993" spans="1:17" x14ac:dyDescent="0.3">
      <c r="A993" t="s">
        <v>17</v>
      </c>
      <c r="B993" t="str">
        <f>"601698"</f>
        <v>601698</v>
      </c>
      <c r="C993" t="s">
        <v>2028</v>
      </c>
      <c r="D993" t="s">
        <v>92</v>
      </c>
      <c r="F993">
        <v>425864799</v>
      </c>
      <c r="G993">
        <v>1015669476</v>
      </c>
      <c r="H993">
        <v>588041330</v>
      </c>
      <c r="I993">
        <v>660990095</v>
      </c>
      <c r="P993">
        <v>316</v>
      </c>
      <c r="Q993" t="s">
        <v>2029</v>
      </c>
    </row>
    <row r="994" spans="1:17" x14ac:dyDescent="0.3">
      <c r="A994" t="s">
        <v>17</v>
      </c>
      <c r="B994" t="str">
        <f>"601699"</f>
        <v>601699</v>
      </c>
      <c r="C994" t="s">
        <v>2030</v>
      </c>
      <c r="D994" t="s">
        <v>257</v>
      </c>
      <c r="F994">
        <v>3397870605</v>
      </c>
      <c r="G994">
        <v>-789794515</v>
      </c>
      <c r="H994">
        <v>3461152305</v>
      </c>
      <c r="I994">
        <v>3889984829</v>
      </c>
      <c r="J994">
        <v>3359363196</v>
      </c>
      <c r="K994">
        <v>-1187363235</v>
      </c>
      <c r="L994">
        <v>-1101502768</v>
      </c>
      <c r="M994">
        <v>431817829</v>
      </c>
      <c r="N994">
        <v>-2178394938</v>
      </c>
      <c r="O994">
        <v>-48869067</v>
      </c>
      <c r="P994">
        <v>791</v>
      </c>
      <c r="Q994" t="s">
        <v>2031</v>
      </c>
    </row>
    <row r="995" spans="1:17" x14ac:dyDescent="0.3">
      <c r="A995" t="s">
        <v>17</v>
      </c>
      <c r="B995" t="str">
        <f>"601700"</f>
        <v>601700</v>
      </c>
      <c r="C995" t="s">
        <v>2032</v>
      </c>
      <c r="D995" t="s">
        <v>188</v>
      </c>
      <c r="F995">
        <v>2553155</v>
      </c>
      <c r="G995">
        <v>-398087600</v>
      </c>
      <c r="H995">
        <v>105515015</v>
      </c>
      <c r="I995">
        <v>-46364674</v>
      </c>
      <c r="J995">
        <v>-34170890</v>
      </c>
      <c r="K995">
        <v>-193677285</v>
      </c>
      <c r="L995">
        <v>-1126782</v>
      </c>
      <c r="M995">
        <v>236043612</v>
      </c>
      <c r="N995">
        <v>-386173062</v>
      </c>
      <c r="O995">
        <v>62260817</v>
      </c>
      <c r="P995">
        <v>126</v>
      </c>
      <c r="Q995" t="s">
        <v>2033</v>
      </c>
    </row>
    <row r="996" spans="1:17" x14ac:dyDescent="0.3">
      <c r="A996" t="s">
        <v>17</v>
      </c>
      <c r="B996" t="str">
        <f>"601702"</f>
        <v>601702</v>
      </c>
      <c r="C996" t="s">
        <v>2034</v>
      </c>
      <c r="D996" t="s">
        <v>234</v>
      </c>
      <c r="F996">
        <v>-277723193</v>
      </c>
      <c r="G996">
        <v>63858895</v>
      </c>
      <c r="H996">
        <v>-66320203</v>
      </c>
      <c r="P996">
        <v>117</v>
      </c>
      <c r="Q996" t="s">
        <v>2035</v>
      </c>
    </row>
    <row r="997" spans="1:17" x14ac:dyDescent="0.3">
      <c r="A997" t="s">
        <v>17</v>
      </c>
      <c r="B997" t="str">
        <f>"601717"</f>
        <v>601717</v>
      </c>
      <c r="C997" t="s">
        <v>2036</v>
      </c>
      <c r="D997" t="s">
        <v>78</v>
      </c>
      <c r="F997">
        <v>190756878</v>
      </c>
      <c r="G997">
        <v>179974506</v>
      </c>
      <c r="H997">
        <v>1189655422</v>
      </c>
      <c r="I997">
        <v>-71901041</v>
      </c>
      <c r="J997">
        <v>796382592</v>
      </c>
      <c r="K997">
        <v>395952083</v>
      </c>
      <c r="L997">
        <v>232352157</v>
      </c>
      <c r="M997">
        <v>273016459</v>
      </c>
      <c r="N997">
        <v>-687251209</v>
      </c>
      <c r="O997">
        <v>-37520511</v>
      </c>
      <c r="P997">
        <v>318</v>
      </c>
      <c r="Q997" t="s">
        <v>2037</v>
      </c>
    </row>
    <row r="998" spans="1:17" x14ac:dyDescent="0.3">
      <c r="A998" t="s">
        <v>17</v>
      </c>
      <c r="B998" t="str">
        <f>"601718"</f>
        <v>601718</v>
      </c>
      <c r="C998" t="s">
        <v>2038</v>
      </c>
      <c r="D998" t="s">
        <v>227</v>
      </c>
      <c r="F998">
        <v>-192535872</v>
      </c>
      <c r="G998">
        <v>-1593989114</v>
      </c>
      <c r="H998">
        <v>-1036361176</v>
      </c>
      <c r="I998">
        <v>-227216733</v>
      </c>
      <c r="J998">
        <v>-2281022246</v>
      </c>
      <c r="K998">
        <v>-1710976069</v>
      </c>
      <c r="L998">
        <v>-1977922847</v>
      </c>
      <c r="M998">
        <v>-1687107707</v>
      </c>
      <c r="N998">
        <v>-1478319332</v>
      </c>
      <c r="O998">
        <v>-283462451</v>
      </c>
      <c r="P998">
        <v>180</v>
      </c>
      <c r="Q998" t="s">
        <v>2039</v>
      </c>
    </row>
    <row r="999" spans="1:17" x14ac:dyDescent="0.3">
      <c r="A999" t="s">
        <v>17</v>
      </c>
      <c r="B999" t="str">
        <f>"601727"</f>
        <v>601727</v>
      </c>
      <c r="C999" t="s">
        <v>2040</v>
      </c>
      <c r="D999" t="s">
        <v>188</v>
      </c>
      <c r="F999">
        <v>-23471496000</v>
      </c>
      <c r="G999">
        <v>-15528968000</v>
      </c>
      <c r="H999">
        <v>-17524066000</v>
      </c>
      <c r="I999">
        <v>-15476653000</v>
      </c>
      <c r="J999">
        <v>-11222363000</v>
      </c>
      <c r="K999">
        <v>-1648787000</v>
      </c>
      <c r="L999">
        <v>-1364868000</v>
      </c>
      <c r="M999">
        <v>-2979625000</v>
      </c>
      <c r="N999">
        <v>1476506000</v>
      </c>
      <c r="O999">
        <v>-3510007000</v>
      </c>
      <c r="P999">
        <v>551</v>
      </c>
      <c r="Q999" t="s">
        <v>2041</v>
      </c>
    </row>
    <row r="1000" spans="1:17" x14ac:dyDescent="0.3">
      <c r="A1000" t="s">
        <v>17</v>
      </c>
      <c r="B1000" t="str">
        <f>"601728"</f>
        <v>601728</v>
      </c>
      <c r="C1000" t="s">
        <v>2042</v>
      </c>
      <c r="D1000" t="s">
        <v>100</v>
      </c>
      <c r="F1000">
        <v>64247388320</v>
      </c>
      <c r="G1000">
        <v>55330525643</v>
      </c>
      <c r="P1000">
        <v>144</v>
      </c>
      <c r="Q1000" t="s">
        <v>2043</v>
      </c>
    </row>
    <row r="1001" spans="1:17" x14ac:dyDescent="0.3">
      <c r="A1001" t="s">
        <v>17</v>
      </c>
      <c r="B1001" t="str">
        <f>"601766"</f>
        <v>601766</v>
      </c>
      <c r="C1001" t="s">
        <v>2044</v>
      </c>
      <c r="D1001" t="s">
        <v>78</v>
      </c>
      <c r="F1001">
        <v>-4793743000</v>
      </c>
      <c r="G1001">
        <v>-20245562000</v>
      </c>
      <c r="H1001">
        <v>-9200059000</v>
      </c>
      <c r="I1001">
        <v>-5404227000</v>
      </c>
      <c r="J1001">
        <v>-14758962000</v>
      </c>
      <c r="K1001">
        <v>-2189764000</v>
      </c>
      <c r="L1001">
        <v>-14792251000</v>
      </c>
      <c r="M1001">
        <v>-1893952993</v>
      </c>
      <c r="N1001">
        <v>-8374124000</v>
      </c>
      <c r="O1001">
        <v>-9404319000</v>
      </c>
      <c r="P1001">
        <v>1205</v>
      </c>
      <c r="Q1001" t="s">
        <v>2045</v>
      </c>
    </row>
    <row r="1002" spans="1:17" x14ac:dyDescent="0.3">
      <c r="A1002" t="s">
        <v>17</v>
      </c>
      <c r="B1002" t="str">
        <f>"601777"</f>
        <v>601777</v>
      </c>
      <c r="C1002" t="s">
        <v>2046</v>
      </c>
      <c r="D1002" t="s">
        <v>27</v>
      </c>
      <c r="F1002">
        <v>950847589</v>
      </c>
      <c r="G1002">
        <v>155143558</v>
      </c>
      <c r="H1002">
        <v>59686441</v>
      </c>
      <c r="I1002">
        <v>-254912812</v>
      </c>
      <c r="J1002">
        <v>-153218681</v>
      </c>
      <c r="K1002">
        <v>-72473399</v>
      </c>
      <c r="L1002">
        <v>-765895364</v>
      </c>
      <c r="M1002">
        <v>25887969</v>
      </c>
      <c r="N1002">
        <v>-588426550</v>
      </c>
      <c r="O1002">
        <v>-703677822</v>
      </c>
      <c r="P1002">
        <v>154</v>
      </c>
      <c r="Q1002" t="s">
        <v>2047</v>
      </c>
    </row>
    <row r="1003" spans="1:17" x14ac:dyDescent="0.3">
      <c r="A1003" t="s">
        <v>17</v>
      </c>
      <c r="B1003" t="str">
        <f>"601778"</f>
        <v>601778</v>
      </c>
      <c r="C1003" t="s">
        <v>2048</v>
      </c>
      <c r="D1003" t="s">
        <v>41</v>
      </c>
      <c r="F1003">
        <v>-1087969111</v>
      </c>
      <c r="G1003">
        <v>314427396</v>
      </c>
      <c r="H1003">
        <v>-649599342</v>
      </c>
      <c r="P1003">
        <v>221</v>
      </c>
      <c r="Q1003" t="s">
        <v>2049</v>
      </c>
    </row>
    <row r="1004" spans="1:17" x14ac:dyDescent="0.3">
      <c r="A1004" t="s">
        <v>17</v>
      </c>
      <c r="B1004" t="str">
        <f>"601788"</f>
        <v>601788</v>
      </c>
      <c r="C1004" t="s">
        <v>2050</v>
      </c>
      <c r="D1004" t="s">
        <v>75</v>
      </c>
      <c r="F1004">
        <v>3834675126</v>
      </c>
      <c r="G1004">
        <v>5937862824</v>
      </c>
      <c r="H1004">
        <v>40242683157</v>
      </c>
      <c r="I1004">
        <v>-5189653901</v>
      </c>
      <c r="J1004">
        <v>-8622737800</v>
      </c>
      <c r="K1004">
        <v>-10348086628</v>
      </c>
      <c r="L1004">
        <v>22569764601</v>
      </c>
      <c r="M1004">
        <v>4527528847</v>
      </c>
      <c r="N1004">
        <v>-1331042706</v>
      </c>
      <c r="O1004">
        <v>2180667861</v>
      </c>
      <c r="P1004">
        <v>1149</v>
      </c>
      <c r="Q1004" t="s">
        <v>2051</v>
      </c>
    </row>
    <row r="1005" spans="1:17" x14ac:dyDescent="0.3">
      <c r="A1005" t="s">
        <v>17</v>
      </c>
      <c r="B1005" t="str">
        <f>"601789"</f>
        <v>601789</v>
      </c>
      <c r="C1005" t="s">
        <v>2052</v>
      </c>
      <c r="D1005" t="s">
        <v>95</v>
      </c>
      <c r="F1005">
        <v>-1081150630</v>
      </c>
      <c r="G1005">
        <v>-147072970</v>
      </c>
      <c r="H1005">
        <v>-406286202</v>
      </c>
      <c r="I1005">
        <v>-479890585</v>
      </c>
      <c r="J1005">
        <v>-285158043</v>
      </c>
      <c r="K1005">
        <v>-382082228</v>
      </c>
      <c r="L1005">
        <v>-337439033</v>
      </c>
      <c r="M1005">
        <v>-680634376</v>
      </c>
      <c r="N1005">
        <v>-180291915</v>
      </c>
      <c r="O1005">
        <v>-78981779</v>
      </c>
      <c r="P1005">
        <v>147</v>
      </c>
      <c r="Q1005" t="s">
        <v>2053</v>
      </c>
    </row>
    <row r="1006" spans="1:17" x14ac:dyDescent="0.3">
      <c r="A1006" t="s">
        <v>17</v>
      </c>
      <c r="B1006" t="str">
        <f>"601798"</f>
        <v>601798</v>
      </c>
      <c r="C1006" t="s">
        <v>2054</v>
      </c>
      <c r="D1006" t="s">
        <v>78</v>
      </c>
      <c r="F1006">
        <v>-16607010</v>
      </c>
      <c r="G1006">
        <v>-11739362</v>
      </c>
      <c r="H1006">
        <v>-127400730</v>
      </c>
      <c r="I1006">
        <v>-66357663</v>
      </c>
      <c r="J1006">
        <v>-116318752</v>
      </c>
      <c r="K1006">
        <v>-23200571</v>
      </c>
      <c r="L1006">
        <v>-61915986</v>
      </c>
      <c r="M1006">
        <v>-79267782</v>
      </c>
      <c r="N1006">
        <v>-183117283</v>
      </c>
      <c r="O1006">
        <v>-247789477</v>
      </c>
      <c r="P1006">
        <v>77</v>
      </c>
      <c r="Q1006" t="s">
        <v>2055</v>
      </c>
    </row>
    <row r="1007" spans="1:17" x14ac:dyDescent="0.3">
      <c r="A1007" t="s">
        <v>17</v>
      </c>
      <c r="B1007" t="str">
        <f>"601799"</f>
        <v>601799</v>
      </c>
      <c r="C1007" t="s">
        <v>2056</v>
      </c>
      <c r="D1007" t="s">
        <v>27</v>
      </c>
      <c r="F1007">
        <v>-481146905</v>
      </c>
      <c r="G1007">
        <v>471764328</v>
      </c>
      <c r="H1007">
        <v>-15415661</v>
      </c>
      <c r="I1007">
        <v>289645902</v>
      </c>
      <c r="J1007">
        <v>385553313</v>
      </c>
      <c r="K1007">
        <v>38545748</v>
      </c>
      <c r="L1007">
        <v>-19783869</v>
      </c>
      <c r="M1007">
        <v>18356502</v>
      </c>
      <c r="N1007">
        <v>66569191</v>
      </c>
      <c r="O1007">
        <v>-91187885</v>
      </c>
      <c r="P1007">
        <v>1014</v>
      </c>
      <c r="Q1007" t="s">
        <v>2057</v>
      </c>
    </row>
    <row r="1008" spans="1:17" x14ac:dyDescent="0.3">
      <c r="A1008" t="s">
        <v>17</v>
      </c>
      <c r="B1008" t="str">
        <f>"601800"</f>
        <v>601800</v>
      </c>
      <c r="C1008" t="s">
        <v>2058</v>
      </c>
      <c r="D1008" t="s">
        <v>95</v>
      </c>
      <c r="F1008">
        <v>-84720612070</v>
      </c>
      <c r="G1008">
        <v>-79060504721</v>
      </c>
      <c r="H1008">
        <v>-66937353500</v>
      </c>
      <c r="I1008">
        <v>-56320332669</v>
      </c>
      <c r="J1008">
        <v>-18856323404</v>
      </c>
      <c r="K1008">
        <v>-49794118863</v>
      </c>
      <c r="L1008">
        <v>-41442607881</v>
      </c>
      <c r="M1008">
        <v>-47775086186</v>
      </c>
      <c r="N1008">
        <v>-24125188488</v>
      </c>
      <c r="O1008">
        <v>-10229056275</v>
      </c>
      <c r="P1008">
        <v>901</v>
      </c>
      <c r="Q1008" t="s">
        <v>2059</v>
      </c>
    </row>
    <row r="1009" spans="1:17" x14ac:dyDescent="0.3">
      <c r="A1009" t="s">
        <v>17</v>
      </c>
      <c r="B1009" t="str">
        <f>"601801"</f>
        <v>601801</v>
      </c>
      <c r="C1009" t="s">
        <v>2060</v>
      </c>
      <c r="D1009" t="s">
        <v>89</v>
      </c>
      <c r="F1009">
        <v>227948272</v>
      </c>
      <c r="G1009">
        <v>259745802</v>
      </c>
      <c r="H1009">
        <v>430418575</v>
      </c>
      <c r="I1009">
        <v>71550094</v>
      </c>
      <c r="J1009">
        <v>-297049280</v>
      </c>
      <c r="K1009">
        <v>-76550262</v>
      </c>
      <c r="L1009">
        <v>27545356</v>
      </c>
      <c r="M1009">
        <v>-10572568</v>
      </c>
      <c r="N1009">
        <v>7844696</v>
      </c>
      <c r="O1009">
        <v>192555955</v>
      </c>
      <c r="P1009">
        <v>267</v>
      </c>
      <c r="Q1009" t="s">
        <v>2061</v>
      </c>
    </row>
    <row r="1010" spans="1:17" x14ac:dyDescent="0.3">
      <c r="A1010" t="s">
        <v>17</v>
      </c>
      <c r="B1010" t="str">
        <f>"601808"</f>
        <v>601808</v>
      </c>
      <c r="C1010" t="s">
        <v>2062</v>
      </c>
      <c r="D1010" t="s">
        <v>70</v>
      </c>
      <c r="F1010">
        <v>-1765490904</v>
      </c>
      <c r="G1010">
        <v>-2073803170</v>
      </c>
      <c r="H1010">
        <v>-889943204</v>
      </c>
      <c r="I1010">
        <v>-1687598446</v>
      </c>
      <c r="J1010">
        <v>-896178217</v>
      </c>
      <c r="K1010">
        <v>-1260598985</v>
      </c>
      <c r="L1010">
        <v>-262485568</v>
      </c>
      <c r="M1010">
        <v>2302345509</v>
      </c>
      <c r="N1010">
        <v>-143494395</v>
      </c>
      <c r="O1010">
        <v>3022114976</v>
      </c>
      <c r="P1010">
        <v>411</v>
      </c>
      <c r="Q1010" t="s">
        <v>2063</v>
      </c>
    </row>
    <row r="1011" spans="1:17" x14ac:dyDescent="0.3">
      <c r="A1011" t="s">
        <v>17</v>
      </c>
      <c r="B1011" t="str">
        <f>"601811"</f>
        <v>601811</v>
      </c>
      <c r="C1011" t="s">
        <v>2064</v>
      </c>
      <c r="D1011" t="s">
        <v>89</v>
      </c>
      <c r="F1011">
        <v>1097175319</v>
      </c>
      <c r="G1011">
        <v>1264606624</v>
      </c>
      <c r="H1011">
        <v>874017379</v>
      </c>
      <c r="I1011">
        <v>517416578</v>
      </c>
      <c r="J1011">
        <v>-87784774</v>
      </c>
      <c r="K1011">
        <v>-73439832</v>
      </c>
      <c r="L1011">
        <v>343007706</v>
      </c>
      <c r="P1011">
        <v>276</v>
      </c>
      <c r="Q1011" t="s">
        <v>2065</v>
      </c>
    </row>
    <row r="1012" spans="1:17" x14ac:dyDescent="0.3">
      <c r="A1012" t="s">
        <v>17</v>
      </c>
      <c r="B1012" t="str">
        <f>"601816"</f>
        <v>601816</v>
      </c>
      <c r="C1012" t="s">
        <v>2066</v>
      </c>
      <c r="D1012" t="s">
        <v>22</v>
      </c>
      <c r="F1012">
        <v>9310771710</v>
      </c>
      <c r="G1012">
        <v>4467830353</v>
      </c>
      <c r="H1012">
        <v>13321841038</v>
      </c>
      <c r="P1012">
        <v>979</v>
      </c>
      <c r="Q1012" t="s">
        <v>2067</v>
      </c>
    </row>
    <row r="1013" spans="1:17" x14ac:dyDescent="0.3">
      <c r="A1013" t="s">
        <v>17</v>
      </c>
      <c r="B1013" t="str">
        <f>"601818"</f>
        <v>601818</v>
      </c>
      <c r="C1013" t="s">
        <v>2068</v>
      </c>
      <c r="D1013" t="s">
        <v>19</v>
      </c>
      <c r="F1013">
        <v>-179711000000</v>
      </c>
      <c r="G1013">
        <v>103228000000</v>
      </c>
      <c r="H1013">
        <v>-11205000000</v>
      </c>
      <c r="I1013">
        <v>100307000000</v>
      </c>
      <c r="J1013">
        <v>-205990000000</v>
      </c>
      <c r="K1013">
        <v>227467000000</v>
      </c>
      <c r="L1013">
        <v>194023000000</v>
      </c>
      <c r="M1013">
        <v>72305000000</v>
      </c>
      <c r="N1013">
        <v>13806000000</v>
      </c>
      <c r="O1013">
        <v>98991076000</v>
      </c>
      <c r="P1013">
        <v>15856</v>
      </c>
      <c r="Q1013" t="s">
        <v>2069</v>
      </c>
    </row>
    <row r="1014" spans="1:17" x14ac:dyDescent="0.3">
      <c r="A1014" t="s">
        <v>17</v>
      </c>
      <c r="B1014" t="str">
        <f>"601825"</f>
        <v>601825</v>
      </c>
      <c r="C1014" t="s">
        <v>2070</v>
      </c>
      <c r="D1014" t="s">
        <v>19</v>
      </c>
      <c r="F1014">
        <v>12959235000</v>
      </c>
      <c r="G1014">
        <v>-4101747000</v>
      </c>
      <c r="P1014">
        <v>57</v>
      </c>
      <c r="Q1014" t="s">
        <v>2071</v>
      </c>
    </row>
    <row r="1015" spans="1:17" x14ac:dyDescent="0.3">
      <c r="A1015" t="s">
        <v>17</v>
      </c>
      <c r="B1015" t="str">
        <f>"601827"</f>
        <v>601827</v>
      </c>
      <c r="C1015" t="s">
        <v>2072</v>
      </c>
      <c r="D1015" t="s">
        <v>33</v>
      </c>
      <c r="F1015">
        <v>-1037349039</v>
      </c>
      <c r="G1015">
        <v>-1207680838</v>
      </c>
      <c r="H1015">
        <v>-787217320</v>
      </c>
      <c r="P1015">
        <v>143</v>
      </c>
      <c r="Q1015" t="s">
        <v>2073</v>
      </c>
    </row>
    <row r="1016" spans="1:17" x14ac:dyDescent="0.3">
      <c r="A1016" t="s">
        <v>17</v>
      </c>
      <c r="B1016" t="str">
        <f>"601828"</f>
        <v>601828</v>
      </c>
      <c r="C1016" t="s">
        <v>2074</v>
      </c>
      <c r="D1016" t="s">
        <v>120</v>
      </c>
      <c r="F1016">
        <v>3090697164</v>
      </c>
      <c r="G1016">
        <v>-144483718</v>
      </c>
      <c r="H1016">
        <v>-206437012</v>
      </c>
      <c r="I1016">
        <v>392351739</v>
      </c>
      <c r="J1016">
        <v>-323782420</v>
      </c>
      <c r="K1016">
        <v>208328071</v>
      </c>
      <c r="P1016">
        <v>351</v>
      </c>
      <c r="Q1016" t="s">
        <v>2075</v>
      </c>
    </row>
    <row r="1017" spans="1:17" x14ac:dyDescent="0.3">
      <c r="A1017" t="s">
        <v>17</v>
      </c>
      <c r="B1017" t="str">
        <f>"601838"</f>
        <v>601838</v>
      </c>
      <c r="C1017" t="s">
        <v>2076</v>
      </c>
      <c r="D1017" t="s">
        <v>19</v>
      </c>
      <c r="F1017">
        <v>27270222000</v>
      </c>
      <c r="G1017">
        <v>27247494000</v>
      </c>
      <c r="H1017">
        <v>-17881963000</v>
      </c>
      <c r="I1017">
        <v>2569946000</v>
      </c>
      <c r="J1017">
        <v>43037640000</v>
      </c>
      <c r="K1017">
        <v>30385376000</v>
      </c>
      <c r="P1017">
        <v>1328</v>
      </c>
      <c r="Q1017" t="s">
        <v>2077</v>
      </c>
    </row>
    <row r="1018" spans="1:17" x14ac:dyDescent="0.3">
      <c r="A1018" t="s">
        <v>17</v>
      </c>
      <c r="B1018" t="str">
        <f>"601857"</f>
        <v>601857</v>
      </c>
      <c r="C1018" t="s">
        <v>2078</v>
      </c>
      <c r="D1018" t="s">
        <v>70</v>
      </c>
      <c r="F1018">
        <v>59676000000</v>
      </c>
      <c r="G1018">
        <v>-3481000000</v>
      </c>
      <c r="H1018">
        <v>52776000000</v>
      </c>
      <c r="I1018">
        <v>101240000000</v>
      </c>
      <c r="J1018">
        <v>116477000000</v>
      </c>
      <c r="K1018">
        <v>72402000000</v>
      </c>
      <c r="L1018">
        <v>48766000000</v>
      </c>
      <c r="M1018">
        <v>66748000000</v>
      </c>
      <c r="N1018">
        <v>34520000000</v>
      </c>
      <c r="O1018">
        <v>-30580000000</v>
      </c>
      <c r="P1018">
        <v>1280</v>
      </c>
      <c r="Q1018" t="s">
        <v>2079</v>
      </c>
    </row>
    <row r="1019" spans="1:17" x14ac:dyDescent="0.3">
      <c r="A1019" t="s">
        <v>17</v>
      </c>
      <c r="B1019" t="str">
        <f>"601858"</f>
        <v>601858</v>
      </c>
      <c r="C1019" t="s">
        <v>2080</v>
      </c>
      <c r="D1019" t="s">
        <v>89</v>
      </c>
      <c r="F1019">
        <v>65154223</v>
      </c>
      <c r="G1019">
        <v>-600551593</v>
      </c>
      <c r="H1019">
        <v>-1547111383</v>
      </c>
      <c r="I1019">
        <v>-1471784434</v>
      </c>
      <c r="J1019">
        <v>-1491689872</v>
      </c>
      <c r="K1019">
        <v>-77356315</v>
      </c>
      <c r="L1019">
        <v>-56325000</v>
      </c>
      <c r="P1019">
        <v>178</v>
      </c>
      <c r="Q1019" t="s">
        <v>2081</v>
      </c>
    </row>
    <row r="1020" spans="1:17" x14ac:dyDescent="0.3">
      <c r="A1020" t="s">
        <v>17</v>
      </c>
      <c r="B1020" t="str">
        <f>"601860"</f>
        <v>601860</v>
      </c>
      <c r="C1020" t="s">
        <v>2082</v>
      </c>
      <c r="D1020" t="s">
        <v>19</v>
      </c>
      <c r="F1020">
        <v>-18895966000</v>
      </c>
      <c r="G1020">
        <v>10625511000</v>
      </c>
      <c r="H1020">
        <v>14879513000</v>
      </c>
      <c r="I1020">
        <v>6162430402</v>
      </c>
      <c r="P1020">
        <v>332</v>
      </c>
      <c r="Q1020" t="s">
        <v>2083</v>
      </c>
    </row>
    <row r="1021" spans="1:17" x14ac:dyDescent="0.3">
      <c r="A1021" t="s">
        <v>17</v>
      </c>
      <c r="B1021" t="str">
        <f>"601865"</f>
        <v>601865</v>
      </c>
      <c r="C1021" t="s">
        <v>2084</v>
      </c>
      <c r="D1021" t="s">
        <v>188</v>
      </c>
      <c r="F1021">
        <v>-3867706894</v>
      </c>
      <c r="G1021">
        <v>166846025</v>
      </c>
      <c r="H1021">
        <v>-605798812</v>
      </c>
      <c r="I1021">
        <v>323257500</v>
      </c>
      <c r="J1021">
        <v>299356400</v>
      </c>
      <c r="P1021">
        <v>927</v>
      </c>
      <c r="Q1021" t="s">
        <v>2085</v>
      </c>
    </row>
    <row r="1022" spans="1:17" x14ac:dyDescent="0.3">
      <c r="A1022" t="s">
        <v>17</v>
      </c>
      <c r="B1022" t="str">
        <f>"601866"</f>
        <v>601866</v>
      </c>
      <c r="C1022" t="s">
        <v>2086</v>
      </c>
      <c r="D1022" t="s">
        <v>22</v>
      </c>
      <c r="F1022">
        <v>-22683352007</v>
      </c>
      <c r="G1022">
        <v>-14331052740</v>
      </c>
      <c r="H1022">
        <v>-11719009349</v>
      </c>
      <c r="I1022">
        <v>-11469367113</v>
      </c>
      <c r="J1022">
        <v>-5928232794</v>
      </c>
      <c r="K1022">
        <v>-1544057645</v>
      </c>
      <c r="L1022">
        <v>-1720963574</v>
      </c>
      <c r="M1022">
        <v>523134065</v>
      </c>
      <c r="N1022">
        <v>-2595663699</v>
      </c>
      <c r="O1022">
        <v>-2587283096</v>
      </c>
      <c r="P1022">
        <v>336</v>
      </c>
      <c r="Q1022" t="s">
        <v>2087</v>
      </c>
    </row>
    <row r="1023" spans="1:17" x14ac:dyDescent="0.3">
      <c r="A1023" t="s">
        <v>17</v>
      </c>
      <c r="B1023" t="str">
        <f>"601868"</f>
        <v>601868</v>
      </c>
      <c r="C1023" t="s">
        <v>2088</v>
      </c>
      <c r="D1023" t="s">
        <v>95</v>
      </c>
      <c r="F1023">
        <v>-17901798067</v>
      </c>
      <c r="P1023">
        <v>152</v>
      </c>
      <c r="Q1023" t="s">
        <v>2089</v>
      </c>
    </row>
    <row r="1024" spans="1:17" x14ac:dyDescent="0.3">
      <c r="A1024" t="s">
        <v>17</v>
      </c>
      <c r="B1024" t="str">
        <f>"601869"</f>
        <v>601869</v>
      </c>
      <c r="C1024" t="s">
        <v>2090</v>
      </c>
      <c r="D1024" t="s">
        <v>100</v>
      </c>
      <c r="F1024">
        <v>-762333312</v>
      </c>
      <c r="G1024">
        <v>-710596786</v>
      </c>
      <c r="H1024">
        <v>-366259050</v>
      </c>
      <c r="I1024">
        <v>-1070934927</v>
      </c>
      <c r="J1024">
        <v>18514166</v>
      </c>
      <c r="P1024">
        <v>404</v>
      </c>
      <c r="Q1024" t="s">
        <v>2091</v>
      </c>
    </row>
    <row r="1025" spans="1:17" x14ac:dyDescent="0.3">
      <c r="A1025" t="s">
        <v>17</v>
      </c>
      <c r="B1025" t="str">
        <f>"601872"</f>
        <v>601872</v>
      </c>
      <c r="C1025" t="s">
        <v>2092</v>
      </c>
      <c r="D1025" t="s">
        <v>22</v>
      </c>
      <c r="F1025">
        <v>2302801512</v>
      </c>
      <c r="G1025">
        <v>5208030826</v>
      </c>
      <c r="H1025">
        <v>71833230</v>
      </c>
      <c r="I1025">
        <v>-3401144346</v>
      </c>
      <c r="J1025">
        <v>-284468025</v>
      </c>
      <c r="K1025">
        <v>-85571318</v>
      </c>
      <c r="L1025">
        <v>-3527765653</v>
      </c>
      <c r="M1025">
        <v>-1259239443</v>
      </c>
      <c r="N1025">
        <v>-4428019058</v>
      </c>
      <c r="O1025">
        <v>126412596</v>
      </c>
      <c r="P1025">
        <v>574</v>
      </c>
      <c r="Q1025" t="s">
        <v>2093</v>
      </c>
    </row>
    <row r="1026" spans="1:17" x14ac:dyDescent="0.3">
      <c r="A1026" t="s">
        <v>17</v>
      </c>
      <c r="B1026" t="str">
        <f>"601877"</f>
        <v>601877</v>
      </c>
      <c r="C1026" t="s">
        <v>2094</v>
      </c>
      <c r="D1026" t="s">
        <v>188</v>
      </c>
      <c r="F1026">
        <v>-4841614269</v>
      </c>
      <c r="G1026">
        <v>-2034182762</v>
      </c>
      <c r="H1026">
        <v>728883722</v>
      </c>
      <c r="I1026">
        <v>-497913262</v>
      </c>
      <c r="J1026">
        <v>-1264586683</v>
      </c>
      <c r="K1026">
        <v>1767034647</v>
      </c>
      <c r="L1026">
        <v>922269072</v>
      </c>
      <c r="M1026">
        <v>917180898</v>
      </c>
      <c r="N1026">
        <v>-324391953</v>
      </c>
      <c r="O1026">
        <v>774030263</v>
      </c>
      <c r="P1026">
        <v>34818</v>
      </c>
      <c r="Q1026" t="s">
        <v>2095</v>
      </c>
    </row>
    <row r="1027" spans="1:17" x14ac:dyDescent="0.3">
      <c r="A1027" t="s">
        <v>17</v>
      </c>
      <c r="B1027" t="str">
        <f>"601878"</f>
        <v>601878</v>
      </c>
      <c r="C1027" t="s">
        <v>2096</v>
      </c>
      <c r="D1027" t="s">
        <v>75</v>
      </c>
      <c r="F1027">
        <v>3313800648</v>
      </c>
      <c r="G1027">
        <v>-2660076360</v>
      </c>
      <c r="H1027">
        <v>2004705984</v>
      </c>
      <c r="I1027">
        <v>-741638914</v>
      </c>
      <c r="J1027">
        <v>-6221640702</v>
      </c>
      <c r="K1027">
        <v>-7542021645</v>
      </c>
      <c r="P1027">
        <v>842</v>
      </c>
      <c r="Q1027" t="s">
        <v>2097</v>
      </c>
    </row>
    <row r="1028" spans="1:17" x14ac:dyDescent="0.3">
      <c r="A1028" t="s">
        <v>17</v>
      </c>
      <c r="B1028" t="str">
        <f>"601880"</f>
        <v>601880</v>
      </c>
      <c r="C1028" t="s">
        <v>2098</v>
      </c>
      <c r="D1028" t="s">
        <v>22</v>
      </c>
      <c r="F1028">
        <v>1827556034</v>
      </c>
      <c r="G1028">
        <v>1293638727</v>
      </c>
      <c r="H1028">
        <v>766444090</v>
      </c>
      <c r="I1028">
        <v>1065449002</v>
      </c>
      <c r="J1028">
        <v>357799432</v>
      </c>
      <c r="K1028">
        <v>1095753483</v>
      </c>
      <c r="L1028">
        <v>-2924820</v>
      </c>
      <c r="M1028">
        <v>-239105961</v>
      </c>
      <c r="N1028">
        <v>676737406</v>
      </c>
      <c r="O1028">
        <v>108064792</v>
      </c>
      <c r="P1028">
        <v>189</v>
      </c>
      <c r="Q1028" t="s">
        <v>2099</v>
      </c>
    </row>
    <row r="1029" spans="1:17" x14ac:dyDescent="0.3">
      <c r="A1029" t="s">
        <v>17</v>
      </c>
      <c r="B1029" t="str">
        <f>"601881"</f>
        <v>601881</v>
      </c>
      <c r="C1029" t="s">
        <v>2100</v>
      </c>
      <c r="D1029" t="s">
        <v>75</v>
      </c>
      <c r="F1029">
        <v>44736735685</v>
      </c>
      <c r="G1029">
        <v>30160837012</v>
      </c>
      <c r="H1029">
        <v>30112270634</v>
      </c>
      <c r="I1029">
        <v>8800762804</v>
      </c>
      <c r="J1029">
        <v>-40011953687</v>
      </c>
      <c r="K1029">
        <v>-6736176300</v>
      </c>
      <c r="L1029">
        <v>87085349700</v>
      </c>
      <c r="P1029">
        <v>1598</v>
      </c>
      <c r="Q1029" t="s">
        <v>2101</v>
      </c>
    </row>
    <row r="1030" spans="1:17" x14ac:dyDescent="0.3">
      <c r="A1030" t="s">
        <v>17</v>
      </c>
      <c r="B1030" t="str">
        <f>"601882"</f>
        <v>601882</v>
      </c>
      <c r="C1030" t="s">
        <v>2102</v>
      </c>
      <c r="D1030" t="s">
        <v>78</v>
      </c>
      <c r="F1030">
        <v>205843073</v>
      </c>
      <c r="G1030">
        <v>173341169</v>
      </c>
      <c r="H1030">
        <v>181309565</v>
      </c>
      <c r="I1030">
        <v>255658068</v>
      </c>
      <c r="J1030">
        <v>99247738</v>
      </c>
      <c r="K1030">
        <v>65659992</v>
      </c>
      <c r="L1030">
        <v>44598737</v>
      </c>
      <c r="P1030">
        <v>190</v>
      </c>
      <c r="Q1030" t="s">
        <v>2103</v>
      </c>
    </row>
    <row r="1031" spans="1:17" x14ac:dyDescent="0.3">
      <c r="A1031" t="s">
        <v>17</v>
      </c>
      <c r="B1031" t="str">
        <f>"601886"</f>
        <v>601886</v>
      </c>
      <c r="C1031" t="s">
        <v>2104</v>
      </c>
      <c r="D1031" t="s">
        <v>95</v>
      </c>
      <c r="F1031">
        <v>-1606826173</v>
      </c>
      <c r="G1031">
        <v>-890394022</v>
      </c>
      <c r="H1031">
        <v>-1340848195</v>
      </c>
      <c r="I1031">
        <v>-888167357</v>
      </c>
      <c r="J1031">
        <v>-757519788</v>
      </c>
      <c r="K1031">
        <v>-587516325</v>
      </c>
      <c r="L1031">
        <v>-975419610</v>
      </c>
      <c r="M1031">
        <v>-531107259</v>
      </c>
      <c r="N1031">
        <v>-1097046729</v>
      </c>
      <c r="O1031">
        <v>-932178400</v>
      </c>
      <c r="P1031">
        <v>177</v>
      </c>
      <c r="Q1031" t="s">
        <v>2105</v>
      </c>
    </row>
    <row r="1032" spans="1:17" x14ac:dyDescent="0.3">
      <c r="A1032" t="s">
        <v>17</v>
      </c>
      <c r="B1032" t="str">
        <f>"601888"</f>
        <v>601888</v>
      </c>
      <c r="C1032" t="s">
        <v>2106</v>
      </c>
      <c r="D1032" t="s">
        <v>120</v>
      </c>
      <c r="F1032">
        <v>2132514730</v>
      </c>
      <c r="G1032">
        <v>5865014178</v>
      </c>
      <c r="H1032">
        <v>2404096037</v>
      </c>
      <c r="I1032">
        <v>2970836601</v>
      </c>
      <c r="J1032">
        <v>2211299925</v>
      </c>
      <c r="K1032">
        <v>1209459288</v>
      </c>
      <c r="L1032">
        <v>670775868</v>
      </c>
      <c r="M1032">
        <v>445150131</v>
      </c>
      <c r="N1032">
        <v>781867854</v>
      </c>
      <c r="O1032">
        <v>430436249</v>
      </c>
      <c r="P1032">
        <v>6133</v>
      </c>
      <c r="Q1032" t="s">
        <v>2107</v>
      </c>
    </row>
    <row r="1033" spans="1:17" x14ac:dyDescent="0.3">
      <c r="A1033" t="s">
        <v>17</v>
      </c>
      <c r="B1033" t="str">
        <f>"601890"</f>
        <v>601890</v>
      </c>
      <c r="C1033" t="s">
        <v>2108</v>
      </c>
      <c r="D1033" t="s">
        <v>92</v>
      </c>
      <c r="F1033">
        <v>-32442295</v>
      </c>
      <c r="G1033">
        <v>148618694</v>
      </c>
      <c r="H1033">
        <v>-72508190</v>
      </c>
      <c r="I1033">
        <v>-49564932</v>
      </c>
      <c r="J1033">
        <v>90663776</v>
      </c>
      <c r="K1033">
        <v>240058199</v>
      </c>
      <c r="L1033">
        <v>33235973</v>
      </c>
      <c r="M1033">
        <v>-86736140</v>
      </c>
      <c r="N1033">
        <v>-177121934</v>
      </c>
      <c r="O1033">
        <v>-270089628</v>
      </c>
      <c r="P1033">
        <v>144</v>
      </c>
      <c r="Q1033" t="s">
        <v>2109</v>
      </c>
    </row>
    <row r="1034" spans="1:17" x14ac:dyDescent="0.3">
      <c r="A1034" t="s">
        <v>17</v>
      </c>
      <c r="B1034" t="str">
        <f>"601898"</f>
        <v>601898</v>
      </c>
      <c r="C1034" t="s">
        <v>2110</v>
      </c>
      <c r="D1034" t="s">
        <v>257</v>
      </c>
      <c r="F1034">
        <v>27559091000</v>
      </c>
      <c r="G1034">
        <v>12803318000</v>
      </c>
      <c r="H1034">
        <v>9557142000</v>
      </c>
      <c r="I1034">
        <v>8399159000</v>
      </c>
      <c r="J1034">
        <v>4966328000</v>
      </c>
      <c r="K1034">
        <v>1527295000</v>
      </c>
      <c r="L1034">
        <v>-6743311000</v>
      </c>
      <c r="M1034">
        <v>-13062130000</v>
      </c>
      <c r="N1034">
        <v>-13953969000</v>
      </c>
      <c r="O1034">
        <v>-10891140000</v>
      </c>
      <c r="P1034">
        <v>446</v>
      </c>
      <c r="Q1034" t="s">
        <v>2111</v>
      </c>
    </row>
    <row r="1035" spans="1:17" x14ac:dyDescent="0.3">
      <c r="A1035" t="s">
        <v>17</v>
      </c>
      <c r="B1035" t="str">
        <f>"601899"</f>
        <v>601899</v>
      </c>
      <c r="C1035" t="s">
        <v>2112</v>
      </c>
      <c r="D1035" t="s">
        <v>234</v>
      </c>
      <c r="F1035">
        <v>3161258039</v>
      </c>
      <c r="G1035">
        <v>1703316702</v>
      </c>
      <c r="H1035">
        <v>146070479</v>
      </c>
      <c r="I1035">
        <v>3275727036</v>
      </c>
      <c r="J1035">
        <v>3282987062</v>
      </c>
      <c r="K1035">
        <v>2297718921</v>
      </c>
      <c r="L1035">
        <v>2470866596</v>
      </c>
      <c r="M1035">
        <v>-814318422</v>
      </c>
      <c r="N1035">
        <v>924418894</v>
      </c>
      <c r="O1035">
        <v>998546200</v>
      </c>
      <c r="P1035">
        <v>2406</v>
      </c>
      <c r="Q1035" t="s">
        <v>2113</v>
      </c>
    </row>
    <row r="1036" spans="1:17" x14ac:dyDescent="0.3">
      <c r="A1036" t="s">
        <v>17</v>
      </c>
      <c r="B1036" t="str">
        <f>"601900"</f>
        <v>601900</v>
      </c>
      <c r="C1036" t="s">
        <v>2114</v>
      </c>
      <c r="D1036" t="s">
        <v>89</v>
      </c>
      <c r="F1036">
        <v>-24877223</v>
      </c>
      <c r="G1036">
        <v>-68474421</v>
      </c>
      <c r="H1036">
        <v>-32042732</v>
      </c>
      <c r="I1036">
        <v>65491750</v>
      </c>
      <c r="J1036">
        <v>242217075</v>
      </c>
      <c r="K1036">
        <v>-484062683</v>
      </c>
      <c r="L1036">
        <v>193939486</v>
      </c>
      <c r="M1036">
        <v>194358489</v>
      </c>
      <c r="P1036">
        <v>244</v>
      </c>
      <c r="Q1036" t="s">
        <v>2115</v>
      </c>
    </row>
    <row r="1037" spans="1:17" x14ac:dyDescent="0.3">
      <c r="A1037" t="s">
        <v>17</v>
      </c>
      <c r="B1037" t="str">
        <f>"601901"</f>
        <v>601901</v>
      </c>
      <c r="C1037" t="s">
        <v>2116</v>
      </c>
      <c r="D1037" t="s">
        <v>75</v>
      </c>
      <c r="F1037">
        <v>9843228067</v>
      </c>
      <c r="G1037">
        <v>5945954783</v>
      </c>
      <c r="H1037">
        <v>17999823068</v>
      </c>
      <c r="I1037">
        <v>-7411473488</v>
      </c>
      <c r="J1037">
        <v>4664868123</v>
      </c>
      <c r="K1037">
        <v>-18379686239</v>
      </c>
      <c r="L1037">
        <v>-6854937113</v>
      </c>
      <c r="M1037">
        <v>6784558107</v>
      </c>
      <c r="N1037">
        <v>-856177622</v>
      </c>
      <c r="O1037">
        <v>-3531818539</v>
      </c>
      <c r="P1037">
        <v>931</v>
      </c>
      <c r="Q1037" t="s">
        <v>2117</v>
      </c>
    </row>
    <row r="1038" spans="1:17" x14ac:dyDescent="0.3">
      <c r="A1038" t="s">
        <v>17</v>
      </c>
      <c r="B1038" t="str">
        <f>"601908"</f>
        <v>601908</v>
      </c>
      <c r="C1038" t="s">
        <v>2118</v>
      </c>
      <c r="D1038" t="s">
        <v>41</v>
      </c>
      <c r="F1038">
        <v>-153707833</v>
      </c>
      <c r="G1038">
        <v>-239358023</v>
      </c>
      <c r="H1038">
        <v>-69894197</v>
      </c>
      <c r="I1038">
        <v>-1089378242</v>
      </c>
      <c r="J1038">
        <v>-895966265</v>
      </c>
      <c r="K1038">
        <v>-682534030</v>
      </c>
      <c r="L1038">
        <v>-1050362569</v>
      </c>
      <c r="M1038">
        <v>-716173403</v>
      </c>
      <c r="N1038">
        <v>-667129841</v>
      </c>
      <c r="O1038">
        <v>-170581140</v>
      </c>
      <c r="P1038">
        <v>318</v>
      </c>
      <c r="Q1038" t="s">
        <v>2119</v>
      </c>
    </row>
    <row r="1039" spans="1:17" x14ac:dyDescent="0.3">
      <c r="A1039" t="s">
        <v>17</v>
      </c>
      <c r="B1039" t="str">
        <f>"601916"</f>
        <v>601916</v>
      </c>
      <c r="C1039" t="s">
        <v>2120</v>
      </c>
      <c r="D1039" t="s">
        <v>19</v>
      </c>
      <c r="F1039">
        <v>-31265000000</v>
      </c>
      <c r="G1039">
        <v>110459000000</v>
      </c>
      <c r="H1039">
        <v>12225301000</v>
      </c>
      <c r="I1039">
        <v>-130928336000</v>
      </c>
      <c r="J1039">
        <v>-139628422000</v>
      </c>
      <c r="K1039">
        <v>98853874000</v>
      </c>
      <c r="L1039">
        <v>151603216000</v>
      </c>
      <c r="P1039">
        <v>537</v>
      </c>
      <c r="Q1039" t="s">
        <v>2121</v>
      </c>
    </row>
    <row r="1040" spans="1:17" x14ac:dyDescent="0.3">
      <c r="A1040" t="s">
        <v>17</v>
      </c>
      <c r="B1040" t="str">
        <f>"601918"</f>
        <v>601918</v>
      </c>
      <c r="C1040" t="s">
        <v>2122</v>
      </c>
      <c r="D1040" t="s">
        <v>257</v>
      </c>
      <c r="F1040">
        <v>2542096882</v>
      </c>
      <c r="G1040">
        <v>273165771</v>
      </c>
      <c r="H1040">
        <v>2619131652</v>
      </c>
      <c r="I1040">
        <v>2656595225</v>
      </c>
      <c r="J1040">
        <v>1302658765</v>
      </c>
      <c r="K1040">
        <v>343719823</v>
      </c>
      <c r="L1040">
        <v>-1953088289</v>
      </c>
      <c r="M1040">
        <v>-1651580703</v>
      </c>
      <c r="N1040">
        <v>-494508158</v>
      </c>
      <c r="O1040">
        <v>-674501191</v>
      </c>
      <c r="P1040">
        <v>237</v>
      </c>
      <c r="Q1040" t="s">
        <v>2123</v>
      </c>
    </row>
    <row r="1041" spans="1:17" x14ac:dyDescent="0.3">
      <c r="A1041" t="s">
        <v>17</v>
      </c>
      <c r="B1041" t="str">
        <f>"601919"</f>
        <v>601919</v>
      </c>
      <c r="C1041" t="s">
        <v>2124</v>
      </c>
      <c r="D1041" t="s">
        <v>22</v>
      </c>
      <c r="F1041">
        <v>107836660674</v>
      </c>
      <c r="G1041">
        <v>18493810083</v>
      </c>
      <c r="H1041">
        <v>5851580322</v>
      </c>
      <c r="I1041">
        <v>-9651749310</v>
      </c>
      <c r="J1041">
        <v>-2974908378</v>
      </c>
      <c r="K1041">
        <v>-4233059200</v>
      </c>
      <c r="L1041">
        <v>807023474</v>
      </c>
      <c r="M1041">
        <v>204967725</v>
      </c>
      <c r="N1041">
        <v>-10151595939</v>
      </c>
      <c r="O1041">
        <v>-12749252488</v>
      </c>
      <c r="P1041">
        <v>1362</v>
      </c>
      <c r="Q1041" t="s">
        <v>2125</v>
      </c>
    </row>
    <row r="1042" spans="1:17" x14ac:dyDescent="0.3">
      <c r="A1042" t="s">
        <v>17</v>
      </c>
      <c r="B1042" t="str">
        <f>"601921"</f>
        <v>601921</v>
      </c>
      <c r="C1042" t="s">
        <v>2126</v>
      </c>
      <c r="D1042" t="s">
        <v>89</v>
      </c>
      <c r="F1042">
        <v>963400489</v>
      </c>
      <c r="G1042">
        <v>874233285</v>
      </c>
      <c r="P1042">
        <v>28</v>
      </c>
      <c r="Q1042" t="s">
        <v>2127</v>
      </c>
    </row>
    <row r="1043" spans="1:17" x14ac:dyDescent="0.3">
      <c r="A1043" t="s">
        <v>17</v>
      </c>
      <c r="B1043" t="str">
        <f>"601928"</f>
        <v>601928</v>
      </c>
      <c r="C1043" t="s">
        <v>2128</v>
      </c>
      <c r="D1043" t="s">
        <v>89</v>
      </c>
      <c r="F1043">
        <v>1584476894</v>
      </c>
      <c r="G1043">
        <v>2219755682</v>
      </c>
      <c r="H1043">
        <v>969036234</v>
      </c>
      <c r="I1043">
        <v>1010155283</v>
      </c>
      <c r="J1043">
        <v>657890144</v>
      </c>
      <c r="K1043">
        <v>554118132</v>
      </c>
      <c r="L1043">
        <v>155541708</v>
      </c>
      <c r="M1043">
        <v>-644723070</v>
      </c>
      <c r="N1043">
        <v>-322978813</v>
      </c>
      <c r="O1043">
        <v>572641090</v>
      </c>
      <c r="P1043">
        <v>551</v>
      </c>
      <c r="Q1043" t="s">
        <v>2129</v>
      </c>
    </row>
    <row r="1044" spans="1:17" x14ac:dyDescent="0.3">
      <c r="A1044" t="s">
        <v>17</v>
      </c>
      <c r="B1044" t="str">
        <f>"601929"</f>
        <v>601929</v>
      </c>
      <c r="C1044" t="s">
        <v>2130</v>
      </c>
      <c r="D1044" t="s">
        <v>89</v>
      </c>
      <c r="F1044">
        <v>-383889151</v>
      </c>
      <c r="G1044">
        <v>-610959194</v>
      </c>
      <c r="H1044">
        <v>-1091440051</v>
      </c>
      <c r="I1044">
        <v>-1059182051</v>
      </c>
      <c r="J1044">
        <v>-650930273</v>
      </c>
      <c r="K1044">
        <v>-314809362</v>
      </c>
      <c r="L1044">
        <v>-110728579</v>
      </c>
      <c r="M1044">
        <v>-669835538</v>
      </c>
      <c r="N1044">
        <v>-57943511</v>
      </c>
      <c r="O1044">
        <v>-415481038</v>
      </c>
      <c r="P1044">
        <v>159</v>
      </c>
      <c r="Q1044" t="s">
        <v>2131</v>
      </c>
    </row>
    <row r="1045" spans="1:17" x14ac:dyDescent="0.3">
      <c r="A1045" t="s">
        <v>17</v>
      </c>
      <c r="B1045" t="str">
        <f>"601933"</f>
        <v>601933</v>
      </c>
      <c r="C1045" t="s">
        <v>2132</v>
      </c>
      <c r="D1045" t="s">
        <v>120</v>
      </c>
      <c r="F1045">
        <v>6027990410</v>
      </c>
      <c r="G1045">
        <v>4329543539</v>
      </c>
      <c r="H1045">
        <v>176424874</v>
      </c>
      <c r="I1045">
        <v>140003947</v>
      </c>
      <c r="J1045">
        <v>1453475820</v>
      </c>
      <c r="K1045">
        <v>1357841469</v>
      </c>
      <c r="L1045">
        <v>892569844</v>
      </c>
      <c r="M1045">
        <v>639277423</v>
      </c>
      <c r="N1045">
        <v>780273643</v>
      </c>
      <c r="O1045">
        <v>-107877878</v>
      </c>
      <c r="P1045">
        <v>2444</v>
      </c>
      <c r="Q1045" t="s">
        <v>2133</v>
      </c>
    </row>
    <row r="1046" spans="1:17" x14ac:dyDescent="0.3">
      <c r="A1046" t="s">
        <v>17</v>
      </c>
      <c r="B1046" t="str">
        <f>"601939"</f>
        <v>601939</v>
      </c>
      <c r="C1046" t="s">
        <v>2134</v>
      </c>
      <c r="D1046" t="s">
        <v>19</v>
      </c>
      <c r="F1046">
        <v>468338000000</v>
      </c>
      <c r="G1046">
        <v>626331000000</v>
      </c>
      <c r="H1046">
        <v>168753000000</v>
      </c>
      <c r="I1046">
        <v>739388000000</v>
      </c>
      <c r="J1046">
        <v>122312000000</v>
      </c>
      <c r="K1046">
        <v>1008459000000</v>
      </c>
      <c r="L1046">
        <v>551561000000</v>
      </c>
      <c r="M1046">
        <v>446978000000</v>
      </c>
      <c r="N1046">
        <v>-2403000000</v>
      </c>
      <c r="O1046">
        <v>206982000000</v>
      </c>
      <c r="P1046">
        <v>19332</v>
      </c>
      <c r="Q1046" t="s">
        <v>2135</v>
      </c>
    </row>
    <row r="1047" spans="1:17" x14ac:dyDescent="0.3">
      <c r="A1047" t="s">
        <v>17</v>
      </c>
      <c r="B1047" t="str">
        <f>"601949"</f>
        <v>601949</v>
      </c>
      <c r="C1047" t="s">
        <v>2136</v>
      </c>
      <c r="D1047" t="s">
        <v>89</v>
      </c>
      <c r="F1047">
        <v>43764904</v>
      </c>
      <c r="G1047">
        <v>61719795</v>
      </c>
      <c r="H1047">
        <v>-103223212</v>
      </c>
      <c r="I1047">
        <v>-147223335</v>
      </c>
      <c r="J1047">
        <v>-333465171</v>
      </c>
      <c r="K1047">
        <v>-543153767</v>
      </c>
      <c r="P1047">
        <v>160</v>
      </c>
      <c r="Q1047" t="s">
        <v>2137</v>
      </c>
    </row>
    <row r="1048" spans="1:17" x14ac:dyDescent="0.3">
      <c r="A1048" t="s">
        <v>17</v>
      </c>
      <c r="B1048" t="str">
        <f>"601952"</f>
        <v>601952</v>
      </c>
      <c r="C1048" t="s">
        <v>2138</v>
      </c>
      <c r="D1048" t="s">
        <v>205</v>
      </c>
      <c r="F1048">
        <v>26128301</v>
      </c>
      <c r="G1048">
        <v>-15078866</v>
      </c>
      <c r="H1048">
        <v>-163052479</v>
      </c>
      <c r="I1048">
        <v>-59819303</v>
      </c>
      <c r="J1048">
        <v>-213096729</v>
      </c>
      <c r="K1048">
        <v>265696284</v>
      </c>
      <c r="P1048">
        <v>313</v>
      </c>
      <c r="Q1048" t="s">
        <v>2139</v>
      </c>
    </row>
    <row r="1049" spans="1:17" x14ac:dyDescent="0.3">
      <c r="A1049" t="s">
        <v>17</v>
      </c>
      <c r="B1049" t="str">
        <f>"601956"</f>
        <v>601956</v>
      </c>
      <c r="C1049" t="s">
        <v>2140</v>
      </c>
      <c r="D1049" t="s">
        <v>126</v>
      </c>
      <c r="F1049">
        <v>567261125</v>
      </c>
      <c r="G1049">
        <v>-32795533</v>
      </c>
      <c r="P1049">
        <v>23</v>
      </c>
      <c r="Q1049" t="s">
        <v>2141</v>
      </c>
    </row>
    <row r="1050" spans="1:17" x14ac:dyDescent="0.3">
      <c r="A1050" t="s">
        <v>17</v>
      </c>
      <c r="B1050" t="str">
        <f>"601958"</f>
        <v>601958</v>
      </c>
      <c r="C1050" t="s">
        <v>2142</v>
      </c>
      <c r="D1050" t="s">
        <v>234</v>
      </c>
      <c r="F1050">
        <v>-5125710</v>
      </c>
      <c r="G1050">
        <v>-48243521</v>
      </c>
      <c r="H1050">
        <v>644124313</v>
      </c>
      <c r="I1050">
        <v>-551396036</v>
      </c>
      <c r="J1050">
        <v>-503518325</v>
      </c>
      <c r="K1050">
        <v>-299979882</v>
      </c>
      <c r="L1050">
        <v>-340382957</v>
      </c>
      <c r="M1050">
        <v>-480495208</v>
      </c>
      <c r="N1050">
        <v>-121132473</v>
      </c>
      <c r="O1050">
        <v>483663114</v>
      </c>
      <c r="P1050">
        <v>244</v>
      </c>
      <c r="Q1050" t="s">
        <v>2143</v>
      </c>
    </row>
    <row r="1051" spans="1:17" x14ac:dyDescent="0.3">
      <c r="A1051" t="s">
        <v>17</v>
      </c>
      <c r="B1051" t="str">
        <f>"601963"</f>
        <v>601963</v>
      </c>
      <c r="C1051" t="s">
        <v>2144</v>
      </c>
      <c r="D1051" t="s">
        <v>19</v>
      </c>
      <c r="F1051">
        <v>-10236619000</v>
      </c>
      <c r="G1051">
        <v>24328044000</v>
      </c>
      <c r="H1051">
        <v>439567000</v>
      </c>
      <c r="I1051">
        <v>-24382823000</v>
      </c>
      <c r="J1051">
        <v>-3533243000</v>
      </c>
      <c r="K1051">
        <v>-19158467000</v>
      </c>
      <c r="L1051">
        <v>5661260000</v>
      </c>
      <c r="P1051">
        <v>150</v>
      </c>
      <c r="Q1051" t="s">
        <v>2145</v>
      </c>
    </row>
    <row r="1052" spans="1:17" x14ac:dyDescent="0.3">
      <c r="A1052" t="s">
        <v>17</v>
      </c>
      <c r="B1052" t="str">
        <f>"601965"</f>
        <v>601965</v>
      </c>
      <c r="C1052" t="s">
        <v>2146</v>
      </c>
      <c r="D1052" t="s">
        <v>27</v>
      </c>
      <c r="F1052">
        <v>-12845971</v>
      </c>
      <c r="G1052">
        <v>-58619246</v>
      </c>
      <c r="H1052">
        <v>-94202886</v>
      </c>
      <c r="I1052">
        <v>-105529448</v>
      </c>
      <c r="J1052">
        <v>-18588314</v>
      </c>
      <c r="K1052">
        <v>24074232</v>
      </c>
      <c r="L1052">
        <v>-146257177</v>
      </c>
      <c r="M1052">
        <v>-94448891</v>
      </c>
      <c r="N1052">
        <v>-256288483</v>
      </c>
      <c r="O1052">
        <v>-215151437</v>
      </c>
      <c r="P1052">
        <v>307</v>
      </c>
      <c r="Q1052" t="s">
        <v>2147</v>
      </c>
    </row>
    <row r="1053" spans="1:17" x14ac:dyDescent="0.3">
      <c r="A1053" t="s">
        <v>17</v>
      </c>
      <c r="B1053" t="str">
        <f>"601966"</f>
        <v>601966</v>
      </c>
      <c r="C1053" t="s">
        <v>2148</v>
      </c>
      <c r="D1053" t="s">
        <v>27</v>
      </c>
      <c r="F1053">
        <v>-3657702219</v>
      </c>
      <c r="G1053">
        <v>898736947</v>
      </c>
      <c r="H1053">
        <v>826993489</v>
      </c>
      <c r="I1053">
        <v>639609476</v>
      </c>
      <c r="J1053">
        <v>-784671523</v>
      </c>
      <c r="K1053">
        <v>1287556866</v>
      </c>
      <c r="L1053">
        <v>536813439</v>
      </c>
      <c r="P1053">
        <v>927</v>
      </c>
      <c r="Q1053" t="s">
        <v>2149</v>
      </c>
    </row>
    <row r="1054" spans="1:17" x14ac:dyDescent="0.3">
      <c r="A1054" t="s">
        <v>17</v>
      </c>
      <c r="B1054" t="str">
        <f>"601968"</f>
        <v>601968</v>
      </c>
      <c r="C1054" t="s">
        <v>2150</v>
      </c>
      <c r="D1054" t="s">
        <v>161</v>
      </c>
      <c r="F1054">
        <v>-201543788</v>
      </c>
      <c r="G1054">
        <v>100322611</v>
      </c>
      <c r="H1054">
        <v>353229891</v>
      </c>
      <c r="I1054">
        <v>306812552</v>
      </c>
      <c r="J1054">
        <v>-38498665</v>
      </c>
      <c r="K1054">
        <v>-52301078</v>
      </c>
      <c r="L1054">
        <v>177010564</v>
      </c>
      <c r="M1054">
        <v>-190259117</v>
      </c>
      <c r="P1054">
        <v>108</v>
      </c>
      <c r="Q1054" t="s">
        <v>2151</v>
      </c>
    </row>
    <row r="1055" spans="1:17" x14ac:dyDescent="0.3">
      <c r="A1055" t="s">
        <v>17</v>
      </c>
      <c r="B1055" t="str">
        <f>"601969"</f>
        <v>601969</v>
      </c>
      <c r="C1055" t="s">
        <v>2152</v>
      </c>
      <c r="D1055" t="s">
        <v>38</v>
      </c>
      <c r="F1055">
        <v>262235010</v>
      </c>
      <c r="G1055">
        <v>197281920</v>
      </c>
      <c r="H1055">
        <v>229496220</v>
      </c>
      <c r="I1055">
        <v>-69701165</v>
      </c>
      <c r="J1055">
        <v>80863911</v>
      </c>
      <c r="K1055">
        <v>15099996</v>
      </c>
      <c r="L1055">
        <v>-289558278</v>
      </c>
      <c r="M1055">
        <v>86353653</v>
      </c>
      <c r="N1055">
        <v>258252177</v>
      </c>
      <c r="P1055">
        <v>154</v>
      </c>
      <c r="Q1055" t="s">
        <v>2153</v>
      </c>
    </row>
    <row r="1056" spans="1:17" x14ac:dyDescent="0.3">
      <c r="A1056" t="s">
        <v>17</v>
      </c>
      <c r="B1056" t="str">
        <f>"601975"</f>
        <v>601975</v>
      </c>
      <c r="C1056" t="s">
        <v>2154</v>
      </c>
      <c r="D1056" t="s">
        <v>22</v>
      </c>
      <c r="F1056">
        <v>478570696</v>
      </c>
      <c r="G1056">
        <v>1356369619</v>
      </c>
      <c r="H1056">
        <v>686316266</v>
      </c>
      <c r="I1056">
        <v>735996800</v>
      </c>
      <c r="N1056">
        <v>366594248</v>
      </c>
      <c r="O1056">
        <v>-382188096</v>
      </c>
      <c r="P1056">
        <v>270</v>
      </c>
      <c r="Q1056" t="s">
        <v>2155</v>
      </c>
    </row>
    <row r="1057" spans="1:17" x14ac:dyDescent="0.3">
      <c r="A1057" t="s">
        <v>17</v>
      </c>
      <c r="B1057" t="str">
        <f>"601985"</f>
        <v>601985</v>
      </c>
      <c r="C1057" t="s">
        <v>2156</v>
      </c>
      <c r="D1057" t="s">
        <v>41</v>
      </c>
      <c r="F1057">
        <v>15213655007</v>
      </c>
      <c r="G1057">
        <v>9904703505</v>
      </c>
      <c r="H1057">
        <v>7271095986</v>
      </c>
      <c r="I1057">
        <v>2606535553</v>
      </c>
      <c r="J1057">
        <v>-1756636408</v>
      </c>
      <c r="K1057">
        <v>-1197888378</v>
      </c>
      <c r="L1057">
        <v>-929051570</v>
      </c>
      <c r="M1057">
        <v>-8293620695</v>
      </c>
      <c r="P1057">
        <v>998</v>
      </c>
      <c r="Q1057" t="s">
        <v>2157</v>
      </c>
    </row>
    <row r="1058" spans="1:17" x14ac:dyDescent="0.3">
      <c r="A1058" t="s">
        <v>17</v>
      </c>
      <c r="B1058" t="str">
        <f>"601988"</f>
        <v>601988</v>
      </c>
      <c r="C1058" t="s">
        <v>2158</v>
      </c>
      <c r="D1058" t="s">
        <v>19</v>
      </c>
      <c r="F1058">
        <v>433598000000</v>
      </c>
      <c r="G1058">
        <v>30241000000</v>
      </c>
      <c r="H1058">
        <v>-575727000000</v>
      </c>
      <c r="I1058">
        <v>553799000000</v>
      </c>
      <c r="J1058">
        <v>357770000000</v>
      </c>
      <c r="K1058">
        <v>-57421000000</v>
      </c>
      <c r="L1058">
        <v>515695000000</v>
      </c>
      <c r="M1058">
        <v>397264000000</v>
      </c>
      <c r="N1058">
        <v>-62635000000</v>
      </c>
      <c r="O1058">
        <v>324961000000</v>
      </c>
      <c r="P1058">
        <v>4259</v>
      </c>
      <c r="Q1058" t="s">
        <v>2159</v>
      </c>
    </row>
    <row r="1059" spans="1:17" x14ac:dyDescent="0.3">
      <c r="A1059" t="s">
        <v>17</v>
      </c>
      <c r="B1059" t="str">
        <f>"601989"</f>
        <v>601989</v>
      </c>
      <c r="C1059" t="s">
        <v>2160</v>
      </c>
      <c r="D1059" t="s">
        <v>92</v>
      </c>
      <c r="F1059">
        <v>-4917795746</v>
      </c>
      <c r="G1059">
        <v>-1394579778</v>
      </c>
      <c r="H1059">
        <v>-5969564227</v>
      </c>
      <c r="I1059">
        <v>4865455718</v>
      </c>
      <c r="J1059">
        <v>297558102</v>
      </c>
      <c r="K1059">
        <v>-3801534068</v>
      </c>
      <c r="L1059">
        <v>-5245235787</v>
      </c>
      <c r="M1059">
        <v>-5273870955</v>
      </c>
      <c r="N1059">
        <v>-5529798676</v>
      </c>
      <c r="O1059">
        <v>-11468149166</v>
      </c>
      <c r="P1059">
        <v>669</v>
      </c>
      <c r="Q1059" t="s">
        <v>2161</v>
      </c>
    </row>
    <row r="1060" spans="1:17" x14ac:dyDescent="0.3">
      <c r="A1060" t="s">
        <v>17</v>
      </c>
      <c r="B1060" t="str">
        <f>"601990"</f>
        <v>601990</v>
      </c>
      <c r="C1060" t="s">
        <v>2162</v>
      </c>
      <c r="D1060" t="s">
        <v>75</v>
      </c>
      <c r="F1060">
        <v>-3544525183</v>
      </c>
      <c r="G1060">
        <v>-4235906084</v>
      </c>
      <c r="H1060">
        <v>47702654</v>
      </c>
      <c r="I1060">
        <v>221280937</v>
      </c>
      <c r="J1060">
        <v>536495315</v>
      </c>
      <c r="K1060">
        <v>-5749088800</v>
      </c>
      <c r="P1060">
        <v>722</v>
      </c>
      <c r="Q1060" t="s">
        <v>2163</v>
      </c>
    </row>
    <row r="1061" spans="1:17" x14ac:dyDescent="0.3">
      <c r="A1061" t="s">
        <v>17</v>
      </c>
      <c r="B1061" t="str">
        <f>"601991"</f>
        <v>601991</v>
      </c>
      <c r="C1061" t="s">
        <v>2164</v>
      </c>
      <c r="D1061" t="s">
        <v>41</v>
      </c>
      <c r="F1061">
        <v>8639145000</v>
      </c>
      <c r="G1061">
        <v>14470892000</v>
      </c>
      <c r="H1061">
        <v>8887956000</v>
      </c>
      <c r="I1061">
        <v>7116112000</v>
      </c>
      <c r="J1061">
        <v>7920526000</v>
      </c>
      <c r="K1061">
        <v>9729444000</v>
      </c>
      <c r="L1061">
        <v>10566700000</v>
      </c>
      <c r="M1061">
        <v>8530630000</v>
      </c>
      <c r="N1061">
        <v>3295491000</v>
      </c>
      <c r="O1061">
        <v>-3400682000</v>
      </c>
      <c r="P1061">
        <v>283</v>
      </c>
      <c r="Q1061" t="s">
        <v>2165</v>
      </c>
    </row>
    <row r="1062" spans="1:17" x14ac:dyDescent="0.3">
      <c r="A1062" t="s">
        <v>17</v>
      </c>
      <c r="B1062" t="str">
        <f>"601992"</f>
        <v>601992</v>
      </c>
      <c r="C1062" t="s">
        <v>2166</v>
      </c>
      <c r="D1062" t="s">
        <v>350</v>
      </c>
      <c r="F1062">
        <v>6922942542</v>
      </c>
      <c r="G1062">
        <v>-66702710</v>
      </c>
      <c r="H1062">
        <v>-2344995074</v>
      </c>
      <c r="I1062">
        <v>-7778976285</v>
      </c>
      <c r="J1062">
        <v>-14678728573</v>
      </c>
      <c r="K1062">
        <v>1471382273</v>
      </c>
      <c r="L1062">
        <v>673888596</v>
      </c>
      <c r="M1062">
        <v>-5458963987</v>
      </c>
      <c r="N1062">
        <v>-1785208442</v>
      </c>
      <c r="O1062">
        <v>-302957146</v>
      </c>
      <c r="P1062">
        <v>368</v>
      </c>
      <c r="Q1062" t="s">
        <v>2167</v>
      </c>
    </row>
    <row r="1063" spans="1:17" x14ac:dyDescent="0.3">
      <c r="A1063" t="s">
        <v>17</v>
      </c>
      <c r="B1063" t="str">
        <f>"601995"</f>
        <v>601995</v>
      </c>
      <c r="C1063" t="s">
        <v>2168</v>
      </c>
      <c r="D1063" t="s">
        <v>75</v>
      </c>
      <c r="F1063">
        <v>10783625861</v>
      </c>
      <c r="G1063">
        <v>5323872725</v>
      </c>
      <c r="H1063">
        <v>-4014237893</v>
      </c>
      <c r="I1063">
        <v>-11820499889</v>
      </c>
      <c r="J1063">
        <v>-19947771989</v>
      </c>
      <c r="P1063">
        <v>986</v>
      </c>
      <c r="Q1063" t="s">
        <v>2169</v>
      </c>
    </row>
    <row r="1064" spans="1:17" x14ac:dyDescent="0.3">
      <c r="A1064" t="s">
        <v>17</v>
      </c>
      <c r="B1064" t="str">
        <f>"601996"</f>
        <v>601996</v>
      </c>
      <c r="C1064" t="s">
        <v>2170</v>
      </c>
      <c r="D1064" t="s">
        <v>161</v>
      </c>
      <c r="F1064">
        <v>-116768187</v>
      </c>
      <c r="G1064">
        <v>63890465</v>
      </c>
      <c r="H1064">
        <v>-30224076</v>
      </c>
      <c r="I1064">
        <v>-194336062</v>
      </c>
      <c r="J1064">
        <v>111654670</v>
      </c>
      <c r="K1064">
        <v>166897090</v>
      </c>
      <c r="L1064">
        <v>84455244</v>
      </c>
      <c r="M1064">
        <v>-70052694</v>
      </c>
      <c r="N1064">
        <v>-136665032</v>
      </c>
      <c r="O1064">
        <v>-25249093</v>
      </c>
      <c r="P1064">
        <v>143</v>
      </c>
      <c r="Q1064" t="s">
        <v>2171</v>
      </c>
    </row>
    <row r="1065" spans="1:17" x14ac:dyDescent="0.3">
      <c r="A1065" t="s">
        <v>17</v>
      </c>
      <c r="B1065" t="str">
        <f>"601997"</f>
        <v>601997</v>
      </c>
      <c r="C1065" t="s">
        <v>2172</v>
      </c>
      <c r="D1065" t="s">
        <v>19</v>
      </c>
      <c r="F1065">
        <v>-4695795000</v>
      </c>
      <c r="G1065">
        <v>4352734000</v>
      </c>
      <c r="H1065">
        <v>6671061000</v>
      </c>
      <c r="I1065">
        <v>-38713430000</v>
      </c>
      <c r="J1065">
        <v>4984652000</v>
      </c>
      <c r="K1065">
        <v>34598291000</v>
      </c>
      <c r="L1065">
        <v>26423705000</v>
      </c>
      <c r="O1065">
        <v>4034778810.5700002</v>
      </c>
      <c r="P1065">
        <v>2051</v>
      </c>
      <c r="Q1065" t="s">
        <v>2173</v>
      </c>
    </row>
    <row r="1066" spans="1:17" x14ac:dyDescent="0.3">
      <c r="A1066" t="s">
        <v>17</v>
      </c>
      <c r="B1066" t="str">
        <f>"601998"</f>
        <v>601998</v>
      </c>
      <c r="C1066" t="s">
        <v>2174</v>
      </c>
      <c r="D1066" t="s">
        <v>19</v>
      </c>
      <c r="F1066">
        <v>-23801000000</v>
      </c>
      <c r="G1066">
        <v>48481000000</v>
      </c>
      <c r="H1066">
        <v>39205000000</v>
      </c>
      <c r="I1066">
        <v>175010000000</v>
      </c>
      <c r="J1066">
        <v>-8152000000</v>
      </c>
      <c r="K1066">
        <v>-34213000000</v>
      </c>
      <c r="L1066">
        <v>36192000000</v>
      </c>
      <c r="M1066">
        <v>-2419000000</v>
      </c>
      <c r="N1066">
        <v>-113132000000</v>
      </c>
      <c r="O1066">
        <v>-109328000000</v>
      </c>
      <c r="P1066">
        <v>1903</v>
      </c>
      <c r="Q1066" t="s">
        <v>2175</v>
      </c>
    </row>
    <row r="1067" spans="1:17" x14ac:dyDescent="0.3">
      <c r="A1067" t="s">
        <v>17</v>
      </c>
      <c r="B1067" t="str">
        <f>"601999"</f>
        <v>601999</v>
      </c>
      <c r="C1067" t="s">
        <v>2176</v>
      </c>
      <c r="D1067" t="s">
        <v>89</v>
      </c>
      <c r="F1067">
        <v>-132566432</v>
      </c>
      <c r="G1067">
        <v>-302135477</v>
      </c>
      <c r="H1067">
        <v>-152057157</v>
      </c>
      <c r="I1067">
        <v>-414345973</v>
      </c>
      <c r="J1067">
        <v>-130050195</v>
      </c>
      <c r="K1067">
        <v>-12194102</v>
      </c>
      <c r="L1067">
        <v>-56439723</v>
      </c>
      <c r="M1067">
        <v>8228762</v>
      </c>
      <c r="N1067">
        <v>-113221021</v>
      </c>
      <c r="O1067">
        <v>-49309139</v>
      </c>
      <c r="P1067">
        <v>82</v>
      </c>
      <c r="Q1067" t="s">
        <v>2177</v>
      </c>
    </row>
    <row r="1068" spans="1:17" x14ac:dyDescent="0.3">
      <c r="A1068" t="s">
        <v>17</v>
      </c>
      <c r="B1068" t="str">
        <f>"603000"</f>
        <v>603000</v>
      </c>
      <c r="C1068" t="s">
        <v>2178</v>
      </c>
      <c r="D1068" t="s">
        <v>89</v>
      </c>
      <c r="F1068">
        <v>-42010028</v>
      </c>
      <c r="G1068">
        <v>-68498026</v>
      </c>
      <c r="H1068">
        <v>192077705</v>
      </c>
      <c r="I1068">
        <v>46008807</v>
      </c>
      <c r="J1068">
        <v>-23662618</v>
      </c>
      <c r="K1068">
        <v>-145612045</v>
      </c>
      <c r="L1068">
        <v>-80855965</v>
      </c>
      <c r="M1068">
        <v>41263239</v>
      </c>
      <c r="N1068">
        <v>-33130603</v>
      </c>
      <c r="O1068">
        <v>-36820642</v>
      </c>
      <c r="P1068">
        <v>323</v>
      </c>
      <c r="Q1068" t="s">
        <v>2179</v>
      </c>
    </row>
    <row r="1069" spans="1:17" x14ac:dyDescent="0.3">
      <c r="A1069" t="s">
        <v>17</v>
      </c>
      <c r="B1069" t="str">
        <f>"603001"</f>
        <v>603001</v>
      </c>
      <c r="C1069" t="s">
        <v>2180</v>
      </c>
      <c r="D1069" t="s">
        <v>227</v>
      </c>
      <c r="F1069">
        <v>-233419035</v>
      </c>
      <c r="G1069">
        <v>-68654934</v>
      </c>
      <c r="H1069">
        <v>-298931512</v>
      </c>
      <c r="I1069">
        <v>-171198150</v>
      </c>
      <c r="J1069">
        <v>-170283592</v>
      </c>
      <c r="K1069">
        <v>-174144790</v>
      </c>
      <c r="L1069">
        <v>-4890978</v>
      </c>
      <c r="M1069">
        <v>-212137379</v>
      </c>
      <c r="N1069">
        <v>-477943731</v>
      </c>
      <c r="O1069">
        <v>-275306609</v>
      </c>
      <c r="P1069">
        <v>148</v>
      </c>
      <c r="Q1069" t="s">
        <v>2181</v>
      </c>
    </row>
    <row r="1070" spans="1:17" x14ac:dyDescent="0.3">
      <c r="A1070" t="s">
        <v>17</v>
      </c>
      <c r="B1070" t="str">
        <f>"603002"</f>
        <v>603002</v>
      </c>
      <c r="C1070" t="s">
        <v>2182</v>
      </c>
      <c r="D1070" t="s">
        <v>150</v>
      </c>
      <c r="F1070">
        <v>147112756</v>
      </c>
      <c r="G1070">
        <v>104616644</v>
      </c>
      <c r="H1070">
        <v>-58217580</v>
      </c>
      <c r="I1070">
        <v>14303599</v>
      </c>
      <c r="J1070">
        <v>-138390645</v>
      </c>
      <c r="K1070">
        <v>-100661499</v>
      </c>
      <c r="L1070">
        <v>-68439196</v>
      </c>
      <c r="M1070">
        <v>-30713697</v>
      </c>
      <c r="N1070">
        <v>-70919330</v>
      </c>
      <c r="O1070">
        <v>105898203</v>
      </c>
      <c r="P1070">
        <v>116</v>
      </c>
      <c r="Q1070" t="s">
        <v>2183</v>
      </c>
    </row>
    <row r="1071" spans="1:17" x14ac:dyDescent="0.3">
      <c r="A1071" t="s">
        <v>17</v>
      </c>
      <c r="B1071" t="str">
        <f>"603003"</f>
        <v>603003</v>
      </c>
      <c r="C1071" t="s">
        <v>2184</v>
      </c>
      <c r="D1071" t="s">
        <v>212</v>
      </c>
      <c r="F1071">
        <v>-413301260</v>
      </c>
      <c r="G1071">
        <v>-121830387</v>
      </c>
      <c r="H1071">
        <v>-707789862</v>
      </c>
      <c r="I1071">
        <v>-586577166</v>
      </c>
      <c r="J1071">
        <v>-483789749</v>
      </c>
      <c r="K1071">
        <v>441830353</v>
      </c>
      <c r="L1071">
        <v>-183587346</v>
      </c>
      <c r="M1071">
        <v>8153058</v>
      </c>
      <c r="N1071">
        <v>149071278</v>
      </c>
      <c r="O1071">
        <v>-568804388</v>
      </c>
      <c r="P1071">
        <v>88</v>
      </c>
      <c r="Q1071" t="s">
        <v>2185</v>
      </c>
    </row>
    <row r="1072" spans="1:17" x14ac:dyDescent="0.3">
      <c r="A1072" t="s">
        <v>17</v>
      </c>
      <c r="B1072" t="str">
        <f>"603005"</f>
        <v>603005</v>
      </c>
      <c r="C1072" t="s">
        <v>2186</v>
      </c>
      <c r="D1072" t="s">
        <v>150</v>
      </c>
      <c r="F1072">
        <v>135889594</v>
      </c>
      <c r="G1072">
        <v>194893431</v>
      </c>
      <c r="H1072">
        <v>44442379</v>
      </c>
      <c r="I1072">
        <v>-2103514</v>
      </c>
      <c r="J1072">
        <v>74400069</v>
      </c>
      <c r="K1072">
        <v>-26812364</v>
      </c>
      <c r="L1072">
        <v>-266253138</v>
      </c>
      <c r="M1072">
        <v>-5340310</v>
      </c>
      <c r="P1072">
        <v>3663</v>
      </c>
      <c r="Q1072" t="s">
        <v>2187</v>
      </c>
    </row>
    <row r="1073" spans="1:17" x14ac:dyDescent="0.3">
      <c r="A1073" t="s">
        <v>17</v>
      </c>
      <c r="B1073" t="str">
        <f>"603006"</f>
        <v>603006</v>
      </c>
      <c r="C1073" t="s">
        <v>2188</v>
      </c>
      <c r="D1073" t="s">
        <v>27</v>
      </c>
      <c r="F1073">
        <v>90580669</v>
      </c>
      <c r="G1073">
        <v>134628265</v>
      </c>
      <c r="H1073">
        <v>92881632</v>
      </c>
      <c r="I1073">
        <v>-25930078</v>
      </c>
      <c r="J1073">
        <v>-37855703</v>
      </c>
      <c r="K1073">
        <v>82090409</v>
      </c>
      <c r="L1073">
        <v>-74054609</v>
      </c>
      <c r="M1073">
        <v>-95466663</v>
      </c>
      <c r="N1073">
        <v>-27005036</v>
      </c>
      <c r="P1073">
        <v>106</v>
      </c>
      <c r="Q1073" t="s">
        <v>2189</v>
      </c>
    </row>
    <row r="1074" spans="1:17" x14ac:dyDescent="0.3">
      <c r="A1074" t="s">
        <v>17</v>
      </c>
      <c r="B1074" t="str">
        <f>"603007"</f>
        <v>603007</v>
      </c>
      <c r="C1074" t="s">
        <v>2190</v>
      </c>
      <c r="D1074" t="s">
        <v>95</v>
      </c>
      <c r="F1074">
        <v>153953965</v>
      </c>
      <c r="G1074">
        <v>-207716875</v>
      </c>
      <c r="H1074">
        <v>-234172549</v>
      </c>
      <c r="I1074">
        <v>-340915510</v>
      </c>
      <c r="J1074">
        <v>-333540129</v>
      </c>
      <c r="K1074">
        <v>-83423031</v>
      </c>
      <c r="L1074">
        <v>-14230734</v>
      </c>
      <c r="P1074">
        <v>81</v>
      </c>
      <c r="Q1074" t="s">
        <v>2191</v>
      </c>
    </row>
    <row r="1075" spans="1:17" x14ac:dyDescent="0.3">
      <c r="A1075" t="s">
        <v>17</v>
      </c>
      <c r="B1075" t="str">
        <f>"603008"</f>
        <v>603008</v>
      </c>
      <c r="C1075" t="s">
        <v>2192</v>
      </c>
      <c r="D1075" t="s">
        <v>161</v>
      </c>
      <c r="F1075">
        <v>50455855</v>
      </c>
      <c r="G1075">
        <v>102082854</v>
      </c>
      <c r="H1075">
        <v>208441619</v>
      </c>
      <c r="I1075">
        <v>-550714961</v>
      </c>
      <c r="J1075">
        <v>-287406004</v>
      </c>
      <c r="K1075">
        <v>-65205746</v>
      </c>
      <c r="L1075">
        <v>-95220023</v>
      </c>
      <c r="M1075">
        <v>-183790638</v>
      </c>
      <c r="N1075">
        <v>-261183954</v>
      </c>
      <c r="O1075">
        <v>-71292169</v>
      </c>
      <c r="P1075">
        <v>301</v>
      </c>
      <c r="Q1075" t="s">
        <v>2193</v>
      </c>
    </row>
    <row r="1076" spans="1:17" x14ac:dyDescent="0.3">
      <c r="A1076" t="s">
        <v>17</v>
      </c>
      <c r="B1076" t="str">
        <f>"603009"</f>
        <v>603009</v>
      </c>
      <c r="C1076" t="s">
        <v>2194</v>
      </c>
      <c r="D1076" t="s">
        <v>27</v>
      </c>
      <c r="F1076">
        <v>70462099</v>
      </c>
      <c r="G1076">
        <v>82601776</v>
      </c>
      <c r="H1076">
        <v>-205682518</v>
      </c>
      <c r="I1076">
        <v>-228485950</v>
      </c>
      <c r="J1076">
        <v>-160451837</v>
      </c>
      <c r="K1076">
        <v>-151901440</v>
      </c>
      <c r="L1076">
        <v>-36148667</v>
      </c>
      <c r="M1076">
        <v>40892775</v>
      </c>
      <c r="N1076">
        <v>-20386058</v>
      </c>
      <c r="P1076">
        <v>84</v>
      </c>
      <c r="Q1076" t="s">
        <v>2195</v>
      </c>
    </row>
    <row r="1077" spans="1:17" x14ac:dyDescent="0.3">
      <c r="A1077" t="s">
        <v>17</v>
      </c>
      <c r="B1077" t="str">
        <f>"603010"</f>
        <v>603010</v>
      </c>
      <c r="C1077" t="s">
        <v>2196</v>
      </c>
      <c r="D1077" t="s">
        <v>133</v>
      </c>
      <c r="F1077">
        <v>415660469</v>
      </c>
      <c r="G1077">
        <v>127596551</v>
      </c>
      <c r="H1077">
        <v>-23493465</v>
      </c>
      <c r="I1077">
        <v>-82882667</v>
      </c>
      <c r="J1077">
        <v>-114684114</v>
      </c>
      <c r="K1077">
        <v>32868410</v>
      </c>
      <c r="L1077">
        <v>16512811</v>
      </c>
      <c r="M1077">
        <v>1505854</v>
      </c>
      <c r="N1077">
        <v>-5991153</v>
      </c>
      <c r="P1077">
        <v>278</v>
      </c>
      <c r="Q1077" t="s">
        <v>2197</v>
      </c>
    </row>
    <row r="1078" spans="1:17" x14ac:dyDescent="0.3">
      <c r="A1078" t="s">
        <v>17</v>
      </c>
      <c r="B1078" t="str">
        <f>"603011"</f>
        <v>603011</v>
      </c>
      <c r="C1078" t="s">
        <v>2198</v>
      </c>
      <c r="D1078" t="s">
        <v>78</v>
      </c>
      <c r="F1078">
        <v>-104483420</v>
      </c>
      <c r="G1078">
        <v>-36115542</v>
      </c>
      <c r="H1078">
        <v>-46633766</v>
      </c>
      <c r="I1078">
        <v>-105492881</v>
      </c>
      <c r="J1078">
        <v>-72020874</v>
      </c>
      <c r="K1078">
        <v>-52357993</v>
      </c>
      <c r="L1078">
        <v>-31404646</v>
      </c>
      <c r="M1078">
        <v>14403550</v>
      </c>
      <c r="N1078">
        <v>-87901282</v>
      </c>
      <c r="P1078">
        <v>82</v>
      </c>
      <c r="Q1078" t="s">
        <v>2199</v>
      </c>
    </row>
    <row r="1079" spans="1:17" x14ac:dyDescent="0.3">
      <c r="A1079" t="s">
        <v>17</v>
      </c>
      <c r="B1079" t="str">
        <f>"603012"</f>
        <v>603012</v>
      </c>
      <c r="C1079" t="s">
        <v>2200</v>
      </c>
      <c r="D1079" t="s">
        <v>78</v>
      </c>
      <c r="F1079">
        <v>88049913</v>
      </c>
      <c r="G1079">
        <v>46433402</v>
      </c>
      <c r="H1079">
        <v>34143386</v>
      </c>
      <c r="I1079">
        <v>14898225</v>
      </c>
      <c r="J1079">
        <v>11570541</v>
      </c>
      <c r="K1079">
        <v>-116243016</v>
      </c>
      <c r="L1079">
        <v>-135514832</v>
      </c>
      <c r="M1079">
        <v>82487579</v>
      </c>
      <c r="P1079">
        <v>135</v>
      </c>
      <c r="Q1079" t="s">
        <v>2201</v>
      </c>
    </row>
    <row r="1080" spans="1:17" x14ac:dyDescent="0.3">
      <c r="A1080" t="s">
        <v>17</v>
      </c>
      <c r="B1080" t="str">
        <f>"603013"</f>
        <v>603013</v>
      </c>
      <c r="C1080" t="s">
        <v>2202</v>
      </c>
      <c r="D1080" t="s">
        <v>27</v>
      </c>
      <c r="F1080">
        <v>531909489</v>
      </c>
      <c r="G1080">
        <v>1381208406</v>
      </c>
      <c r="H1080">
        <v>329154972</v>
      </c>
      <c r="I1080">
        <v>-32091592</v>
      </c>
      <c r="J1080">
        <v>229537345</v>
      </c>
      <c r="P1080">
        <v>237</v>
      </c>
      <c r="Q1080" t="s">
        <v>2203</v>
      </c>
    </row>
    <row r="1081" spans="1:17" x14ac:dyDescent="0.3">
      <c r="A1081" t="s">
        <v>17</v>
      </c>
      <c r="B1081" t="str">
        <f>"603015"</f>
        <v>603015</v>
      </c>
      <c r="C1081" t="s">
        <v>2204</v>
      </c>
      <c r="D1081" t="s">
        <v>78</v>
      </c>
      <c r="F1081">
        <v>-98866190</v>
      </c>
      <c r="G1081">
        <v>-11650113</v>
      </c>
      <c r="H1081">
        <v>-81831154</v>
      </c>
      <c r="I1081">
        <v>74456431</v>
      </c>
      <c r="J1081">
        <v>-50336802</v>
      </c>
      <c r="K1081">
        <v>-90222109</v>
      </c>
      <c r="L1081">
        <v>566943</v>
      </c>
      <c r="M1081">
        <v>-11620041</v>
      </c>
      <c r="P1081">
        <v>91</v>
      </c>
      <c r="Q1081" t="s">
        <v>2205</v>
      </c>
    </row>
    <row r="1082" spans="1:17" x14ac:dyDescent="0.3">
      <c r="A1082" t="s">
        <v>17</v>
      </c>
      <c r="B1082" t="str">
        <f>"603016"</f>
        <v>603016</v>
      </c>
      <c r="C1082" t="s">
        <v>2206</v>
      </c>
      <c r="D1082" t="s">
        <v>188</v>
      </c>
      <c r="F1082">
        <v>2339891</v>
      </c>
      <c r="G1082">
        <v>54881204</v>
      </c>
      <c r="H1082">
        <v>21930115</v>
      </c>
      <c r="I1082">
        <v>-364905</v>
      </c>
      <c r="J1082">
        <v>14110890</v>
      </c>
      <c r="K1082">
        <v>-9278894</v>
      </c>
      <c r="L1082">
        <v>33288827</v>
      </c>
      <c r="P1082">
        <v>93</v>
      </c>
      <c r="Q1082" t="s">
        <v>2207</v>
      </c>
    </row>
    <row r="1083" spans="1:17" x14ac:dyDescent="0.3">
      <c r="A1083" t="s">
        <v>17</v>
      </c>
      <c r="B1083" t="str">
        <f>"603017"</f>
        <v>603017</v>
      </c>
      <c r="C1083" t="s">
        <v>2208</v>
      </c>
      <c r="D1083" t="s">
        <v>95</v>
      </c>
      <c r="F1083">
        <v>-42651639</v>
      </c>
      <c r="G1083">
        <v>-113497712</v>
      </c>
      <c r="H1083">
        <v>-112614600</v>
      </c>
      <c r="I1083">
        <v>-163179170</v>
      </c>
      <c r="J1083">
        <v>-22951193</v>
      </c>
      <c r="K1083">
        <v>-314644267</v>
      </c>
      <c r="L1083">
        <v>-150507659</v>
      </c>
      <c r="M1083">
        <v>-48007823</v>
      </c>
      <c r="N1083">
        <v>-23091276</v>
      </c>
      <c r="P1083">
        <v>121</v>
      </c>
      <c r="Q1083" t="s">
        <v>2209</v>
      </c>
    </row>
    <row r="1084" spans="1:17" x14ac:dyDescent="0.3">
      <c r="A1084" t="s">
        <v>17</v>
      </c>
      <c r="B1084" t="str">
        <f>"603018"</f>
        <v>603018</v>
      </c>
      <c r="C1084" t="s">
        <v>2210</v>
      </c>
      <c r="D1084" t="s">
        <v>95</v>
      </c>
      <c r="F1084">
        <v>-433285012</v>
      </c>
      <c r="G1084">
        <v>-363044345</v>
      </c>
      <c r="H1084">
        <v>-372825857</v>
      </c>
      <c r="I1084">
        <v>-340832145</v>
      </c>
      <c r="J1084">
        <v>-267930438</v>
      </c>
      <c r="K1084">
        <v>-130161869</v>
      </c>
      <c r="L1084">
        <v>-247549929</v>
      </c>
      <c r="M1084">
        <v>-235884803</v>
      </c>
      <c r="N1084">
        <v>-240055215</v>
      </c>
      <c r="P1084">
        <v>401</v>
      </c>
      <c r="Q1084" t="s">
        <v>2211</v>
      </c>
    </row>
    <row r="1085" spans="1:17" x14ac:dyDescent="0.3">
      <c r="A1085" t="s">
        <v>17</v>
      </c>
      <c r="B1085" t="str">
        <f>"603019"</f>
        <v>603019</v>
      </c>
      <c r="C1085" t="s">
        <v>2212</v>
      </c>
      <c r="D1085" t="s">
        <v>212</v>
      </c>
      <c r="F1085">
        <v>-2690142106</v>
      </c>
      <c r="G1085">
        <v>628077618</v>
      </c>
      <c r="H1085">
        <v>1601060986</v>
      </c>
      <c r="I1085">
        <v>-456573318</v>
      </c>
      <c r="J1085">
        <v>-914786500</v>
      </c>
      <c r="K1085">
        <v>-826688185</v>
      </c>
      <c r="L1085">
        <v>-604620771</v>
      </c>
      <c r="M1085">
        <v>-313474798</v>
      </c>
      <c r="N1085">
        <v>-427159731</v>
      </c>
      <c r="P1085">
        <v>1209</v>
      </c>
      <c r="Q1085" t="s">
        <v>2213</v>
      </c>
    </row>
    <row r="1086" spans="1:17" x14ac:dyDescent="0.3">
      <c r="A1086" t="s">
        <v>17</v>
      </c>
      <c r="B1086" t="str">
        <f>"603020"</f>
        <v>603020</v>
      </c>
      <c r="C1086" t="s">
        <v>2214</v>
      </c>
      <c r="D1086" t="s">
        <v>133</v>
      </c>
      <c r="F1086">
        <v>-139253139</v>
      </c>
      <c r="G1086">
        <v>34699178</v>
      </c>
      <c r="H1086">
        <v>159788182</v>
      </c>
      <c r="I1086">
        <v>-120424851</v>
      </c>
      <c r="J1086">
        <v>-77473147</v>
      </c>
      <c r="K1086">
        <v>61695995</v>
      </c>
      <c r="L1086">
        <v>113008977</v>
      </c>
      <c r="M1086">
        <v>62362260</v>
      </c>
      <c r="P1086">
        <v>195</v>
      </c>
      <c r="Q1086" t="s">
        <v>2215</v>
      </c>
    </row>
    <row r="1087" spans="1:17" x14ac:dyDescent="0.3">
      <c r="A1087" t="s">
        <v>17</v>
      </c>
      <c r="B1087" t="str">
        <f>"603021"</f>
        <v>603021</v>
      </c>
      <c r="C1087" t="s">
        <v>2216</v>
      </c>
      <c r="D1087" t="s">
        <v>161</v>
      </c>
      <c r="F1087">
        <v>-108160156</v>
      </c>
      <c r="G1087">
        <v>-84882804</v>
      </c>
      <c r="H1087">
        <v>-80730387</v>
      </c>
      <c r="I1087">
        <v>-10672198</v>
      </c>
      <c r="J1087">
        <v>-300240589</v>
      </c>
      <c r="K1087">
        <v>-155733755</v>
      </c>
      <c r="L1087">
        <v>-100522517</v>
      </c>
      <c r="M1087">
        <v>11036823</v>
      </c>
      <c r="P1087">
        <v>59</v>
      </c>
      <c r="Q1087" t="s">
        <v>2217</v>
      </c>
    </row>
    <row r="1088" spans="1:17" x14ac:dyDescent="0.3">
      <c r="A1088" t="s">
        <v>17</v>
      </c>
      <c r="B1088" t="str">
        <f>"603022"</f>
        <v>603022</v>
      </c>
      <c r="C1088" t="s">
        <v>2218</v>
      </c>
      <c r="D1088" t="s">
        <v>161</v>
      </c>
      <c r="F1088">
        <v>103749061</v>
      </c>
      <c r="G1088">
        <v>53437051</v>
      </c>
      <c r="H1088">
        <v>-3173280</v>
      </c>
      <c r="I1088">
        <v>19131584</v>
      </c>
      <c r="J1088">
        <v>-69781059</v>
      </c>
      <c r="K1088">
        <v>-32785446</v>
      </c>
      <c r="L1088">
        <v>-18258292</v>
      </c>
      <c r="M1088">
        <v>-46444955</v>
      </c>
      <c r="P1088">
        <v>51</v>
      </c>
      <c r="Q1088" t="s">
        <v>2219</v>
      </c>
    </row>
    <row r="1089" spans="1:17" x14ac:dyDescent="0.3">
      <c r="A1089" t="s">
        <v>17</v>
      </c>
      <c r="B1089" t="str">
        <f>"603023"</f>
        <v>603023</v>
      </c>
      <c r="C1089" t="s">
        <v>2220</v>
      </c>
      <c r="D1089" t="s">
        <v>27</v>
      </c>
      <c r="F1089">
        <v>25732958</v>
      </c>
      <c r="G1089">
        <v>38226103</v>
      </c>
      <c r="H1089">
        <v>-15036885</v>
      </c>
      <c r="I1089">
        <v>15274929</v>
      </c>
      <c r="J1089">
        <v>-17150298</v>
      </c>
      <c r="K1089">
        <v>32280643</v>
      </c>
      <c r="L1089">
        <v>26579410</v>
      </c>
      <c r="M1089">
        <v>59689111</v>
      </c>
      <c r="P1089">
        <v>150</v>
      </c>
      <c r="Q1089" t="s">
        <v>2221</v>
      </c>
    </row>
    <row r="1090" spans="1:17" x14ac:dyDescent="0.3">
      <c r="A1090" t="s">
        <v>17</v>
      </c>
      <c r="B1090" t="str">
        <f>"603025"</f>
        <v>603025</v>
      </c>
      <c r="C1090" t="s">
        <v>2222</v>
      </c>
      <c r="D1090" t="s">
        <v>78</v>
      </c>
      <c r="F1090">
        <v>201725763</v>
      </c>
      <c r="G1090">
        <v>31080035</v>
      </c>
      <c r="H1090">
        <v>205415051</v>
      </c>
      <c r="I1090">
        <v>229821735</v>
      </c>
      <c r="J1090">
        <v>133870573</v>
      </c>
      <c r="K1090">
        <v>137082739</v>
      </c>
      <c r="L1090">
        <v>89981835</v>
      </c>
      <c r="M1090">
        <v>187030294</v>
      </c>
      <c r="P1090">
        <v>434</v>
      </c>
      <c r="Q1090" t="s">
        <v>2223</v>
      </c>
    </row>
    <row r="1091" spans="1:17" x14ac:dyDescent="0.3">
      <c r="A1091" t="s">
        <v>17</v>
      </c>
      <c r="B1091" t="str">
        <f>"603026"</f>
        <v>603026</v>
      </c>
      <c r="C1091" t="s">
        <v>2224</v>
      </c>
      <c r="D1091" t="s">
        <v>188</v>
      </c>
      <c r="F1091">
        <v>302187268</v>
      </c>
      <c r="G1091">
        <v>229157688</v>
      </c>
      <c r="H1091">
        <v>175905848</v>
      </c>
      <c r="I1091">
        <v>227748925</v>
      </c>
      <c r="J1091">
        <v>10743817</v>
      </c>
      <c r="K1091">
        <v>121074564</v>
      </c>
      <c r="L1091">
        <v>137040974</v>
      </c>
      <c r="M1091">
        <v>214940595</v>
      </c>
      <c r="P1091">
        <v>420</v>
      </c>
      <c r="Q1091" t="s">
        <v>2225</v>
      </c>
    </row>
    <row r="1092" spans="1:17" x14ac:dyDescent="0.3">
      <c r="A1092" t="s">
        <v>17</v>
      </c>
      <c r="B1092" t="str">
        <f>"603027"</f>
        <v>603027</v>
      </c>
      <c r="C1092" t="s">
        <v>2226</v>
      </c>
      <c r="D1092" t="s">
        <v>123</v>
      </c>
      <c r="F1092">
        <v>-75922796</v>
      </c>
      <c r="G1092">
        <v>149760905</v>
      </c>
      <c r="H1092">
        <v>8579820</v>
      </c>
      <c r="I1092">
        <v>54606274</v>
      </c>
      <c r="J1092">
        <v>21774714</v>
      </c>
      <c r="K1092">
        <v>6549142</v>
      </c>
      <c r="L1092">
        <v>2835287</v>
      </c>
      <c r="P1092">
        <v>1884</v>
      </c>
      <c r="Q1092" t="s">
        <v>2227</v>
      </c>
    </row>
    <row r="1093" spans="1:17" x14ac:dyDescent="0.3">
      <c r="A1093" t="s">
        <v>17</v>
      </c>
      <c r="B1093" t="str">
        <f>"603028"</f>
        <v>603028</v>
      </c>
      <c r="C1093" t="s">
        <v>2228</v>
      </c>
      <c r="D1093" t="s">
        <v>78</v>
      </c>
      <c r="F1093">
        <v>-54972567</v>
      </c>
      <c r="G1093">
        <v>-13257513</v>
      </c>
      <c r="H1093">
        <v>92162583</v>
      </c>
      <c r="I1093">
        <v>-53251431</v>
      </c>
      <c r="J1093">
        <v>-73545850</v>
      </c>
      <c r="K1093">
        <v>-52591199</v>
      </c>
      <c r="L1093">
        <v>-12587180</v>
      </c>
      <c r="P1093">
        <v>53</v>
      </c>
      <c r="Q1093" t="s">
        <v>2229</v>
      </c>
    </row>
    <row r="1094" spans="1:17" x14ac:dyDescent="0.3">
      <c r="A1094" t="s">
        <v>17</v>
      </c>
      <c r="B1094" t="str">
        <f>"603029"</f>
        <v>603029</v>
      </c>
      <c r="C1094" t="s">
        <v>2230</v>
      </c>
      <c r="D1094" t="s">
        <v>78</v>
      </c>
      <c r="F1094">
        <v>69694314</v>
      </c>
      <c r="G1094">
        <v>-38386400</v>
      </c>
      <c r="H1094">
        <v>-35834531</v>
      </c>
      <c r="I1094">
        <v>-88459857</v>
      </c>
      <c r="J1094">
        <v>-69068388</v>
      </c>
      <c r="K1094">
        <v>4613457</v>
      </c>
      <c r="L1094">
        <v>-21311402</v>
      </c>
      <c r="P1094">
        <v>62</v>
      </c>
      <c r="Q1094" t="s">
        <v>2231</v>
      </c>
    </row>
    <row r="1095" spans="1:17" x14ac:dyDescent="0.3">
      <c r="A1095" t="s">
        <v>17</v>
      </c>
      <c r="B1095" t="str">
        <f>"603030"</f>
        <v>603030</v>
      </c>
      <c r="C1095" t="s">
        <v>2232</v>
      </c>
      <c r="D1095" t="s">
        <v>95</v>
      </c>
      <c r="F1095">
        <v>-278015185</v>
      </c>
      <c r="G1095">
        <v>90297487</v>
      </c>
      <c r="H1095">
        <v>-266461127</v>
      </c>
      <c r="I1095">
        <v>-121420909</v>
      </c>
      <c r="J1095">
        <v>108298707</v>
      </c>
      <c r="K1095">
        <v>-340998665</v>
      </c>
      <c r="L1095">
        <v>-406386179</v>
      </c>
      <c r="M1095">
        <v>-208899387</v>
      </c>
      <c r="P1095">
        <v>126</v>
      </c>
      <c r="Q1095" t="s">
        <v>2233</v>
      </c>
    </row>
    <row r="1096" spans="1:17" x14ac:dyDescent="0.3">
      <c r="A1096" t="s">
        <v>17</v>
      </c>
      <c r="B1096" t="str">
        <f>"603031"</f>
        <v>603031</v>
      </c>
      <c r="C1096" t="s">
        <v>2234</v>
      </c>
      <c r="D1096" t="s">
        <v>120</v>
      </c>
      <c r="F1096">
        <v>12158555</v>
      </c>
      <c r="G1096">
        <v>29134653</v>
      </c>
      <c r="H1096">
        <v>-26474232</v>
      </c>
      <c r="I1096">
        <v>35054011</v>
      </c>
      <c r="J1096">
        <v>5215356</v>
      </c>
      <c r="K1096">
        <v>78821198</v>
      </c>
      <c r="L1096">
        <v>32145544</v>
      </c>
      <c r="P1096">
        <v>70</v>
      </c>
      <c r="Q1096" t="s">
        <v>2235</v>
      </c>
    </row>
    <row r="1097" spans="1:17" x14ac:dyDescent="0.3">
      <c r="A1097" t="s">
        <v>17</v>
      </c>
      <c r="B1097" t="str">
        <f>"603032"</f>
        <v>603032</v>
      </c>
      <c r="C1097" t="s">
        <v>2236</v>
      </c>
      <c r="D1097" t="s">
        <v>22</v>
      </c>
      <c r="F1097">
        <v>29193841</v>
      </c>
      <c r="G1097">
        <v>-13813025</v>
      </c>
      <c r="H1097">
        <v>34840074</v>
      </c>
      <c r="I1097">
        <v>-1835122</v>
      </c>
      <c r="J1097">
        <v>17475639</v>
      </c>
      <c r="K1097">
        <v>-15296334</v>
      </c>
      <c r="L1097">
        <v>83445001</v>
      </c>
      <c r="P1097">
        <v>73</v>
      </c>
      <c r="Q1097" t="s">
        <v>2237</v>
      </c>
    </row>
    <row r="1098" spans="1:17" x14ac:dyDescent="0.3">
      <c r="A1098" t="s">
        <v>17</v>
      </c>
      <c r="B1098" t="str">
        <f>"603033"</f>
        <v>603033</v>
      </c>
      <c r="C1098" t="s">
        <v>2238</v>
      </c>
      <c r="D1098" t="s">
        <v>133</v>
      </c>
      <c r="F1098">
        <v>-254179511</v>
      </c>
      <c r="G1098">
        <v>-424374552</v>
      </c>
      <c r="H1098">
        <v>-745434018</v>
      </c>
      <c r="I1098">
        <v>-420427787</v>
      </c>
      <c r="J1098">
        <v>-137870815</v>
      </c>
      <c r="K1098">
        <v>83705320</v>
      </c>
      <c r="P1098">
        <v>99</v>
      </c>
      <c r="Q1098" t="s">
        <v>2239</v>
      </c>
    </row>
    <row r="1099" spans="1:17" x14ac:dyDescent="0.3">
      <c r="A1099" t="s">
        <v>17</v>
      </c>
      <c r="B1099" t="str">
        <f>"603035"</f>
        <v>603035</v>
      </c>
      <c r="C1099" t="s">
        <v>2240</v>
      </c>
      <c r="D1099" t="s">
        <v>27</v>
      </c>
      <c r="F1099">
        <v>85123744</v>
      </c>
      <c r="G1099">
        <v>45548893</v>
      </c>
      <c r="H1099">
        <v>-84989868</v>
      </c>
      <c r="I1099">
        <v>-435336973</v>
      </c>
      <c r="J1099">
        <v>-156927801</v>
      </c>
      <c r="K1099">
        <v>-17192059</v>
      </c>
      <c r="L1099">
        <v>143135765</v>
      </c>
      <c r="P1099">
        <v>244</v>
      </c>
      <c r="Q1099" t="s">
        <v>2241</v>
      </c>
    </row>
    <row r="1100" spans="1:17" x14ac:dyDescent="0.3">
      <c r="A1100" t="s">
        <v>17</v>
      </c>
      <c r="B1100" t="str">
        <f>"603036"</f>
        <v>603036</v>
      </c>
      <c r="C1100" t="s">
        <v>2242</v>
      </c>
      <c r="D1100" t="s">
        <v>78</v>
      </c>
      <c r="F1100">
        <v>-23478755</v>
      </c>
      <c r="G1100">
        <v>4790465</v>
      </c>
      <c r="H1100">
        <v>5161209</v>
      </c>
      <c r="I1100">
        <v>-7012988</v>
      </c>
      <c r="J1100">
        <v>13180195</v>
      </c>
      <c r="K1100">
        <v>10300637</v>
      </c>
      <c r="P1100">
        <v>61</v>
      </c>
      <c r="Q1100" t="s">
        <v>2243</v>
      </c>
    </row>
    <row r="1101" spans="1:17" x14ac:dyDescent="0.3">
      <c r="A1101" t="s">
        <v>17</v>
      </c>
      <c r="B1101" t="str">
        <f>"603037"</f>
        <v>603037</v>
      </c>
      <c r="C1101" t="s">
        <v>2244</v>
      </c>
      <c r="D1101" t="s">
        <v>27</v>
      </c>
      <c r="F1101">
        <v>-2333554</v>
      </c>
      <c r="G1101">
        <v>83780954</v>
      </c>
      <c r="H1101">
        <v>32279478</v>
      </c>
      <c r="I1101">
        <v>48674620</v>
      </c>
      <c r="J1101">
        <v>-457442</v>
      </c>
      <c r="K1101">
        <v>-8076690</v>
      </c>
      <c r="P1101">
        <v>230</v>
      </c>
      <c r="Q1101" t="s">
        <v>2245</v>
      </c>
    </row>
    <row r="1102" spans="1:17" x14ac:dyDescent="0.3">
      <c r="A1102" t="s">
        <v>17</v>
      </c>
      <c r="B1102" t="str">
        <f>"603038"</f>
        <v>603038</v>
      </c>
      <c r="C1102" t="s">
        <v>2246</v>
      </c>
      <c r="D1102" t="s">
        <v>350</v>
      </c>
      <c r="F1102">
        <v>-273813965</v>
      </c>
      <c r="G1102">
        <v>-101576464</v>
      </c>
      <c r="H1102">
        <v>-34118473</v>
      </c>
      <c r="I1102">
        <v>-3128098</v>
      </c>
      <c r="J1102">
        <v>-104314798</v>
      </c>
      <c r="K1102">
        <v>1789695</v>
      </c>
      <c r="L1102">
        <v>5007882</v>
      </c>
      <c r="P1102">
        <v>70</v>
      </c>
      <c r="Q1102" t="s">
        <v>2247</v>
      </c>
    </row>
    <row r="1103" spans="1:17" x14ac:dyDescent="0.3">
      <c r="A1103" t="s">
        <v>17</v>
      </c>
      <c r="B1103" t="str">
        <f>"603039"</f>
        <v>603039</v>
      </c>
      <c r="C1103" t="s">
        <v>2248</v>
      </c>
      <c r="D1103" t="s">
        <v>212</v>
      </c>
      <c r="F1103">
        <v>110424602</v>
      </c>
      <c r="G1103">
        <v>35357387</v>
      </c>
      <c r="H1103">
        <v>56289350</v>
      </c>
      <c r="I1103">
        <v>69667489</v>
      </c>
      <c r="J1103">
        <v>49677064</v>
      </c>
      <c r="K1103">
        <v>46573241</v>
      </c>
      <c r="L1103">
        <v>-30816519</v>
      </c>
      <c r="P1103">
        <v>609</v>
      </c>
      <c r="Q1103" t="s">
        <v>2249</v>
      </c>
    </row>
    <row r="1104" spans="1:17" x14ac:dyDescent="0.3">
      <c r="A1104" t="s">
        <v>17</v>
      </c>
      <c r="B1104" t="str">
        <f>"603040"</f>
        <v>603040</v>
      </c>
      <c r="C1104" t="s">
        <v>2250</v>
      </c>
      <c r="D1104" t="s">
        <v>27</v>
      </c>
      <c r="F1104">
        <v>-29945415</v>
      </c>
      <c r="G1104">
        <v>26680457</v>
      </c>
      <c r="H1104">
        <v>19474214</v>
      </c>
      <c r="I1104">
        <v>-4926390</v>
      </c>
      <c r="J1104">
        <v>53541212</v>
      </c>
      <c r="K1104">
        <v>18406192</v>
      </c>
      <c r="L1104">
        <v>3956579</v>
      </c>
      <c r="P1104">
        <v>616</v>
      </c>
      <c r="Q1104" t="s">
        <v>2251</v>
      </c>
    </row>
    <row r="1105" spans="1:17" x14ac:dyDescent="0.3">
      <c r="A1105" t="s">
        <v>17</v>
      </c>
      <c r="B1105" t="str">
        <f>"603041"</f>
        <v>603041</v>
      </c>
      <c r="C1105" t="s">
        <v>2252</v>
      </c>
      <c r="D1105" t="s">
        <v>133</v>
      </c>
      <c r="F1105">
        <v>-68709173</v>
      </c>
      <c r="G1105">
        <v>44219402</v>
      </c>
      <c r="H1105">
        <v>58736149</v>
      </c>
      <c r="I1105">
        <v>-18766071</v>
      </c>
      <c r="J1105">
        <v>22040435</v>
      </c>
      <c r="K1105">
        <v>49458051</v>
      </c>
      <c r="P1105">
        <v>98</v>
      </c>
      <c r="Q1105" t="s">
        <v>2253</v>
      </c>
    </row>
    <row r="1106" spans="1:17" x14ac:dyDescent="0.3">
      <c r="A1106" t="s">
        <v>17</v>
      </c>
      <c r="B1106" t="str">
        <f>"603042"</f>
        <v>603042</v>
      </c>
      <c r="C1106" t="s">
        <v>2254</v>
      </c>
      <c r="D1106" t="s">
        <v>100</v>
      </c>
      <c r="F1106">
        <v>-88813061</v>
      </c>
      <c r="G1106">
        <v>-62568237</v>
      </c>
      <c r="H1106">
        <v>-162313116</v>
      </c>
      <c r="I1106">
        <v>-452530091</v>
      </c>
      <c r="J1106">
        <v>-234113805</v>
      </c>
      <c r="K1106">
        <v>-53640763</v>
      </c>
      <c r="P1106">
        <v>122</v>
      </c>
      <c r="Q1106" t="s">
        <v>2255</v>
      </c>
    </row>
    <row r="1107" spans="1:17" x14ac:dyDescent="0.3">
      <c r="A1107" t="s">
        <v>17</v>
      </c>
      <c r="B1107" t="str">
        <f>"603043"</f>
        <v>603043</v>
      </c>
      <c r="C1107" t="s">
        <v>2256</v>
      </c>
      <c r="D1107" t="s">
        <v>123</v>
      </c>
      <c r="F1107">
        <v>801846380</v>
      </c>
      <c r="G1107">
        <v>817420369</v>
      </c>
      <c r="H1107">
        <v>396532972</v>
      </c>
      <c r="I1107">
        <v>579102878</v>
      </c>
      <c r="J1107">
        <v>608974860</v>
      </c>
      <c r="K1107">
        <v>450241017</v>
      </c>
      <c r="P1107">
        <v>1511</v>
      </c>
      <c r="Q1107" t="s">
        <v>2257</v>
      </c>
    </row>
    <row r="1108" spans="1:17" x14ac:dyDescent="0.3">
      <c r="A1108" t="s">
        <v>17</v>
      </c>
      <c r="B1108" t="str">
        <f>"603045"</f>
        <v>603045</v>
      </c>
      <c r="C1108" t="s">
        <v>2258</v>
      </c>
      <c r="D1108" t="s">
        <v>234</v>
      </c>
      <c r="F1108">
        <v>-404904373</v>
      </c>
      <c r="G1108">
        <v>-344552527</v>
      </c>
      <c r="H1108">
        <v>-335817984</v>
      </c>
      <c r="I1108">
        <v>-146643986</v>
      </c>
      <c r="J1108">
        <v>-99318935</v>
      </c>
      <c r="P1108">
        <v>54</v>
      </c>
      <c r="Q1108" t="s">
        <v>2259</v>
      </c>
    </row>
    <row r="1109" spans="1:17" x14ac:dyDescent="0.3">
      <c r="A1109" t="s">
        <v>17</v>
      </c>
      <c r="B1109" t="str">
        <f>"603048"</f>
        <v>603048</v>
      </c>
      <c r="C1109" t="s">
        <v>2260</v>
      </c>
      <c r="D1109" t="s">
        <v>27</v>
      </c>
      <c r="F1109">
        <v>9538687</v>
      </c>
      <c r="G1109">
        <v>62693514</v>
      </c>
      <c r="P1109">
        <v>16</v>
      </c>
      <c r="Q1109" t="s">
        <v>2261</v>
      </c>
    </row>
    <row r="1110" spans="1:17" x14ac:dyDescent="0.3">
      <c r="A1110" t="s">
        <v>17</v>
      </c>
      <c r="B1110" t="str">
        <f>"603050"</f>
        <v>603050</v>
      </c>
      <c r="C1110" t="s">
        <v>2262</v>
      </c>
      <c r="D1110" t="s">
        <v>188</v>
      </c>
      <c r="F1110">
        <v>-350350875</v>
      </c>
      <c r="G1110">
        <v>-132012932</v>
      </c>
      <c r="H1110">
        <v>-267616811</v>
      </c>
      <c r="I1110">
        <v>-133389295</v>
      </c>
      <c r="J1110">
        <v>-133507144</v>
      </c>
      <c r="K1110">
        <v>-33752096</v>
      </c>
      <c r="P1110">
        <v>124</v>
      </c>
      <c r="Q1110" t="s">
        <v>2263</v>
      </c>
    </row>
    <row r="1111" spans="1:17" x14ac:dyDescent="0.3">
      <c r="A1111" t="s">
        <v>17</v>
      </c>
      <c r="B1111" t="str">
        <f>"603053"</f>
        <v>603053</v>
      </c>
      <c r="C1111" t="s">
        <v>2264</v>
      </c>
      <c r="D1111" t="s">
        <v>41</v>
      </c>
      <c r="F1111">
        <v>549041539</v>
      </c>
      <c r="G1111">
        <v>431833891</v>
      </c>
      <c r="H1111">
        <v>317486993</v>
      </c>
      <c r="I1111">
        <v>508421500</v>
      </c>
      <c r="P1111">
        <v>118</v>
      </c>
      <c r="Q1111" t="s">
        <v>2265</v>
      </c>
    </row>
    <row r="1112" spans="1:17" x14ac:dyDescent="0.3">
      <c r="A1112" t="s">
        <v>17</v>
      </c>
      <c r="B1112" t="str">
        <f>"603055"</f>
        <v>603055</v>
      </c>
      <c r="C1112" t="s">
        <v>2266</v>
      </c>
      <c r="D1112" t="s">
        <v>227</v>
      </c>
      <c r="F1112">
        <v>-179969170</v>
      </c>
      <c r="G1112">
        <v>-416080945</v>
      </c>
      <c r="H1112">
        <v>-494891632</v>
      </c>
      <c r="I1112">
        <v>-59364452</v>
      </c>
      <c r="J1112">
        <v>212433501</v>
      </c>
      <c r="K1112">
        <v>587274835</v>
      </c>
      <c r="P1112">
        <v>146</v>
      </c>
      <c r="Q1112" t="s">
        <v>2267</v>
      </c>
    </row>
    <row r="1113" spans="1:17" x14ac:dyDescent="0.3">
      <c r="A1113" t="s">
        <v>17</v>
      </c>
      <c r="B1113" t="str">
        <f>"603056"</f>
        <v>603056</v>
      </c>
      <c r="C1113" t="s">
        <v>2268</v>
      </c>
      <c r="D1113" t="s">
        <v>22</v>
      </c>
      <c r="F1113">
        <v>-422265959</v>
      </c>
      <c r="G1113">
        <v>38531676</v>
      </c>
      <c r="H1113">
        <v>-859728737</v>
      </c>
      <c r="I1113">
        <v>696650762</v>
      </c>
      <c r="J1113">
        <v>445251849</v>
      </c>
      <c r="P1113">
        <v>412</v>
      </c>
      <c r="Q1113" t="s">
        <v>2269</v>
      </c>
    </row>
    <row r="1114" spans="1:17" x14ac:dyDescent="0.3">
      <c r="A1114" t="s">
        <v>17</v>
      </c>
      <c r="B1114" t="str">
        <f>"603058"</f>
        <v>603058</v>
      </c>
      <c r="C1114" t="s">
        <v>2270</v>
      </c>
      <c r="D1114" t="s">
        <v>161</v>
      </c>
      <c r="F1114">
        <v>-71901998</v>
      </c>
      <c r="G1114">
        <v>85189856</v>
      </c>
      <c r="H1114">
        <v>-17497423</v>
      </c>
      <c r="I1114">
        <v>47236549</v>
      </c>
      <c r="J1114">
        <v>22663759</v>
      </c>
      <c r="K1114">
        <v>82949191</v>
      </c>
      <c r="L1114">
        <v>118878200</v>
      </c>
      <c r="P1114">
        <v>121</v>
      </c>
      <c r="Q1114" t="s">
        <v>2271</v>
      </c>
    </row>
    <row r="1115" spans="1:17" x14ac:dyDescent="0.3">
      <c r="A1115" t="s">
        <v>17</v>
      </c>
      <c r="B1115" t="str">
        <f>"603059"</f>
        <v>603059</v>
      </c>
      <c r="C1115" t="s">
        <v>2272</v>
      </c>
      <c r="D1115" t="s">
        <v>481</v>
      </c>
      <c r="F1115">
        <v>53060325</v>
      </c>
      <c r="G1115">
        <v>12658852</v>
      </c>
      <c r="H1115">
        <v>-3820096</v>
      </c>
      <c r="I1115">
        <v>-26434391</v>
      </c>
      <c r="J1115">
        <v>6384990</v>
      </c>
      <c r="P1115">
        <v>99</v>
      </c>
      <c r="Q1115" t="s">
        <v>2273</v>
      </c>
    </row>
    <row r="1116" spans="1:17" x14ac:dyDescent="0.3">
      <c r="A1116" t="s">
        <v>17</v>
      </c>
      <c r="B1116" t="str">
        <f>"603060"</f>
        <v>603060</v>
      </c>
      <c r="C1116" t="s">
        <v>2274</v>
      </c>
      <c r="D1116" t="s">
        <v>110</v>
      </c>
      <c r="F1116">
        <v>-105879268</v>
      </c>
      <c r="G1116">
        <v>-2300058</v>
      </c>
      <c r="H1116">
        <v>-71218487</v>
      </c>
      <c r="I1116">
        <v>50751287</v>
      </c>
      <c r="J1116">
        <v>50218886</v>
      </c>
      <c r="K1116">
        <v>81594640</v>
      </c>
      <c r="L1116">
        <v>57077765</v>
      </c>
      <c r="P1116">
        <v>508</v>
      </c>
      <c r="Q1116" t="s">
        <v>2275</v>
      </c>
    </row>
    <row r="1117" spans="1:17" x14ac:dyDescent="0.3">
      <c r="A1117" t="s">
        <v>17</v>
      </c>
      <c r="B1117" t="str">
        <f>"603063"</f>
        <v>603063</v>
      </c>
      <c r="C1117" t="s">
        <v>2276</v>
      </c>
      <c r="D1117" t="s">
        <v>188</v>
      </c>
      <c r="F1117">
        <v>-406459739</v>
      </c>
      <c r="G1117">
        <v>-40231591</v>
      </c>
      <c r="H1117">
        <v>-267036082</v>
      </c>
      <c r="I1117">
        <v>-212877787</v>
      </c>
      <c r="J1117">
        <v>81495489</v>
      </c>
      <c r="K1117">
        <v>48702477</v>
      </c>
      <c r="P1117">
        <v>213</v>
      </c>
      <c r="Q1117" t="s">
        <v>2277</v>
      </c>
    </row>
    <row r="1118" spans="1:17" x14ac:dyDescent="0.3">
      <c r="A1118" t="s">
        <v>17</v>
      </c>
      <c r="B1118" t="str">
        <f>"603066"</f>
        <v>603066</v>
      </c>
      <c r="C1118" t="s">
        <v>2278</v>
      </c>
      <c r="D1118" t="s">
        <v>22</v>
      </c>
      <c r="F1118">
        <v>-59647011</v>
      </c>
      <c r="G1118">
        <v>22697321</v>
      </c>
      <c r="H1118">
        <v>-50275099</v>
      </c>
      <c r="I1118">
        <v>-25722623</v>
      </c>
      <c r="J1118">
        <v>18775800</v>
      </c>
      <c r="K1118">
        <v>55355047</v>
      </c>
      <c r="L1118">
        <v>13429235</v>
      </c>
      <c r="M1118">
        <v>-18793990</v>
      </c>
      <c r="P1118">
        <v>116</v>
      </c>
      <c r="Q1118" t="s">
        <v>2279</v>
      </c>
    </row>
    <row r="1119" spans="1:17" x14ac:dyDescent="0.3">
      <c r="A1119" t="s">
        <v>17</v>
      </c>
      <c r="B1119" t="str">
        <f>"603067"</f>
        <v>603067</v>
      </c>
      <c r="C1119" t="s">
        <v>2280</v>
      </c>
      <c r="D1119" t="s">
        <v>133</v>
      </c>
      <c r="F1119">
        <v>172937094</v>
      </c>
      <c r="G1119">
        <v>-87258942</v>
      </c>
      <c r="H1119">
        <v>109043897</v>
      </c>
      <c r="I1119">
        <v>-33356485</v>
      </c>
      <c r="J1119">
        <v>-61688977</v>
      </c>
      <c r="K1119">
        <v>52241033</v>
      </c>
      <c r="L1119">
        <v>-8877512</v>
      </c>
      <c r="P1119">
        <v>137</v>
      </c>
      <c r="Q1119" t="s">
        <v>2281</v>
      </c>
    </row>
    <row r="1120" spans="1:17" x14ac:dyDescent="0.3">
      <c r="A1120" t="s">
        <v>17</v>
      </c>
      <c r="B1120" t="str">
        <f>"603068"</f>
        <v>603068</v>
      </c>
      <c r="C1120" t="s">
        <v>2282</v>
      </c>
      <c r="D1120" t="s">
        <v>150</v>
      </c>
      <c r="F1120">
        <v>109575445</v>
      </c>
      <c r="G1120">
        <v>-102796367</v>
      </c>
      <c r="H1120">
        <v>19890536</v>
      </c>
      <c r="I1120">
        <v>13724359</v>
      </c>
      <c r="P1120">
        <v>345</v>
      </c>
      <c r="Q1120" t="s">
        <v>2283</v>
      </c>
    </row>
    <row r="1121" spans="1:17" x14ac:dyDescent="0.3">
      <c r="A1121" t="s">
        <v>17</v>
      </c>
      <c r="B1121" t="str">
        <f>"603069"</f>
        <v>603069</v>
      </c>
      <c r="C1121" t="s">
        <v>2284</v>
      </c>
      <c r="D1121" t="s">
        <v>22</v>
      </c>
      <c r="F1121">
        <v>-150201952</v>
      </c>
      <c r="G1121">
        <v>-103631038</v>
      </c>
      <c r="H1121">
        <v>-63252115</v>
      </c>
      <c r="I1121">
        <v>26320039</v>
      </c>
      <c r="J1121">
        <v>-5246959</v>
      </c>
      <c r="K1121">
        <v>32423653</v>
      </c>
      <c r="L1121">
        <v>94819790</v>
      </c>
      <c r="P1121">
        <v>98</v>
      </c>
      <c r="Q1121" t="s">
        <v>2285</v>
      </c>
    </row>
    <row r="1122" spans="1:17" x14ac:dyDescent="0.3">
      <c r="A1122" t="s">
        <v>17</v>
      </c>
      <c r="B1122" t="str">
        <f>"603071"</f>
        <v>603071</v>
      </c>
      <c r="C1122" t="s">
        <v>2286</v>
      </c>
      <c r="D1122" t="s">
        <v>41</v>
      </c>
      <c r="F1122">
        <v>77137946</v>
      </c>
      <c r="G1122">
        <v>534225560</v>
      </c>
      <c r="P1122">
        <v>19</v>
      </c>
      <c r="Q1122" t="s">
        <v>2287</v>
      </c>
    </row>
    <row r="1123" spans="1:17" x14ac:dyDescent="0.3">
      <c r="A1123" t="s">
        <v>17</v>
      </c>
      <c r="B1123" t="str">
        <f>"603076"</f>
        <v>603076</v>
      </c>
      <c r="C1123" t="s">
        <v>2288</v>
      </c>
      <c r="D1123" t="s">
        <v>78</v>
      </c>
      <c r="F1123">
        <v>-382849143</v>
      </c>
      <c r="G1123">
        <v>137686044</v>
      </c>
      <c r="H1123">
        <v>120997568</v>
      </c>
      <c r="I1123">
        <v>-39906346</v>
      </c>
      <c r="J1123">
        <v>13881554</v>
      </c>
      <c r="K1123">
        <v>34920863</v>
      </c>
      <c r="P1123">
        <v>87</v>
      </c>
      <c r="Q1123" t="s">
        <v>2289</v>
      </c>
    </row>
    <row r="1124" spans="1:17" x14ac:dyDescent="0.3">
      <c r="A1124" t="s">
        <v>17</v>
      </c>
      <c r="B1124" t="str">
        <f>"603077"</f>
        <v>603077</v>
      </c>
      <c r="C1124" t="s">
        <v>2290</v>
      </c>
      <c r="D1124" t="s">
        <v>133</v>
      </c>
      <c r="F1124">
        <v>1667378474</v>
      </c>
      <c r="G1124">
        <v>-175641034</v>
      </c>
      <c r="H1124">
        <v>-369643552</v>
      </c>
      <c r="I1124">
        <v>453812641</v>
      </c>
      <c r="J1124">
        <v>-451270142</v>
      </c>
      <c r="K1124">
        <v>21721091</v>
      </c>
      <c r="L1124">
        <v>-249086917</v>
      </c>
      <c r="M1124">
        <v>-373446036</v>
      </c>
      <c r="N1124">
        <v>-674156922</v>
      </c>
      <c r="O1124">
        <v>-208127113</v>
      </c>
      <c r="P1124">
        <v>265</v>
      </c>
      <c r="Q1124" t="s">
        <v>2291</v>
      </c>
    </row>
    <row r="1125" spans="1:17" x14ac:dyDescent="0.3">
      <c r="A1125" t="s">
        <v>17</v>
      </c>
      <c r="B1125" t="str">
        <f>"603078"</f>
        <v>603078</v>
      </c>
      <c r="C1125" t="s">
        <v>2292</v>
      </c>
      <c r="D1125" t="s">
        <v>150</v>
      </c>
      <c r="F1125">
        <v>-230848726</v>
      </c>
      <c r="G1125">
        <v>-225347891</v>
      </c>
      <c r="H1125">
        <v>-143212252</v>
      </c>
      <c r="I1125">
        <v>-134205689</v>
      </c>
      <c r="J1125">
        <v>-30126511</v>
      </c>
      <c r="K1125">
        <v>43898363</v>
      </c>
      <c r="P1125">
        <v>226</v>
      </c>
      <c r="Q1125" t="s">
        <v>2293</v>
      </c>
    </row>
    <row r="1126" spans="1:17" x14ac:dyDescent="0.3">
      <c r="A1126" t="s">
        <v>17</v>
      </c>
      <c r="B1126" t="str">
        <f>"603079"</f>
        <v>603079</v>
      </c>
      <c r="C1126" t="s">
        <v>2294</v>
      </c>
      <c r="D1126" t="s">
        <v>113</v>
      </c>
      <c r="F1126">
        <v>24486357</v>
      </c>
      <c r="G1126">
        <v>188762928</v>
      </c>
      <c r="H1126">
        <v>-88723074</v>
      </c>
      <c r="I1126">
        <v>-18783296</v>
      </c>
      <c r="J1126">
        <v>63113011</v>
      </c>
      <c r="K1126">
        <v>19564532</v>
      </c>
      <c r="P1126">
        <v>239</v>
      </c>
      <c r="Q1126" t="s">
        <v>2295</v>
      </c>
    </row>
    <row r="1127" spans="1:17" x14ac:dyDescent="0.3">
      <c r="A1127" t="s">
        <v>17</v>
      </c>
      <c r="B1127" t="str">
        <f>"603080"</f>
        <v>603080</v>
      </c>
      <c r="C1127" t="s">
        <v>2296</v>
      </c>
      <c r="D1127" t="s">
        <v>41</v>
      </c>
      <c r="F1127">
        <v>-52486758</v>
      </c>
      <c r="G1127">
        <v>22231875</v>
      </c>
      <c r="H1127">
        <v>18093138</v>
      </c>
      <c r="I1127">
        <v>20065507</v>
      </c>
      <c r="J1127">
        <v>8793730</v>
      </c>
      <c r="K1127">
        <v>-8486266</v>
      </c>
      <c r="P1127">
        <v>93</v>
      </c>
      <c r="Q1127" t="s">
        <v>2297</v>
      </c>
    </row>
    <row r="1128" spans="1:17" x14ac:dyDescent="0.3">
      <c r="A1128" t="s">
        <v>17</v>
      </c>
      <c r="B1128" t="str">
        <f>"603081"</f>
        <v>603081</v>
      </c>
      <c r="C1128" t="s">
        <v>2298</v>
      </c>
      <c r="D1128" t="s">
        <v>95</v>
      </c>
      <c r="F1128">
        <v>-689495994</v>
      </c>
      <c r="G1128">
        <v>-397700347</v>
      </c>
      <c r="H1128">
        <v>-215062402</v>
      </c>
      <c r="I1128">
        <v>-191504691</v>
      </c>
      <c r="J1128">
        <v>-20351393</v>
      </c>
      <c r="K1128">
        <v>92630525</v>
      </c>
      <c r="P1128">
        <v>144</v>
      </c>
      <c r="Q1128" t="s">
        <v>2299</v>
      </c>
    </row>
    <row r="1129" spans="1:17" x14ac:dyDescent="0.3">
      <c r="A1129" t="s">
        <v>17</v>
      </c>
      <c r="B1129" t="str">
        <f>"603083"</f>
        <v>603083</v>
      </c>
      <c r="C1129" t="s">
        <v>2300</v>
      </c>
      <c r="D1129" t="s">
        <v>100</v>
      </c>
      <c r="F1129">
        <v>-284502212</v>
      </c>
      <c r="G1129">
        <v>-885065128</v>
      </c>
      <c r="H1129">
        <v>78399943</v>
      </c>
      <c r="I1129">
        <v>-435293141</v>
      </c>
      <c r="J1129">
        <v>-85164294</v>
      </c>
      <c r="K1129">
        <v>-86058120</v>
      </c>
      <c r="P1129">
        <v>272</v>
      </c>
      <c r="Q1129" t="s">
        <v>2301</v>
      </c>
    </row>
    <row r="1130" spans="1:17" x14ac:dyDescent="0.3">
      <c r="A1130" t="s">
        <v>17</v>
      </c>
      <c r="B1130" t="str">
        <f>"603085"</f>
        <v>603085</v>
      </c>
      <c r="C1130" t="s">
        <v>2302</v>
      </c>
      <c r="D1130" t="s">
        <v>27</v>
      </c>
      <c r="F1130">
        <v>-88980835</v>
      </c>
      <c r="G1130">
        <v>-275391559</v>
      </c>
      <c r="H1130">
        <v>-80178344</v>
      </c>
      <c r="I1130">
        <v>-202926330</v>
      </c>
      <c r="J1130">
        <v>-161281829</v>
      </c>
      <c r="K1130">
        <v>-67728335</v>
      </c>
      <c r="L1130">
        <v>-9443239</v>
      </c>
      <c r="M1130">
        <v>8799764</v>
      </c>
      <c r="P1130">
        <v>81</v>
      </c>
      <c r="Q1130" t="s">
        <v>2303</v>
      </c>
    </row>
    <row r="1131" spans="1:17" x14ac:dyDescent="0.3">
      <c r="A1131" t="s">
        <v>17</v>
      </c>
      <c r="B1131" t="str">
        <f>"603086"</f>
        <v>603086</v>
      </c>
      <c r="C1131" t="s">
        <v>2304</v>
      </c>
      <c r="D1131" t="s">
        <v>133</v>
      </c>
      <c r="F1131">
        <v>-30049103</v>
      </c>
      <c r="G1131">
        <v>175047635</v>
      </c>
      <c r="H1131">
        <v>-16603975</v>
      </c>
      <c r="I1131">
        <v>-67809990</v>
      </c>
      <c r="J1131">
        <v>39836260</v>
      </c>
      <c r="K1131">
        <v>42864328</v>
      </c>
      <c r="P1131">
        <v>124</v>
      </c>
      <c r="Q1131" t="s">
        <v>2305</v>
      </c>
    </row>
    <row r="1132" spans="1:17" x14ac:dyDescent="0.3">
      <c r="A1132" t="s">
        <v>17</v>
      </c>
      <c r="B1132" t="str">
        <f>"603087"</f>
        <v>603087</v>
      </c>
      <c r="C1132" t="s">
        <v>2306</v>
      </c>
      <c r="D1132" t="s">
        <v>113</v>
      </c>
      <c r="F1132">
        <v>243730012</v>
      </c>
      <c r="G1132">
        <v>582611972</v>
      </c>
      <c r="H1132">
        <v>508554962</v>
      </c>
      <c r="P1132">
        <v>677</v>
      </c>
      <c r="Q1132" t="s">
        <v>2307</v>
      </c>
    </row>
    <row r="1133" spans="1:17" x14ac:dyDescent="0.3">
      <c r="A1133" t="s">
        <v>17</v>
      </c>
      <c r="B1133" t="str">
        <f>"603088"</f>
        <v>603088</v>
      </c>
      <c r="C1133" t="s">
        <v>2308</v>
      </c>
      <c r="D1133" t="s">
        <v>78</v>
      </c>
      <c r="F1133">
        <v>67442430</v>
      </c>
      <c r="G1133">
        <v>40252114</v>
      </c>
      <c r="H1133">
        <v>5627558</v>
      </c>
      <c r="I1133">
        <v>36225105</v>
      </c>
      <c r="J1133">
        <v>24191774</v>
      </c>
      <c r="K1133">
        <v>35770716</v>
      </c>
      <c r="L1133">
        <v>-63878676</v>
      </c>
      <c r="M1133">
        <v>798953</v>
      </c>
      <c r="N1133">
        <v>-18867505</v>
      </c>
      <c r="P1133">
        <v>107</v>
      </c>
      <c r="Q1133" t="s">
        <v>2309</v>
      </c>
    </row>
    <row r="1134" spans="1:17" x14ac:dyDescent="0.3">
      <c r="A1134" t="s">
        <v>17</v>
      </c>
      <c r="B1134" t="str">
        <f>"603089"</f>
        <v>603089</v>
      </c>
      <c r="C1134" t="s">
        <v>2310</v>
      </c>
      <c r="D1134" t="s">
        <v>27</v>
      </c>
      <c r="F1134">
        <v>-190322307</v>
      </c>
      <c r="G1134">
        <v>-89797964</v>
      </c>
      <c r="H1134">
        <v>-14009815</v>
      </c>
      <c r="I1134">
        <v>-27145955</v>
      </c>
      <c r="J1134">
        <v>28090583</v>
      </c>
      <c r="K1134">
        <v>59818566</v>
      </c>
      <c r="L1134">
        <v>66020691</v>
      </c>
      <c r="P1134">
        <v>111</v>
      </c>
      <c r="Q1134" t="s">
        <v>2311</v>
      </c>
    </row>
    <row r="1135" spans="1:17" x14ac:dyDescent="0.3">
      <c r="A1135" t="s">
        <v>17</v>
      </c>
      <c r="B1135" t="str">
        <f>"603090"</f>
        <v>603090</v>
      </c>
      <c r="C1135" t="s">
        <v>2312</v>
      </c>
      <c r="D1135" t="s">
        <v>78</v>
      </c>
      <c r="F1135">
        <v>-53299555</v>
      </c>
      <c r="G1135">
        <v>14897613</v>
      </c>
      <c r="H1135">
        <v>-4263641</v>
      </c>
      <c r="I1135">
        <v>-2481543</v>
      </c>
      <c r="J1135">
        <v>-24199409</v>
      </c>
      <c r="K1135">
        <v>9441001</v>
      </c>
      <c r="L1135">
        <v>20998160</v>
      </c>
      <c r="P1135">
        <v>51</v>
      </c>
      <c r="Q1135" t="s">
        <v>2313</v>
      </c>
    </row>
    <row r="1136" spans="1:17" x14ac:dyDescent="0.3">
      <c r="A1136" t="s">
        <v>17</v>
      </c>
      <c r="B1136" t="str">
        <f>"603093"</f>
        <v>603093</v>
      </c>
      <c r="C1136" t="s">
        <v>2314</v>
      </c>
      <c r="D1136" t="s">
        <v>75</v>
      </c>
      <c r="F1136">
        <v>4754672015</v>
      </c>
      <c r="G1136">
        <v>2098695438</v>
      </c>
      <c r="H1136">
        <v>673365330</v>
      </c>
      <c r="I1136">
        <v>-1677637122</v>
      </c>
      <c r="P1136">
        <v>84</v>
      </c>
      <c r="Q1136" t="s">
        <v>2315</v>
      </c>
    </row>
    <row r="1137" spans="1:17" x14ac:dyDescent="0.3">
      <c r="A1137" t="s">
        <v>17</v>
      </c>
      <c r="B1137" t="str">
        <f>"603095"</f>
        <v>603095</v>
      </c>
      <c r="C1137" t="s">
        <v>2316</v>
      </c>
      <c r="D1137" t="s">
        <v>78</v>
      </c>
      <c r="F1137">
        <v>-21927905</v>
      </c>
      <c r="G1137">
        <v>21149646</v>
      </c>
      <c r="H1137">
        <v>161618818</v>
      </c>
      <c r="I1137">
        <v>-29409360</v>
      </c>
      <c r="P1137">
        <v>64</v>
      </c>
      <c r="Q1137" t="s">
        <v>2317</v>
      </c>
    </row>
    <row r="1138" spans="1:17" x14ac:dyDescent="0.3">
      <c r="A1138" t="s">
        <v>17</v>
      </c>
      <c r="B1138" t="str">
        <f>"603096"</f>
        <v>603096</v>
      </c>
      <c r="C1138" t="s">
        <v>2318</v>
      </c>
      <c r="D1138" t="s">
        <v>89</v>
      </c>
      <c r="F1138">
        <v>-35179947</v>
      </c>
      <c r="G1138">
        <v>19949580</v>
      </c>
      <c r="H1138">
        <v>138705855</v>
      </c>
      <c r="I1138">
        <v>-17022479</v>
      </c>
      <c r="J1138">
        <v>96044964</v>
      </c>
      <c r="K1138">
        <v>86626315</v>
      </c>
      <c r="P1138">
        <v>222</v>
      </c>
      <c r="Q1138" t="s">
        <v>2319</v>
      </c>
    </row>
    <row r="1139" spans="1:17" x14ac:dyDescent="0.3">
      <c r="A1139" t="s">
        <v>17</v>
      </c>
      <c r="B1139" t="str">
        <f>"603098"</f>
        <v>603098</v>
      </c>
      <c r="C1139" t="s">
        <v>2320</v>
      </c>
      <c r="D1139" t="s">
        <v>95</v>
      </c>
      <c r="F1139">
        <v>-274705144</v>
      </c>
      <c r="G1139">
        <v>-243753504</v>
      </c>
      <c r="H1139">
        <v>54659205</v>
      </c>
      <c r="I1139">
        <v>-182151739</v>
      </c>
      <c r="J1139">
        <v>-183204138</v>
      </c>
      <c r="K1139">
        <v>15657365</v>
      </c>
      <c r="P1139">
        <v>158</v>
      </c>
      <c r="Q1139" t="s">
        <v>2321</v>
      </c>
    </row>
    <row r="1140" spans="1:17" x14ac:dyDescent="0.3">
      <c r="A1140" t="s">
        <v>17</v>
      </c>
      <c r="B1140" t="str">
        <f>"603099"</f>
        <v>603099</v>
      </c>
      <c r="C1140" t="s">
        <v>2322</v>
      </c>
      <c r="D1140" t="s">
        <v>110</v>
      </c>
      <c r="F1140">
        <v>11918919</v>
      </c>
      <c r="G1140">
        <v>-36266911</v>
      </c>
      <c r="H1140">
        <v>110742938</v>
      </c>
      <c r="I1140">
        <v>60923061</v>
      </c>
      <c r="J1140">
        <v>40143015</v>
      </c>
      <c r="K1140">
        <v>-59311172</v>
      </c>
      <c r="L1140">
        <v>81356753</v>
      </c>
      <c r="M1140">
        <v>82893262</v>
      </c>
      <c r="N1140">
        <v>71853843</v>
      </c>
      <c r="P1140">
        <v>97</v>
      </c>
      <c r="Q1140" t="s">
        <v>2323</v>
      </c>
    </row>
    <row r="1141" spans="1:17" x14ac:dyDescent="0.3">
      <c r="A1141" t="s">
        <v>17</v>
      </c>
      <c r="B1141" t="str">
        <f>"603100"</f>
        <v>603100</v>
      </c>
      <c r="C1141" t="s">
        <v>2324</v>
      </c>
      <c r="D1141" t="s">
        <v>78</v>
      </c>
      <c r="F1141">
        <v>587130157</v>
      </c>
      <c r="G1141">
        <v>136996669</v>
      </c>
      <c r="H1141">
        <v>73411995</v>
      </c>
      <c r="I1141">
        <v>-98746026</v>
      </c>
      <c r="J1141">
        <v>-276677810</v>
      </c>
      <c r="K1141">
        <v>-128214830</v>
      </c>
      <c r="L1141">
        <v>-83050277</v>
      </c>
      <c r="M1141">
        <v>-145853977</v>
      </c>
      <c r="N1141">
        <v>-316827692</v>
      </c>
      <c r="P1141">
        <v>194</v>
      </c>
      <c r="Q1141" t="s">
        <v>2325</v>
      </c>
    </row>
    <row r="1142" spans="1:17" x14ac:dyDescent="0.3">
      <c r="A1142" t="s">
        <v>17</v>
      </c>
      <c r="B1142" t="str">
        <f>"603101"</f>
        <v>603101</v>
      </c>
      <c r="C1142" t="s">
        <v>2326</v>
      </c>
      <c r="D1142" t="s">
        <v>120</v>
      </c>
      <c r="F1142">
        <v>-57339679</v>
      </c>
      <c r="G1142">
        <v>-438405483</v>
      </c>
      <c r="H1142">
        <v>4375736</v>
      </c>
      <c r="I1142">
        <v>-491889125</v>
      </c>
      <c r="J1142">
        <v>-121649308</v>
      </c>
      <c r="K1142">
        <v>-355807273</v>
      </c>
      <c r="L1142">
        <v>52785954</v>
      </c>
      <c r="P1142">
        <v>69</v>
      </c>
      <c r="Q1142" t="s">
        <v>2327</v>
      </c>
    </row>
    <row r="1143" spans="1:17" x14ac:dyDescent="0.3">
      <c r="A1143" t="s">
        <v>17</v>
      </c>
      <c r="B1143" t="str">
        <f>"603102"</f>
        <v>603102</v>
      </c>
      <c r="C1143" t="s">
        <v>2328</v>
      </c>
      <c r="F1143">
        <v>21233777</v>
      </c>
      <c r="P1143">
        <v>13</v>
      </c>
      <c r="Q1143" t="s">
        <v>2329</v>
      </c>
    </row>
    <row r="1144" spans="1:17" x14ac:dyDescent="0.3">
      <c r="A1144" t="s">
        <v>17</v>
      </c>
      <c r="B1144" t="str">
        <f>"603103"</f>
        <v>603103</v>
      </c>
      <c r="C1144" t="s">
        <v>2330</v>
      </c>
      <c r="D1144" t="s">
        <v>89</v>
      </c>
      <c r="F1144">
        <v>299691039</v>
      </c>
      <c r="G1144">
        <v>-108651559</v>
      </c>
      <c r="H1144">
        <v>197120646</v>
      </c>
      <c r="I1144">
        <v>281503576</v>
      </c>
      <c r="J1144">
        <v>197312473</v>
      </c>
      <c r="K1144">
        <v>204269947</v>
      </c>
      <c r="P1144">
        <v>241</v>
      </c>
      <c r="Q1144" t="s">
        <v>2331</v>
      </c>
    </row>
    <row r="1145" spans="1:17" x14ac:dyDescent="0.3">
      <c r="A1145" t="s">
        <v>17</v>
      </c>
      <c r="B1145" t="str">
        <f>"603105"</f>
        <v>603105</v>
      </c>
      <c r="C1145" t="s">
        <v>2332</v>
      </c>
      <c r="D1145" t="s">
        <v>41</v>
      </c>
      <c r="F1145">
        <v>39087661</v>
      </c>
      <c r="G1145">
        <v>14581573</v>
      </c>
      <c r="H1145">
        <v>-112722927</v>
      </c>
      <c r="I1145">
        <v>-533385310</v>
      </c>
      <c r="J1145">
        <v>-283853391</v>
      </c>
      <c r="P1145">
        <v>146</v>
      </c>
      <c r="Q1145" t="s">
        <v>2333</v>
      </c>
    </row>
    <row r="1146" spans="1:17" x14ac:dyDescent="0.3">
      <c r="A1146" t="s">
        <v>17</v>
      </c>
      <c r="B1146" t="str">
        <f>"603106"</f>
        <v>603106</v>
      </c>
      <c r="C1146" t="s">
        <v>2334</v>
      </c>
      <c r="D1146" t="s">
        <v>212</v>
      </c>
      <c r="F1146">
        <v>-306591772</v>
      </c>
      <c r="G1146">
        <v>-417483119</v>
      </c>
      <c r="H1146">
        <v>-246625394</v>
      </c>
      <c r="I1146">
        <v>-232187952</v>
      </c>
      <c r="J1146">
        <v>-87225830</v>
      </c>
      <c r="K1146">
        <v>-139760509</v>
      </c>
      <c r="P1146">
        <v>2938</v>
      </c>
      <c r="Q1146" t="s">
        <v>2335</v>
      </c>
    </row>
    <row r="1147" spans="1:17" x14ac:dyDescent="0.3">
      <c r="A1147" t="s">
        <v>17</v>
      </c>
      <c r="B1147" t="str">
        <f>"603108"</f>
        <v>603108</v>
      </c>
      <c r="C1147" t="s">
        <v>2336</v>
      </c>
      <c r="D1147" t="s">
        <v>113</v>
      </c>
      <c r="F1147">
        <v>-251722912</v>
      </c>
      <c r="G1147">
        <v>-7680518</v>
      </c>
      <c r="H1147">
        <v>-9345436</v>
      </c>
      <c r="I1147">
        <v>73022300</v>
      </c>
      <c r="J1147">
        <v>-404091322</v>
      </c>
      <c r="K1147">
        <v>-251150415</v>
      </c>
      <c r="L1147">
        <v>-373325757</v>
      </c>
      <c r="M1147">
        <v>-193879247</v>
      </c>
      <c r="P1147">
        <v>336</v>
      </c>
      <c r="Q1147" t="s">
        <v>2337</v>
      </c>
    </row>
    <row r="1148" spans="1:17" x14ac:dyDescent="0.3">
      <c r="A1148" t="s">
        <v>17</v>
      </c>
      <c r="B1148" t="str">
        <f>"603109"</f>
        <v>603109</v>
      </c>
      <c r="C1148" t="s">
        <v>2338</v>
      </c>
      <c r="D1148" t="s">
        <v>27</v>
      </c>
      <c r="F1148">
        <v>-238394984</v>
      </c>
      <c r="G1148">
        <v>-12780382</v>
      </c>
      <c r="H1148">
        <v>3797682</v>
      </c>
      <c r="I1148">
        <v>68675175</v>
      </c>
      <c r="P1148">
        <v>80</v>
      </c>
      <c r="Q1148" t="s">
        <v>2339</v>
      </c>
    </row>
    <row r="1149" spans="1:17" x14ac:dyDescent="0.3">
      <c r="A1149" t="s">
        <v>17</v>
      </c>
      <c r="B1149" t="str">
        <f>"603110"</f>
        <v>603110</v>
      </c>
      <c r="C1149" t="s">
        <v>2340</v>
      </c>
      <c r="D1149" t="s">
        <v>133</v>
      </c>
      <c r="F1149">
        <v>68764087</v>
      </c>
      <c r="G1149">
        <v>32260360</v>
      </c>
      <c r="H1149">
        <v>57141288</v>
      </c>
      <c r="I1149">
        <v>26385737</v>
      </c>
      <c r="J1149">
        <v>36433051</v>
      </c>
      <c r="K1149">
        <v>30284621</v>
      </c>
      <c r="P1149">
        <v>71</v>
      </c>
      <c r="Q1149" t="s">
        <v>2341</v>
      </c>
    </row>
    <row r="1150" spans="1:17" x14ac:dyDescent="0.3">
      <c r="A1150" t="s">
        <v>17</v>
      </c>
      <c r="B1150" t="str">
        <f>"603111"</f>
        <v>603111</v>
      </c>
      <c r="C1150" t="s">
        <v>2342</v>
      </c>
      <c r="D1150" t="s">
        <v>78</v>
      </c>
      <c r="F1150">
        <v>-204440078</v>
      </c>
      <c r="G1150">
        <v>-196935333</v>
      </c>
      <c r="H1150">
        <v>-215055601</v>
      </c>
      <c r="I1150">
        <v>-753737494</v>
      </c>
      <c r="J1150">
        <v>-362120798</v>
      </c>
      <c r="K1150">
        <v>-155458201</v>
      </c>
      <c r="L1150">
        <v>-237870984</v>
      </c>
      <c r="M1150">
        <v>15229292</v>
      </c>
      <c r="N1150">
        <v>-68249264</v>
      </c>
      <c r="P1150">
        <v>440</v>
      </c>
      <c r="Q1150" t="s">
        <v>2343</v>
      </c>
    </row>
    <row r="1151" spans="1:17" x14ac:dyDescent="0.3">
      <c r="A1151" t="s">
        <v>17</v>
      </c>
      <c r="B1151" t="str">
        <f>"603112"</f>
        <v>603112</v>
      </c>
      <c r="C1151" t="s">
        <v>2344</v>
      </c>
      <c r="D1151" t="s">
        <v>126</v>
      </c>
      <c r="F1151">
        <v>-161356481</v>
      </c>
      <c r="G1151">
        <v>-13544055</v>
      </c>
      <c r="H1151">
        <v>-115443550</v>
      </c>
      <c r="P1151">
        <v>48</v>
      </c>
      <c r="Q1151" t="s">
        <v>2345</v>
      </c>
    </row>
    <row r="1152" spans="1:17" x14ac:dyDescent="0.3">
      <c r="A1152" t="s">
        <v>17</v>
      </c>
      <c r="B1152" t="str">
        <f>"603113"</f>
        <v>603113</v>
      </c>
      <c r="C1152" t="s">
        <v>2346</v>
      </c>
      <c r="D1152" t="s">
        <v>257</v>
      </c>
      <c r="F1152">
        <v>-209134599</v>
      </c>
      <c r="G1152">
        <v>-390161916</v>
      </c>
      <c r="H1152">
        <v>-546036931</v>
      </c>
      <c r="I1152">
        <v>903630514</v>
      </c>
      <c r="J1152">
        <v>220952649</v>
      </c>
      <c r="K1152">
        <v>120300479</v>
      </c>
      <c r="P1152">
        <v>302</v>
      </c>
      <c r="Q1152" t="s">
        <v>2347</v>
      </c>
    </row>
    <row r="1153" spans="1:17" x14ac:dyDescent="0.3">
      <c r="A1153" t="s">
        <v>17</v>
      </c>
      <c r="B1153" t="str">
        <f>"603115"</f>
        <v>603115</v>
      </c>
      <c r="C1153" t="s">
        <v>2348</v>
      </c>
      <c r="D1153" t="s">
        <v>234</v>
      </c>
      <c r="F1153">
        <v>73151644</v>
      </c>
      <c r="G1153">
        <v>-85344992</v>
      </c>
      <c r="H1153">
        <v>-15700654</v>
      </c>
      <c r="I1153">
        <v>110985796</v>
      </c>
      <c r="P1153">
        <v>89</v>
      </c>
      <c r="Q1153" t="s">
        <v>2349</v>
      </c>
    </row>
    <row r="1154" spans="1:17" x14ac:dyDescent="0.3">
      <c r="A1154" t="s">
        <v>17</v>
      </c>
      <c r="B1154" t="str">
        <f>"603116"</f>
        <v>603116</v>
      </c>
      <c r="C1154" t="s">
        <v>2350</v>
      </c>
      <c r="D1154" t="s">
        <v>227</v>
      </c>
      <c r="F1154">
        <v>-128531234</v>
      </c>
      <c r="G1154">
        <v>-42761126</v>
      </c>
      <c r="H1154">
        <v>21467111</v>
      </c>
      <c r="I1154">
        <v>-11673733</v>
      </c>
      <c r="J1154">
        <v>-244793644</v>
      </c>
      <c r="K1154">
        <v>-155851291</v>
      </c>
      <c r="L1154">
        <v>87275685</v>
      </c>
      <c r="M1154">
        <v>297523706</v>
      </c>
      <c r="P1154">
        <v>102</v>
      </c>
      <c r="Q1154" t="s">
        <v>2351</v>
      </c>
    </row>
    <row r="1155" spans="1:17" x14ac:dyDescent="0.3">
      <c r="A1155" t="s">
        <v>17</v>
      </c>
      <c r="B1155" t="str">
        <f>"603117"</f>
        <v>603117</v>
      </c>
      <c r="C1155" t="s">
        <v>2352</v>
      </c>
      <c r="D1155" t="s">
        <v>22</v>
      </c>
      <c r="F1155">
        <v>-450820606</v>
      </c>
      <c r="G1155">
        <v>-596910999</v>
      </c>
      <c r="H1155">
        <v>-1005388566</v>
      </c>
      <c r="I1155">
        <v>-60609739</v>
      </c>
      <c r="J1155">
        <v>-272467611</v>
      </c>
      <c r="K1155">
        <v>-10449770</v>
      </c>
      <c r="L1155">
        <v>-68591396</v>
      </c>
      <c r="M1155">
        <v>-13071943</v>
      </c>
      <c r="P1155">
        <v>64</v>
      </c>
      <c r="Q1155" t="s">
        <v>2353</v>
      </c>
    </row>
    <row r="1156" spans="1:17" x14ac:dyDescent="0.3">
      <c r="A1156" t="s">
        <v>17</v>
      </c>
      <c r="B1156" t="str">
        <f>"603118"</f>
        <v>603118</v>
      </c>
      <c r="C1156" t="s">
        <v>2354</v>
      </c>
      <c r="D1156" t="s">
        <v>100</v>
      </c>
      <c r="F1156">
        <v>-212551842</v>
      </c>
      <c r="G1156">
        <v>-18386435</v>
      </c>
      <c r="H1156">
        <v>429090167</v>
      </c>
      <c r="I1156">
        <v>-168073877</v>
      </c>
      <c r="J1156">
        <v>-196330119</v>
      </c>
      <c r="K1156">
        <v>265931821</v>
      </c>
      <c r="L1156">
        <v>-590811048</v>
      </c>
      <c r="M1156">
        <v>25400659</v>
      </c>
      <c r="P1156">
        <v>243</v>
      </c>
      <c r="Q1156" t="s">
        <v>2355</v>
      </c>
    </row>
    <row r="1157" spans="1:17" x14ac:dyDescent="0.3">
      <c r="A1157" t="s">
        <v>17</v>
      </c>
      <c r="B1157" t="str">
        <f>"603121"</f>
        <v>603121</v>
      </c>
      <c r="C1157" t="s">
        <v>2356</v>
      </c>
      <c r="D1157" t="s">
        <v>27</v>
      </c>
      <c r="F1157">
        <v>-71316328</v>
      </c>
      <c r="G1157">
        <v>51435413</v>
      </c>
      <c r="H1157">
        <v>-43218763</v>
      </c>
      <c r="I1157">
        <v>-35970162</v>
      </c>
      <c r="P1157">
        <v>77</v>
      </c>
      <c r="Q1157" t="s">
        <v>2357</v>
      </c>
    </row>
    <row r="1158" spans="1:17" x14ac:dyDescent="0.3">
      <c r="A1158" t="s">
        <v>17</v>
      </c>
      <c r="B1158" t="str">
        <f>"603122"</f>
        <v>603122</v>
      </c>
      <c r="C1158" t="s">
        <v>2358</v>
      </c>
      <c r="F1158">
        <v>-69481603</v>
      </c>
      <c r="G1158">
        <v>-63412498</v>
      </c>
      <c r="P1158">
        <v>12</v>
      </c>
      <c r="Q1158" t="s">
        <v>2359</v>
      </c>
    </row>
    <row r="1159" spans="1:17" x14ac:dyDescent="0.3">
      <c r="A1159" t="s">
        <v>17</v>
      </c>
      <c r="B1159" t="str">
        <f>"603123"</f>
        <v>603123</v>
      </c>
      <c r="C1159" t="s">
        <v>2360</v>
      </c>
      <c r="D1159" t="s">
        <v>120</v>
      </c>
      <c r="F1159">
        <v>-372617267</v>
      </c>
      <c r="G1159">
        <v>-67541683</v>
      </c>
      <c r="H1159">
        <v>167215189</v>
      </c>
      <c r="I1159">
        <v>133067925</v>
      </c>
      <c r="J1159">
        <v>165732272</v>
      </c>
      <c r="K1159">
        <v>121460073</v>
      </c>
      <c r="L1159">
        <v>117440411</v>
      </c>
      <c r="M1159">
        <v>46894400</v>
      </c>
      <c r="N1159">
        <v>129345415</v>
      </c>
      <c r="O1159">
        <v>409938228</v>
      </c>
      <c r="P1159">
        <v>100</v>
      </c>
      <c r="Q1159" t="s">
        <v>2361</v>
      </c>
    </row>
    <row r="1160" spans="1:17" x14ac:dyDescent="0.3">
      <c r="A1160" t="s">
        <v>17</v>
      </c>
      <c r="B1160" t="str">
        <f>"603126"</f>
        <v>603126</v>
      </c>
      <c r="C1160" t="s">
        <v>2362</v>
      </c>
      <c r="D1160" t="s">
        <v>33</v>
      </c>
      <c r="F1160">
        <v>-120954322</v>
      </c>
      <c r="G1160">
        <v>171058387</v>
      </c>
      <c r="H1160">
        <v>-2542070</v>
      </c>
      <c r="I1160">
        <v>112021825</v>
      </c>
      <c r="J1160">
        <v>-1356655</v>
      </c>
      <c r="K1160">
        <v>277213797</v>
      </c>
      <c r="L1160">
        <v>7783331</v>
      </c>
      <c r="M1160">
        <v>-68232579</v>
      </c>
      <c r="N1160">
        <v>119567684</v>
      </c>
      <c r="P1160">
        <v>196</v>
      </c>
      <c r="Q1160" t="s">
        <v>2363</v>
      </c>
    </row>
    <row r="1161" spans="1:17" x14ac:dyDescent="0.3">
      <c r="A1161" t="s">
        <v>17</v>
      </c>
      <c r="B1161" t="str">
        <f>"603127"</f>
        <v>603127</v>
      </c>
      <c r="C1161" t="s">
        <v>2364</v>
      </c>
      <c r="D1161" t="s">
        <v>113</v>
      </c>
      <c r="F1161">
        <v>329095167</v>
      </c>
      <c r="G1161">
        <v>102744701</v>
      </c>
      <c r="H1161">
        <v>-4723722</v>
      </c>
      <c r="I1161">
        <v>42098935</v>
      </c>
      <c r="J1161">
        <v>54367589</v>
      </c>
      <c r="K1161">
        <v>14694503</v>
      </c>
      <c r="P1161">
        <v>1812</v>
      </c>
      <c r="Q1161" t="s">
        <v>2365</v>
      </c>
    </row>
    <row r="1162" spans="1:17" x14ac:dyDescent="0.3">
      <c r="A1162" t="s">
        <v>17</v>
      </c>
      <c r="B1162" t="str">
        <f>"603128"</f>
        <v>603128</v>
      </c>
      <c r="C1162" t="s">
        <v>2366</v>
      </c>
      <c r="D1162" t="s">
        <v>22</v>
      </c>
      <c r="F1162">
        <v>-67993396</v>
      </c>
      <c r="G1162">
        <v>781006209</v>
      </c>
      <c r="H1162">
        <v>158096306</v>
      </c>
      <c r="I1162">
        <v>148027341</v>
      </c>
      <c r="J1162">
        <v>103946889</v>
      </c>
      <c r="K1162">
        <v>91025104</v>
      </c>
      <c r="L1162">
        <v>64927380</v>
      </c>
      <c r="M1162">
        <v>234147648</v>
      </c>
      <c r="N1162">
        <v>-61199032</v>
      </c>
      <c r="O1162">
        <v>-200897212</v>
      </c>
      <c r="P1162">
        <v>273</v>
      </c>
      <c r="Q1162" t="s">
        <v>2367</v>
      </c>
    </row>
    <row r="1163" spans="1:17" x14ac:dyDescent="0.3">
      <c r="A1163" t="s">
        <v>17</v>
      </c>
      <c r="B1163" t="str">
        <f>"603129"</f>
        <v>603129</v>
      </c>
      <c r="C1163" t="s">
        <v>2368</v>
      </c>
      <c r="D1163" t="s">
        <v>27</v>
      </c>
      <c r="F1163">
        <v>14711449</v>
      </c>
      <c r="G1163">
        <v>594822394</v>
      </c>
      <c r="H1163">
        <v>221357357</v>
      </c>
      <c r="I1163">
        <v>39918716</v>
      </c>
      <c r="J1163">
        <v>140415462</v>
      </c>
      <c r="K1163">
        <v>146332120</v>
      </c>
      <c r="P1163">
        <v>627</v>
      </c>
      <c r="Q1163" t="s">
        <v>2369</v>
      </c>
    </row>
    <row r="1164" spans="1:17" x14ac:dyDescent="0.3">
      <c r="A1164" t="s">
        <v>17</v>
      </c>
      <c r="B1164" t="str">
        <f>"603131"</f>
        <v>603131</v>
      </c>
      <c r="C1164" t="s">
        <v>2370</v>
      </c>
      <c r="D1164" t="s">
        <v>78</v>
      </c>
      <c r="F1164">
        <v>-93471072</v>
      </c>
      <c r="G1164">
        <v>18344312</v>
      </c>
      <c r="H1164">
        <v>-101096686</v>
      </c>
      <c r="I1164">
        <v>-97048025</v>
      </c>
      <c r="J1164">
        <v>35224113</v>
      </c>
      <c r="K1164">
        <v>30621046</v>
      </c>
      <c r="L1164">
        <v>23537070</v>
      </c>
      <c r="P1164">
        <v>143</v>
      </c>
      <c r="Q1164" t="s">
        <v>2371</v>
      </c>
    </row>
    <row r="1165" spans="1:17" x14ac:dyDescent="0.3">
      <c r="A1165" t="s">
        <v>17</v>
      </c>
      <c r="B1165" t="str">
        <f>"603133"</f>
        <v>603133</v>
      </c>
      <c r="C1165" t="s">
        <v>2372</v>
      </c>
      <c r="D1165" t="s">
        <v>150</v>
      </c>
      <c r="F1165">
        <v>-23582155</v>
      </c>
      <c r="G1165">
        <v>-14884673</v>
      </c>
      <c r="H1165">
        <v>-323336206</v>
      </c>
      <c r="I1165">
        <v>-23292924</v>
      </c>
      <c r="J1165">
        <v>26440842</v>
      </c>
      <c r="K1165">
        <v>70044332</v>
      </c>
      <c r="P1165">
        <v>138</v>
      </c>
      <c r="Q1165" t="s">
        <v>2373</v>
      </c>
    </row>
    <row r="1166" spans="1:17" x14ac:dyDescent="0.3">
      <c r="A1166" t="s">
        <v>17</v>
      </c>
      <c r="B1166" t="str">
        <f>"603136"</f>
        <v>603136</v>
      </c>
      <c r="C1166" t="s">
        <v>2374</v>
      </c>
      <c r="D1166" t="s">
        <v>110</v>
      </c>
      <c r="F1166">
        <v>-15573288</v>
      </c>
      <c r="G1166">
        <v>-70685152</v>
      </c>
      <c r="H1166">
        <v>116128219</v>
      </c>
      <c r="I1166">
        <v>150031800</v>
      </c>
      <c r="J1166">
        <v>156953094</v>
      </c>
      <c r="K1166">
        <v>151609680</v>
      </c>
      <c r="P1166">
        <v>194</v>
      </c>
      <c r="Q1166" t="s">
        <v>2375</v>
      </c>
    </row>
    <row r="1167" spans="1:17" x14ac:dyDescent="0.3">
      <c r="A1167" t="s">
        <v>17</v>
      </c>
      <c r="B1167" t="str">
        <f>"603138"</f>
        <v>603138</v>
      </c>
      <c r="C1167" t="s">
        <v>2376</v>
      </c>
      <c r="D1167" t="s">
        <v>212</v>
      </c>
      <c r="F1167">
        <v>-51812149</v>
      </c>
      <c r="G1167">
        <v>-13157710</v>
      </c>
      <c r="H1167">
        <v>-44294918</v>
      </c>
      <c r="I1167">
        <v>22475711</v>
      </c>
      <c r="J1167">
        <v>8796159</v>
      </c>
      <c r="K1167">
        <v>-11577630</v>
      </c>
      <c r="P1167">
        <v>147</v>
      </c>
      <c r="Q1167" t="s">
        <v>2377</v>
      </c>
    </row>
    <row r="1168" spans="1:17" x14ac:dyDescent="0.3">
      <c r="A1168" t="s">
        <v>17</v>
      </c>
      <c r="B1168" t="str">
        <f>"603139"</f>
        <v>603139</v>
      </c>
      <c r="C1168" t="s">
        <v>2378</v>
      </c>
      <c r="D1168" t="s">
        <v>113</v>
      </c>
      <c r="F1168">
        <v>-297398914</v>
      </c>
      <c r="G1168">
        <v>-164594900</v>
      </c>
      <c r="H1168">
        <v>-73121734</v>
      </c>
      <c r="I1168">
        <v>-72106885</v>
      </c>
      <c r="J1168">
        <v>-19979201</v>
      </c>
      <c r="K1168">
        <v>-30882693</v>
      </c>
      <c r="P1168">
        <v>97</v>
      </c>
      <c r="Q1168" t="s">
        <v>2379</v>
      </c>
    </row>
    <row r="1169" spans="1:17" x14ac:dyDescent="0.3">
      <c r="A1169" t="s">
        <v>17</v>
      </c>
      <c r="B1169" t="str">
        <f>"603150"</f>
        <v>603150</v>
      </c>
      <c r="C1169" t="s">
        <v>2380</v>
      </c>
      <c r="F1169">
        <v>-74444105</v>
      </c>
      <c r="P1169">
        <v>5</v>
      </c>
      <c r="Q1169" t="s">
        <v>2381</v>
      </c>
    </row>
    <row r="1170" spans="1:17" x14ac:dyDescent="0.3">
      <c r="A1170" t="s">
        <v>17</v>
      </c>
      <c r="B1170" t="str">
        <f>"603155"</f>
        <v>603155</v>
      </c>
      <c r="C1170" t="s">
        <v>2382</v>
      </c>
      <c r="D1170" t="s">
        <v>133</v>
      </c>
      <c r="F1170">
        <v>83057883</v>
      </c>
      <c r="G1170">
        <v>119281641</v>
      </c>
      <c r="H1170">
        <v>123623972</v>
      </c>
      <c r="P1170">
        <v>76</v>
      </c>
      <c r="Q1170" t="s">
        <v>2383</v>
      </c>
    </row>
    <row r="1171" spans="1:17" x14ac:dyDescent="0.3">
      <c r="A1171" t="s">
        <v>17</v>
      </c>
      <c r="B1171" t="str">
        <f>"603156"</f>
        <v>603156</v>
      </c>
      <c r="C1171" t="s">
        <v>2384</v>
      </c>
      <c r="D1171" t="s">
        <v>123</v>
      </c>
      <c r="F1171">
        <v>70450106</v>
      </c>
      <c r="G1171">
        <v>-752265404</v>
      </c>
      <c r="H1171">
        <v>-543596672</v>
      </c>
      <c r="I1171">
        <v>-346019681</v>
      </c>
      <c r="J1171">
        <v>-366903400</v>
      </c>
      <c r="K1171">
        <v>-84564885</v>
      </c>
      <c r="P1171">
        <v>1237</v>
      </c>
      <c r="Q1171" t="s">
        <v>2385</v>
      </c>
    </row>
    <row r="1172" spans="1:17" x14ac:dyDescent="0.3">
      <c r="A1172" t="s">
        <v>17</v>
      </c>
      <c r="B1172" t="str">
        <f>"603157"</f>
        <v>603157</v>
      </c>
      <c r="C1172" t="s">
        <v>2386</v>
      </c>
      <c r="D1172" t="s">
        <v>227</v>
      </c>
      <c r="F1172">
        <v>35768000</v>
      </c>
      <c r="G1172">
        <v>239836000</v>
      </c>
      <c r="H1172">
        <v>902305000</v>
      </c>
      <c r="I1172">
        <v>-1309720000</v>
      </c>
      <c r="J1172">
        <v>-534991000</v>
      </c>
      <c r="K1172">
        <v>-376429000</v>
      </c>
      <c r="P1172">
        <v>88</v>
      </c>
      <c r="Q1172" t="s">
        <v>2387</v>
      </c>
    </row>
    <row r="1173" spans="1:17" x14ac:dyDescent="0.3">
      <c r="A1173" t="s">
        <v>17</v>
      </c>
      <c r="B1173" t="str">
        <f>"603158"</f>
        <v>603158</v>
      </c>
      <c r="C1173" t="s">
        <v>2388</v>
      </c>
      <c r="D1173" t="s">
        <v>27</v>
      </c>
      <c r="F1173">
        <v>-40500105</v>
      </c>
      <c r="G1173">
        <v>98841076</v>
      </c>
      <c r="H1173">
        <v>85114607</v>
      </c>
      <c r="I1173">
        <v>89055826</v>
      </c>
      <c r="J1173">
        <v>18612838</v>
      </c>
      <c r="K1173">
        <v>-34056903</v>
      </c>
      <c r="L1173">
        <v>2292536</v>
      </c>
      <c r="M1173">
        <v>60740077</v>
      </c>
      <c r="P1173">
        <v>145</v>
      </c>
      <c r="Q1173" t="s">
        <v>2389</v>
      </c>
    </row>
    <row r="1174" spans="1:17" x14ac:dyDescent="0.3">
      <c r="A1174" t="s">
        <v>17</v>
      </c>
      <c r="B1174" t="str">
        <f>"603159"</f>
        <v>603159</v>
      </c>
      <c r="C1174" t="s">
        <v>2390</v>
      </c>
      <c r="D1174" t="s">
        <v>78</v>
      </c>
      <c r="F1174">
        <v>30354337</v>
      </c>
      <c r="G1174">
        <v>53457334</v>
      </c>
      <c r="H1174">
        <v>45822116</v>
      </c>
      <c r="I1174">
        <v>-6568923</v>
      </c>
      <c r="J1174">
        <v>-26843008</v>
      </c>
      <c r="K1174">
        <v>-7763989</v>
      </c>
      <c r="L1174">
        <v>32341885</v>
      </c>
      <c r="P1174">
        <v>62</v>
      </c>
      <c r="Q1174" t="s">
        <v>2391</v>
      </c>
    </row>
    <row r="1175" spans="1:17" x14ac:dyDescent="0.3">
      <c r="A1175" t="s">
        <v>17</v>
      </c>
      <c r="B1175" t="str">
        <f>"603160"</f>
        <v>603160</v>
      </c>
      <c r="C1175" t="s">
        <v>2392</v>
      </c>
      <c r="D1175" t="s">
        <v>150</v>
      </c>
      <c r="F1175">
        <v>-86075507</v>
      </c>
      <c r="G1175">
        <v>-1165652940</v>
      </c>
      <c r="H1175">
        <v>1599291394</v>
      </c>
      <c r="I1175">
        <v>93391343</v>
      </c>
      <c r="J1175">
        <v>587506956</v>
      </c>
      <c r="K1175">
        <v>-79988235</v>
      </c>
      <c r="L1175">
        <v>155651199</v>
      </c>
      <c r="P1175">
        <v>2243</v>
      </c>
      <c r="Q1175" t="s">
        <v>2393</v>
      </c>
    </row>
    <row r="1176" spans="1:17" x14ac:dyDescent="0.3">
      <c r="A1176" t="s">
        <v>17</v>
      </c>
      <c r="B1176" t="str">
        <f>"603161"</f>
        <v>603161</v>
      </c>
      <c r="C1176" t="s">
        <v>2394</v>
      </c>
      <c r="D1176" t="s">
        <v>27</v>
      </c>
      <c r="F1176">
        <v>-82810605</v>
      </c>
      <c r="G1176">
        <v>-11813969</v>
      </c>
      <c r="H1176">
        <v>9038470</v>
      </c>
      <c r="I1176">
        <v>-514100944</v>
      </c>
      <c r="J1176">
        <v>-92065400</v>
      </c>
      <c r="K1176">
        <v>-117352009</v>
      </c>
      <c r="P1176">
        <v>81</v>
      </c>
      <c r="Q1176" t="s">
        <v>2395</v>
      </c>
    </row>
    <row r="1177" spans="1:17" x14ac:dyDescent="0.3">
      <c r="A1177" t="s">
        <v>17</v>
      </c>
      <c r="B1177" t="str">
        <f>"603165"</f>
        <v>603165</v>
      </c>
      <c r="C1177" t="s">
        <v>2396</v>
      </c>
      <c r="D1177" t="s">
        <v>161</v>
      </c>
      <c r="F1177">
        <v>-16728957</v>
      </c>
      <c r="G1177">
        <v>102164303</v>
      </c>
      <c r="H1177">
        <v>283636769</v>
      </c>
      <c r="I1177">
        <v>164859054</v>
      </c>
      <c r="J1177">
        <v>-27625083</v>
      </c>
      <c r="K1177">
        <v>-53026237</v>
      </c>
      <c r="L1177">
        <v>87345918</v>
      </c>
      <c r="P1177">
        <v>593</v>
      </c>
      <c r="Q1177" t="s">
        <v>2397</v>
      </c>
    </row>
    <row r="1178" spans="1:17" x14ac:dyDescent="0.3">
      <c r="A1178" t="s">
        <v>17</v>
      </c>
      <c r="B1178" t="str">
        <f>"603166"</f>
        <v>603166</v>
      </c>
      <c r="C1178" t="s">
        <v>2398</v>
      </c>
      <c r="D1178" t="s">
        <v>27</v>
      </c>
      <c r="F1178">
        <v>-24965961</v>
      </c>
      <c r="G1178">
        <v>277255615</v>
      </c>
      <c r="H1178">
        <v>165651208</v>
      </c>
      <c r="I1178">
        <v>142713134</v>
      </c>
      <c r="J1178">
        <v>-3713946</v>
      </c>
      <c r="K1178">
        <v>19806332</v>
      </c>
      <c r="L1178">
        <v>23064505</v>
      </c>
      <c r="M1178">
        <v>59860505</v>
      </c>
      <c r="P1178">
        <v>141</v>
      </c>
      <c r="Q1178" t="s">
        <v>2399</v>
      </c>
    </row>
    <row r="1179" spans="1:17" x14ac:dyDescent="0.3">
      <c r="A1179" t="s">
        <v>17</v>
      </c>
      <c r="B1179" t="str">
        <f>"603167"</f>
        <v>603167</v>
      </c>
      <c r="C1179" t="s">
        <v>2400</v>
      </c>
      <c r="D1179" t="s">
        <v>22</v>
      </c>
      <c r="F1179">
        <v>182833074</v>
      </c>
      <c r="G1179">
        <v>119783037</v>
      </c>
      <c r="H1179">
        <v>317011055</v>
      </c>
      <c r="I1179">
        <v>232642398</v>
      </c>
      <c r="J1179">
        <v>363005362</v>
      </c>
      <c r="K1179">
        <v>251491682</v>
      </c>
      <c r="L1179">
        <v>115065368</v>
      </c>
      <c r="M1179">
        <v>-322562601</v>
      </c>
      <c r="N1179">
        <v>138233520</v>
      </c>
      <c r="O1179">
        <v>-137143371</v>
      </c>
      <c r="P1179">
        <v>239</v>
      </c>
      <c r="Q1179" t="s">
        <v>2401</v>
      </c>
    </row>
    <row r="1180" spans="1:17" x14ac:dyDescent="0.3">
      <c r="A1180" t="s">
        <v>17</v>
      </c>
      <c r="B1180" t="str">
        <f>"603168"</f>
        <v>603168</v>
      </c>
      <c r="C1180" t="s">
        <v>2402</v>
      </c>
      <c r="D1180" t="s">
        <v>113</v>
      </c>
      <c r="F1180">
        <v>-49192229</v>
      </c>
      <c r="G1180">
        <v>19918946</v>
      </c>
      <c r="H1180">
        <v>37025774</v>
      </c>
      <c r="I1180">
        <v>40877544</v>
      </c>
      <c r="J1180">
        <v>-39395572</v>
      </c>
      <c r="K1180">
        <v>213408344</v>
      </c>
      <c r="L1180">
        <v>-23206813</v>
      </c>
      <c r="M1180">
        <v>16081889</v>
      </c>
      <c r="N1180">
        <v>2496494</v>
      </c>
      <c r="P1180">
        <v>528</v>
      </c>
      <c r="Q1180" t="s">
        <v>2403</v>
      </c>
    </row>
    <row r="1181" spans="1:17" x14ac:dyDescent="0.3">
      <c r="A1181" t="s">
        <v>17</v>
      </c>
      <c r="B1181" t="str">
        <f>"603169"</f>
        <v>603169</v>
      </c>
      <c r="C1181" t="s">
        <v>2404</v>
      </c>
      <c r="D1181" t="s">
        <v>78</v>
      </c>
      <c r="F1181">
        <v>-96026395</v>
      </c>
      <c r="G1181">
        <v>219408145</v>
      </c>
      <c r="H1181">
        <v>240211024</v>
      </c>
      <c r="I1181">
        <v>-423936143</v>
      </c>
      <c r="J1181">
        <v>-1070475573</v>
      </c>
      <c r="K1181">
        <v>-788040572</v>
      </c>
      <c r="L1181">
        <v>-654846242</v>
      </c>
      <c r="M1181">
        <v>-446577128</v>
      </c>
      <c r="N1181">
        <v>-273926646</v>
      </c>
      <c r="P1181">
        <v>81</v>
      </c>
      <c r="Q1181" t="s">
        <v>2405</v>
      </c>
    </row>
    <row r="1182" spans="1:17" x14ac:dyDescent="0.3">
      <c r="A1182" t="s">
        <v>17</v>
      </c>
      <c r="B1182" t="str">
        <f>"603171"</f>
        <v>603171</v>
      </c>
      <c r="C1182" t="s">
        <v>2406</v>
      </c>
      <c r="D1182" t="s">
        <v>212</v>
      </c>
      <c r="F1182">
        <v>-242068943</v>
      </c>
      <c r="P1182">
        <v>54</v>
      </c>
      <c r="Q1182" t="s">
        <v>2407</v>
      </c>
    </row>
    <row r="1183" spans="1:17" x14ac:dyDescent="0.3">
      <c r="A1183" t="s">
        <v>17</v>
      </c>
      <c r="B1183" t="str">
        <f>"603176"</f>
        <v>603176</v>
      </c>
      <c r="C1183" t="s">
        <v>2408</v>
      </c>
      <c r="D1183" t="s">
        <v>95</v>
      </c>
      <c r="F1183">
        <v>-128065040</v>
      </c>
      <c r="P1183">
        <v>17</v>
      </c>
      <c r="Q1183" t="s">
        <v>2409</v>
      </c>
    </row>
    <row r="1184" spans="1:17" x14ac:dyDescent="0.3">
      <c r="A1184" t="s">
        <v>17</v>
      </c>
      <c r="B1184" t="str">
        <f>"603177"</f>
        <v>603177</v>
      </c>
      <c r="C1184" t="s">
        <v>2410</v>
      </c>
      <c r="D1184" t="s">
        <v>33</v>
      </c>
      <c r="F1184">
        <v>-71665393</v>
      </c>
      <c r="G1184">
        <v>-125738199</v>
      </c>
      <c r="H1184">
        <v>-90175853</v>
      </c>
      <c r="I1184">
        <v>-159312177</v>
      </c>
      <c r="J1184">
        <v>-57699396</v>
      </c>
      <c r="K1184">
        <v>-29437653</v>
      </c>
      <c r="P1184">
        <v>68</v>
      </c>
      <c r="Q1184" t="s">
        <v>2411</v>
      </c>
    </row>
    <row r="1185" spans="1:17" x14ac:dyDescent="0.3">
      <c r="A1185" t="s">
        <v>17</v>
      </c>
      <c r="B1185" t="str">
        <f>"603178"</f>
        <v>603178</v>
      </c>
      <c r="C1185" t="s">
        <v>2412</v>
      </c>
      <c r="D1185" t="s">
        <v>27</v>
      </c>
      <c r="F1185">
        <v>91408228</v>
      </c>
      <c r="G1185">
        <v>136366537</v>
      </c>
      <c r="H1185">
        <v>-57647672</v>
      </c>
      <c r="I1185">
        <v>-70962378</v>
      </c>
      <c r="J1185">
        <v>-121660281</v>
      </c>
      <c r="K1185">
        <v>-61375850</v>
      </c>
      <c r="P1185">
        <v>80</v>
      </c>
      <c r="Q1185" t="s">
        <v>2413</v>
      </c>
    </row>
    <row r="1186" spans="1:17" x14ac:dyDescent="0.3">
      <c r="A1186" t="s">
        <v>17</v>
      </c>
      <c r="B1186" t="str">
        <f>"603179"</f>
        <v>603179</v>
      </c>
      <c r="C1186" t="s">
        <v>2414</v>
      </c>
      <c r="D1186" t="s">
        <v>27</v>
      </c>
      <c r="F1186">
        <v>-338234773</v>
      </c>
      <c r="G1186">
        <v>-187136376</v>
      </c>
      <c r="H1186">
        <v>-554669513</v>
      </c>
      <c r="I1186">
        <v>191473397</v>
      </c>
      <c r="J1186">
        <v>-200444601</v>
      </c>
      <c r="K1186">
        <v>-7589195</v>
      </c>
      <c r="P1186">
        <v>303</v>
      </c>
      <c r="Q1186" t="s">
        <v>2415</v>
      </c>
    </row>
    <row r="1187" spans="1:17" x14ac:dyDescent="0.3">
      <c r="A1187" t="s">
        <v>17</v>
      </c>
      <c r="B1187" t="str">
        <f>"603180"</f>
        <v>603180</v>
      </c>
      <c r="C1187" t="s">
        <v>2416</v>
      </c>
      <c r="D1187" t="s">
        <v>161</v>
      </c>
      <c r="F1187">
        <v>-175974562</v>
      </c>
      <c r="G1187">
        <v>-21753375</v>
      </c>
      <c r="H1187">
        <v>21733103</v>
      </c>
      <c r="I1187">
        <v>-127087576</v>
      </c>
      <c r="J1187">
        <v>71903032</v>
      </c>
      <c r="K1187">
        <v>33244994</v>
      </c>
      <c r="P1187">
        <v>1303</v>
      </c>
      <c r="Q1187" t="s">
        <v>2417</v>
      </c>
    </row>
    <row r="1188" spans="1:17" x14ac:dyDescent="0.3">
      <c r="A1188" t="s">
        <v>17</v>
      </c>
      <c r="B1188" t="str">
        <f>"603181"</f>
        <v>603181</v>
      </c>
      <c r="C1188" t="s">
        <v>2418</v>
      </c>
      <c r="D1188" t="s">
        <v>133</v>
      </c>
      <c r="F1188">
        <v>-189353302</v>
      </c>
      <c r="G1188">
        <v>-28140089</v>
      </c>
      <c r="H1188">
        <v>97307990</v>
      </c>
      <c r="I1188">
        <v>63771885</v>
      </c>
      <c r="J1188">
        <v>127106854</v>
      </c>
      <c r="K1188">
        <v>105627574</v>
      </c>
      <c r="P1188">
        <v>162</v>
      </c>
      <c r="Q1188" t="s">
        <v>2419</v>
      </c>
    </row>
    <row r="1189" spans="1:17" x14ac:dyDescent="0.3">
      <c r="A1189" t="s">
        <v>17</v>
      </c>
      <c r="B1189" t="str">
        <f>"603183"</f>
        <v>603183</v>
      </c>
      <c r="C1189" t="s">
        <v>2420</v>
      </c>
      <c r="D1189" t="s">
        <v>110</v>
      </c>
      <c r="F1189">
        <v>-82284596</v>
      </c>
      <c r="G1189">
        <v>-50563841</v>
      </c>
      <c r="H1189">
        <v>-72152297</v>
      </c>
      <c r="I1189">
        <v>-118970947</v>
      </c>
      <c r="J1189">
        <v>-69284605</v>
      </c>
      <c r="K1189">
        <v>-38165319</v>
      </c>
      <c r="P1189">
        <v>92</v>
      </c>
      <c r="Q1189" t="s">
        <v>2421</v>
      </c>
    </row>
    <row r="1190" spans="1:17" x14ac:dyDescent="0.3">
      <c r="A1190" t="s">
        <v>17</v>
      </c>
      <c r="B1190" t="str">
        <f>"603185"</f>
        <v>603185</v>
      </c>
      <c r="C1190" t="s">
        <v>2422</v>
      </c>
      <c r="D1190" t="s">
        <v>188</v>
      </c>
      <c r="F1190">
        <v>-713157498</v>
      </c>
      <c r="G1190">
        <v>-453326474</v>
      </c>
      <c r="H1190">
        <v>-367829607</v>
      </c>
      <c r="I1190">
        <v>-9864954</v>
      </c>
      <c r="J1190">
        <v>33276278</v>
      </c>
      <c r="P1190">
        <v>516</v>
      </c>
      <c r="Q1190" t="s">
        <v>2423</v>
      </c>
    </row>
    <row r="1191" spans="1:17" x14ac:dyDescent="0.3">
      <c r="A1191" t="s">
        <v>17</v>
      </c>
      <c r="B1191" t="str">
        <f>"603186"</f>
        <v>603186</v>
      </c>
      <c r="C1191" t="s">
        <v>2424</v>
      </c>
      <c r="D1191" t="s">
        <v>150</v>
      </c>
      <c r="F1191">
        <v>-616673700</v>
      </c>
      <c r="G1191">
        <v>-75345687</v>
      </c>
      <c r="H1191">
        <v>-5456030</v>
      </c>
      <c r="I1191">
        <v>-152965817</v>
      </c>
      <c r="J1191">
        <v>-258077448</v>
      </c>
      <c r="K1191">
        <v>-41644778</v>
      </c>
      <c r="L1191">
        <v>5039900</v>
      </c>
      <c r="P1191">
        <v>328</v>
      </c>
      <c r="Q1191" t="s">
        <v>2425</v>
      </c>
    </row>
    <row r="1192" spans="1:17" x14ac:dyDescent="0.3">
      <c r="A1192" t="s">
        <v>17</v>
      </c>
      <c r="B1192" t="str">
        <f>"603187"</f>
        <v>603187</v>
      </c>
      <c r="C1192" t="s">
        <v>2426</v>
      </c>
      <c r="D1192" t="s">
        <v>78</v>
      </c>
      <c r="F1192">
        <v>-152802912</v>
      </c>
      <c r="G1192">
        <v>185444236</v>
      </c>
      <c r="H1192">
        <v>81017324</v>
      </c>
      <c r="I1192">
        <v>70464003</v>
      </c>
      <c r="J1192">
        <v>99121346</v>
      </c>
      <c r="P1192">
        <v>705</v>
      </c>
      <c r="Q1192" t="s">
        <v>2427</v>
      </c>
    </row>
    <row r="1193" spans="1:17" x14ac:dyDescent="0.3">
      <c r="A1193" t="s">
        <v>17</v>
      </c>
      <c r="B1193" t="str">
        <f>"603188"</f>
        <v>603188</v>
      </c>
      <c r="C1193" t="s">
        <v>2428</v>
      </c>
      <c r="D1193" t="s">
        <v>133</v>
      </c>
      <c r="F1193">
        <v>-188581233</v>
      </c>
      <c r="G1193">
        <v>-69087819</v>
      </c>
      <c r="H1193">
        <v>-80613613</v>
      </c>
      <c r="I1193">
        <v>327884601</v>
      </c>
      <c r="J1193">
        <v>198388460</v>
      </c>
      <c r="K1193">
        <v>228096826</v>
      </c>
      <c r="L1193">
        <v>65411192</v>
      </c>
      <c r="M1193">
        <v>315913330</v>
      </c>
      <c r="N1193">
        <v>-16379017</v>
      </c>
      <c r="P1193">
        <v>206</v>
      </c>
      <c r="Q1193" t="s">
        <v>2429</v>
      </c>
    </row>
    <row r="1194" spans="1:17" x14ac:dyDescent="0.3">
      <c r="A1194" t="s">
        <v>17</v>
      </c>
      <c r="B1194" t="str">
        <f>"603189"</f>
        <v>603189</v>
      </c>
      <c r="C1194" t="s">
        <v>2430</v>
      </c>
      <c r="D1194" t="s">
        <v>212</v>
      </c>
      <c r="F1194">
        <v>-177441955</v>
      </c>
      <c r="G1194">
        <v>-43195129</v>
      </c>
      <c r="H1194">
        <v>-76814425</v>
      </c>
      <c r="I1194">
        <v>-33813555</v>
      </c>
      <c r="J1194">
        <v>-34906051</v>
      </c>
      <c r="K1194">
        <v>-138141337</v>
      </c>
      <c r="L1194">
        <v>-62061601</v>
      </c>
      <c r="P1194">
        <v>166</v>
      </c>
      <c r="Q1194" t="s">
        <v>2431</v>
      </c>
    </row>
    <row r="1195" spans="1:17" x14ac:dyDescent="0.3">
      <c r="A1195" t="s">
        <v>17</v>
      </c>
      <c r="B1195" t="str">
        <f>"603192"</f>
        <v>603192</v>
      </c>
      <c r="C1195" t="s">
        <v>2432</v>
      </c>
      <c r="D1195" t="s">
        <v>133</v>
      </c>
      <c r="F1195">
        <v>16052032</v>
      </c>
      <c r="G1195">
        <v>-59443526</v>
      </c>
      <c r="H1195">
        <v>-53845465</v>
      </c>
      <c r="I1195">
        <v>18450972</v>
      </c>
      <c r="J1195">
        <v>-10563102</v>
      </c>
      <c r="P1195">
        <v>82</v>
      </c>
      <c r="Q1195" t="s">
        <v>2433</v>
      </c>
    </row>
    <row r="1196" spans="1:17" x14ac:dyDescent="0.3">
      <c r="A1196" t="s">
        <v>17</v>
      </c>
      <c r="B1196" t="str">
        <f>"603195"</f>
        <v>603195</v>
      </c>
      <c r="C1196" t="s">
        <v>2434</v>
      </c>
      <c r="D1196" t="s">
        <v>161</v>
      </c>
      <c r="F1196">
        <v>1908765924</v>
      </c>
      <c r="G1196">
        <v>2128535741</v>
      </c>
      <c r="H1196">
        <v>1730729579</v>
      </c>
      <c r="I1196">
        <v>1031214122</v>
      </c>
      <c r="P1196">
        <v>1475</v>
      </c>
      <c r="Q1196" t="s">
        <v>2435</v>
      </c>
    </row>
    <row r="1197" spans="1:17" x14ac:dyDescent="0.3">
      <c r="A1197" t="s">
        <v>17</v>
      </c>
      <c r="B1197" t="str">
        <f>"603196"</f>
        <v>603196</v>
      </c>
      <c r="C1197" t="s">
        <v>2436</v>
      </c>
      <c r="D1197" t="s">
        <v>227</v>
      </c>
      <c r="F1197">
        <v>-5331448</v>
      </c>
      <c r="G1197">
        <v>-6100700</v>
      </c>
      <c r="H1197">
        <v>32416342</v>
      </c>
      <c r="I1197">
        <v>-173824431</v>
      </c>
      <c r="J1197">
        <v>-23507710</v>
      </c>
      <c r="K1197">
        <v>63107477</v>
      </c>
      <c r="P1197">
        <v>70</v>
      </c>
      <c r="Q1197" t="s">
        <v>2437</v>
      </c>
    </row>
    <row r="1198" spans="1:17" x14ac:dyDescent="0.3">
      <c r="A1198" t="s">
        <v>17</v>
      </c>
      <c r="B1198" t="str">
        <f>"603197"</f>
        <v>603197</v>
      </c>
      <c r="C1198" t="s">
        <v>2438</v>
      </c>
      <c r="D1198" t="s">
        <v>27</v>
      </c>
      <c r="F1198">
        <v>-113157555</v>
      </c>
      <c r="G1198">
        <v>-61006017</v>
      </c>
      <c r="H1198">
        <v>-142419450</v>
      </c>
      <c r="I1198">
        <v>51840480</v>
      </c>
      <c r="J1198">
        <v>-31543040</v>
      </c>
      <c r="K1198">
        <v>39057490</v>
      </c>
      <c r="P1198">
        <v>357</v>
      </c>
      <c r="Q1198" t="s">
        <v>2439</v>
      </c>
    </row>
    <row r="1199" spans="1:17" x14ac:dyDescent="0.3">
      <c r="A1199" t="s">
        <v>17</v>
      </c>
      <c r="B1199" t="str">
        <f>"603198"</f>
        <v>603198</v>
      </c>
      <c r="C1199" t="s">
        <v>2440</v>
      </c>
      <c r="D1199" t="s">
        <v>123</v>
      </c>
      <c r="F1199">
        <v>502707370</v>
      </c>
      <c r="G1199">
        <v>-126458079</v>
      </c>
      <c r="H1199">
        <v>-143778381</v>
      </c>
      <c r="I1199">
        <v>-64928774</v>
      </c>
      <c r="J1199">
        <v>-94110818</v>
      </c>
      <c r="K1199">
        <v>146134389</v>
      </c>
      <c r="L1199">
        <v>82614100</v>
      </c>
      <c r="M1199">
        <v>11338187</v>
      </c>
      <c r="P1199">
        <v>5975</v>
      </c>
      <c r="Q1199" t="s">
        <v>2441</v>
      </c>
    </row>
    <row r="1200" spans="1:17" x14ac:dyDescent="0.3">
      <c r="A1200" t="s">
        <v>17</v>
      </c>
      <c r="B1200" t="str">
        <f>"603199"</f>
        <v>603199</v>
      </c>
      <c r="C1200" t="s">
        <v>2442</v>
      </c>
      <c r="D1200" t="s">
        <v>110</v>
      </c>
      <c r="F1200">
        <v>40401909</v>
      </c>
      <c r="G1200">
        <v>-30262071</v>
      </c>
      <c r="H1200">
        <v>80701921</v>
      </c>
      <c r="I1200">
        <v>39457988</v>
      </c>
      <c r="J1200">
        <v>78116075</v>
      </c>
      <c r="K1200">
        <v>59616423</v>
      </c>
      <c r="L1200">
        <v>49012733</v>
      </c>
      <c r="M1200">
        <v>55586267</v>
      </c>
      <c r="P1200">
        <v>144</v>
      </c>
      <c r="Q1200" t="s">
        <v>2443</v>
      </c>
    </row>
    <row r="1201" spans="1:17" x14ac:dyDescent="0.3">
      <c r="A1201" t="s">
        <v>17</v>
      </c>
      <c r="B1201" t="str">
        <f>"603200"</f>
        <v>603200</v>
      </c>
      <c r="C1201" t="s">
        <v>2444</v>
      </c>
      <c r="D1201" t="s">
        <v>33</v>
      </c>
      <c r="F1201">
        <v>17239051</v>
      </c>
      <c r="G1201">
        <v>-162637221</v>
      </c>
      <c r="H1201">
        <v>-23778215</v>
      </c>
      <c r="I1201">
        <v>-15989524</v>
      </c>
      <c r="J1201">
        <v>27974799</v>
      </c>
      <c r="K1201">
        <v>64590896</v>
      </c>
      <c r="P1201">
        <v>101</v>
      </c>
      <c r="Q1201" t="s">
        <v>2445</v>
      </c>
    </row>
    <row r="1202" spans="1:17" x14ac:dyDescent="0.3">
      <c r="A1202" t="s">
        <v>17</v>
      </c>
      <c r="B1202" t="str">
        <f>"603203"</f>
        <v>603203</v>
      </c>
      <c r="C1202" t="s">
        <v>2446</v>
      </c>
      <c r="D1202" t="s">
        <v>78</v>
      </c>
      <c r="F1202">
        <v>85009420</v>
      </c>
      <c r="G1202">
        <v>111078949</v>
      </c>
      <c r="H1202">
        <v>127211257</v>
      </c>
      <c r="I1202">
        <v>74986446</v>
      </c>
      <c r="J1202">
        <v>71327885</v>
      </c>
      <c r="K1202">
        <v>63366788</v>
      </c>
      <c r="L1202">
        <v>63363085</v>
      </c>
      <c r="P1202">
        <v>2649</v>
      </c>
      <c r="Q1202" t="s">
        <v>2447</v>
      </c>
    </row>
    <row r="1203" spans="1:17" x14ac:dyDescent="0.3">
      <c r="A1203" t="s">
        <v>17</v>
      </c>
      <c r="B1203" t="str">
        <f>"603208"</f>
        <v>603208</v>
      </c>
      <c r="C1203" t="s">
        <v>2448</v>
      </c>
      <c r="D1203" t="s">
        <v>161</v>
      </c>
      <c r="F1203">
        <v>-553721309</v>
      </c>
      <c r="G1203">
        <v>-130619730</v>
      </c>
      <c r="H1203">
        <v>-78497071</v>
      </c>
      <c r="I1203">
        <v>-166720066</v>
      </c>
      <c r="J1203">
        <v>-232064781</v>
      </c>
      <c r="K1203">
        <v>30931932</v>
      </c>
      <c r="L1203">
        <v>83867999</v>
      </c>
      <c r="P1203">
        <v>494</v>
      </c>
      <c r="Q1203" t="s">
        <v>2449</v>
      </c>
    </row>
    <row r="1204" spans="1:17" x14ac:dyDescent="0.3">
      <c r="A1204" t="s">
        <v>17</v>
      </c>
      <c r="B1204" t="str">
        <f>"603212"</f>
        <v>603212</v>
      </c>
      <c r="C1204" t="s">
        <v>2450</v>
      </c>
      <c r="D1204" t="s">
        <v>188</v>
      </c>
      <c r="F1204">
        <v>-438679574</v>
      </c>
      <c r="G1204">
        <v>-215228653</v>
      </c>
      <c r="H1204">
        <v>-79020695</v>
      </c>
      <c r="P1204">
        <v>130</v>
      </c>
      <c r="Q1204" t="s">
        <v>2451</v>
      </c>
    </row>
    <row r="1205" spans="1:17" x14ac:dyDescent="0.3">
      <c r="A1205" t="s">
        <v>17</v>
      </c>
      <c r="B1205" t="str">
        <f>"603213"</f>
        <v>603213</v>
      </c>
      <c r="C1205" t="s">
        <v>2452</v>
      </c>
      <c r="D1205" t="s">
        <v>133</v>
      </c>
      <c r="F1205">
        <v>18789523</v>
      </c>
      <c r="G1205">
        <v>18473876</v>
      </c>
      <c r="P1205">
        <v>32</v>
      </c>
      <c r="Q1205" t="s">
        <v>2453</v>
      </c>
    </row>
    <row r="1206" spans="1:17" x14ac:dyDescent="0.3">
      <c r="A1206" t="s">
        <v>17</v>
      </c>
      <c r="B1206" t="str">
        <f>"603214"</f>
        <v>603214</v>
      </c>
      <c r="C1206" t="s">
        <v>2454</v>
      </c>
      <c r="D1206" t="s">
        <v>120</v>
      </c>
      <c r="F1206">
        <v>-168084072</v>
      </c>
      <c r="G1206">
        <v>102138645</v>
      </c>
      <c r="H1206">
        <v>-22176661</v>
      </c>
      <c r="I1206">
        <v>34462087</v>
      </c>
      <c r="J1206">
        <v>33341426</v>
      </c>
      <c r="P1206">
        <v>290</v>
      </c>
      <c r="Q1206" t="s">
        <v>2455</v>
      </c>
    </row>
    <row r="1207" spans="1:17" x14ac:dyDescent="0.3">
      <c r="A1207" t="s">
        <v>17</v>
      </c>
      <c r="B1207" t="str">
        <f>"603215"</f>
        <v>603215</v>
      </c>
      <c r="C1207" t="s">
        <v>2456</v>
      </c>
      <c r="F1207">
        <v>-178100415</v>
      </c>
      <c r="G1207">
        <v>-81985787</v>
      </c>
      <c r="P1207">
        <v>13</v>
      </c>
      <c r="Q1207" t="s">
        <v>2457</v>
      </c>
    </row>
    <row r="1208" spans="1:17" x14ac:dyDescent="0.3">
      <c r="A1208" t="s">
        <v>17</v>
      </c>
      <c r="B1208" t="str">
        <f>"603216"</f>
        <v>603216</v>
      </c>
      <c r="C1208" t="s">
        <v>2458</v>
      </c>
      <c r="D1208" t="s">
        <v>161</v>
      </c>
      <c r="F1208">
        <v>60668472</v>
      </c>
      <c r="P1208">
        <v>22</v>
      </c>
      <c r="Q1208" t="s">
        <v>2459</v>
      </c>
    </row>
    <row r="1209" spans="1:17" x14ac:dyDescent="0.3">
      <c r="A1209" t="s">
        <v>17</v>
      </c>
      <c r="B1209" t="str">
        <f>"603217"</f>
        <v>603217</v>
      </c>
      <c r="C1209" t="s">
        <v>2460</v>
      </c>
      <c r="D1209" t="s">
        <v>133</v>
      </c>
      <c r="F1209">
        <v>17375712</v>
      </c>
      <c r="G1209">
        <v>75141574</v>
      </c>
      <c r="H1209">
        <v>61698246</v>
      </c>
      <c r="I1209">
        <v>-2093372</v>
      </c>
      <c r="P1209">
        <v>72</v>
      </c>
      <c r="Q1209" t="s">
        <v>2461</v>
      </c>
    </row>
    <row r="1210" spans="1:17" x14ac:dyDescent="0.3">
      <c r="A1210" t="s">
        <v>17</v>
      </c>
      <c r="B1210" t="str">
        <f>"603218"</f>
        <v>603218</v>
      </c>
      <c r="C1210" t="s">
        <v>2462</v>
      </c>
      <c r="D1210" t="s">
        <v>188</v>
      </c>
      <c r="F1210">
        <v>-111135872</v>
      </c>
      <c r="G1210">
        <v>163095117</v>
      </c>
      <c r="H1210">
        <v>73264035</v>
      </c>
      <c r="I1210">
        <v>52673259</v>
      </c>
      <c r="J1210">
        <v>105899861</v>
      </c>
      <c r="K1210">
        <v>107055961</v>
      </c>
      <c r="L1210">
        <v>221348800</v>
      </c>
      <c r="P1210">
        <v>566</v>
      </c>
      <c r="Q1210" t="s">
        <v>2463</v>
      </c>
    </row>
    <row r="1211" spans="1:17" x14ac:dyDescent="0.3">
      <c r="A1211" t="s">
        <v>17</v>
      </c>
      <c r="B1211" t="str">
        <f>"603219"</f>
        <v>603219</v>
      </c>
      <c r="C1211" t="s">
        <v>2464</v>
      </c>
      <c r="D1211" t="s">
        <v>126</v>
      </c>
      <c r="F1211">
        <v>-281297222</v>
      </c>
      <c r="G1211">
        <v>127016365</v>
      </c>
      <c r="P1211">
        <v>23</v>
      </c>
      <c r="Q1211" t="s">
        <v>2465</v>
      </c>
    </row>
    <row r="1212" spans="1:17" x14ac:dyDescent="0.3">
      <c r="A1212" t="s">
        <v>17</v>
      </c>
      <c r="B1212" t="str">
        <f>"603220"</f>
        <v>603220</v>
      </c>
      <c r="C1212" t="s">
        <v>2466</v>
      </c>
      <c r="D1212" t="s">
        <v>100</v>
      </c>
      <c r="F1212">
        <v>-330885739</v>
      </c>
      <c r="G1212">
        <v>-263514711</v>
      </c>
      <c r="H1212">
        <v>-271019088</v>
      </c>
      <c r="I1212">
        <v>-119937365</v>
      </c>
      <c r="J1212">
        <v>-219659439</v>
      </c>
      <c r="P1212">
        <v>146</v>
      </c>
      <c r="Q1212" t="s">
        <v>2467</v>
      </c>
    </row>
    <row r="1213" spans="1:17" x14ac:dyDescent="0.3">
      <c r="A1213" t="s">
        <v>17</v>
      </c>
      <c r="B1213" t="str">
        <f>"603221"</f>
        <v>603221</v>
      </c>
      <c r="C1213" t="s">
        <v>2468</v>
      </c>
      <c r="D1213" t="s">
        <v>161</v>
      </c>
      <c r="F1213">
        <v>-284631198</v>
      </c>
      <c r="G1213">
        <v>-76266919</v>
      </c>
      <c r="H1213">
        <v>85772163</v>
      </c>
      <c r="P1213">
        <v>79</v>
      </c>
      <c r="Q1213" t="s">
        <v>2469</v>
      </c>
    </row>
    <row r="1214" spans="1:17" x14ac:dyDescent="0.3">
      <c r="A1214" t="s">
        <v>17</v>
      </c>
      <c r="B1214" t="str">
        <f>"603222"</f>
        <v>603222</v>
      </c>
      <c r="C1214" t="s">
        <v>2470</v>
      </c>
      <c r="D1214" t="s">
        <v>113</v>
      </c>
      <c r="F1214">
        <v>-63170776</v>
      </c>
      <c r="G1214">
        <v>-54241398</v>
      </c>
      <c r="H1214">
        <v>-12432390</v>
      </c>
      <c r="I1214">
        <v>-163756829</v>
      </c>
      <c r="J1214">
        <v>-232393695</v>
      </c>
      <c r="K1214">
        <v>-33663344</v>
      </c>
      <c r="L1214">
        <v>-1117694</v>
      </c>
      <c r="M1214">
        <v>20353544</v>
      </c>
      <c r="P1214">
        <v>172</v>
      </c>
      <c r="Q1214" t="s">
        <v>2471</v>
      </c>
    </row>
    <row r="1215" spans="1:17" x14ac:dyDescent="0.3">
      <c r="A1215" t="s">
        <v>17</v>
      </c>
      <c r="B1215" t="str">
        <f>"603223"</f>
        <v>603223</v>
      </c>
      <c r="C1215" t="s">
        <v>2472</v>
      </c>
      <c r="D1215" t="s">
        <v>22</v>
      </c>
      <c r="F1215">
        <v>78355565</v>
      </c>
      <c r="G1215">
        <v>154294704</v>
      </c>
      <c r="H1215">
        <v>-50914165</v>
      </c>
      <c r="I1215">
        <v>-153792321</v>
      </c>
      <c r="J1215">
        <v>-36589472</v>
      </c>
      <c r="K1215">
        <v>-15764524</v>
      </c>
      <c r="L1215">
        <v>-67805412</v>
      </c>
      <c r="M1215">
        <v>-22232662</v>
      </c>
      <c r="P1215">
        <v>98</v>
      </c>
      <c r="Q1215" t="s">
        <v>2473</v>
      </c>
    </row>
    <row r="1216" spans="1:17" x14ac:dyDescent="0.3">
      <c r="A1216" t="s">
        <v>17</v>
      </c>
      <c r="B1216" t="str">
        <f>"603225"</f>
        <v>603225</v>
      </c>
      <c r="C1216" t="s">
        <v>2474</v>
      </c>
      <c r="D1216" t="s">
        <v>133</v>
      </c>
      <c r="F1216">
        <v>-2635112733</v>
      </c>
      <c r="G1216">
        <v>-2753206805</v>
      </c>
      <c r="H1216">
        <v>-3497993848</v>
      </c>
      <c r="I1216">
        <v>-1874828206</v>
      </c>
      <c r="J1216">
        <v>304419447</v>
      </c>
      <c r="K1216">
        <v>-51796029</v>
      </c>
      <c r="P1216">
        <v>388</v>
      </c>
      <c r="Q1216" t="s">
        <v>2475</v>
      </c>
    </row>
    <row r="1217" spans="1:17" x14ac:dyDescent="0.3">
      <c r="A1217" t="s">
        <v>17</v>
      </c>
      <c r="B1217" t="str">
        <f>"603226"</f>
        <v>603226</v>
      </c>
      <c r="C1217" t="s">
        <v>2476</v>
      </c>
      <c r="D1217" t="s">
        <v>161</v>
      </c>
      <c r="F1217">
        <v>-113452741</v>
      </c>
      <c r="G1217">
        <v>18541632</v>
      </c>
      <c r="H1217">
        <v>40796508</v>
      </c>
      <c r="I1217">
        <v>90632551</v>
      </c>
      <c r="J1217">
        <v>66979970</v>
      </c>
      <c r="K1217">
        <v>55961864</v>
      </c>
      <c r="P1217">
        <v>113</v>
      </c>
      <c r="Q1217" t="s">
        <v>2477</v>
      </c>
    </row>
    <row r="1218" spans="1:17" x14ac:dyDescent="0.3">
      <c r="A1218" t="s">
        <v>17</v>
      </c>
      <c r="B1218" t="str">
        <f>"603227"</f>
        <v>603227</v>
      </c>
      <c r="C1218" t="s">
        <v>2478</v>
      </c>
      <c r="D1218" t="s">
        <v>133</v>
      </c>
      <c r="F1218">
        <v>-67034058</v>
      </c>
      <c r="G1218">
        <v>-63759567</v>
      </c>
      <c r="H1218">
        <v>-62024285</v>
      </c>
      <c r="I1218">
        <v>-126192261</v>
      </c>
      <c r="J1218">
        <v>-173275786</v>
      </c>
      <c r="K1218">
        <v>-46661507</v>
      </c>
      <c r="L1218">
        <v>-331823228</v>
      </c>
      <c r="M1218">
        <v>-214323843</v>
      </c>
      <c r="P1218">
        <v>80</v>
      </c>
      <c r="Q1218" t="s">
        <v>2479</v>
      </c>
    </row>
    <row r="1219" spans="1:17" x14ac:dyDescent="0.3">
      <c r="A1219" t="s">
        <v>17</v>
      </c>
      <c r="B1219" t="str">
        <f>"603228"</f>
        <v>603228</v>
      </c>
      <c r="C1219" t="s">
        <v>2480</v>
      </c>
      <c r="D1219" t="s">
        <v>150</v>
      </c>
      <c r="F1219">
        <v>-1082118888</v>
      </c>
      <c r="G1219">
        <v>-82461816</v>
      </c>
      <c r="H1219">
        <v>128376699</v>
      </c>
      <c r="I1219">
        <v>156461053</v>
      </c>
      <c r="J1219">
        <v>149635620</v>
      </c>
      <c r="K1219">
        <v>147644851</v>
      </c>
      <c r="L1219">
        <v>209907872</v>
      </c>
      <c r="P1219">
        <v>1624</v>
      </c>
      <c r="Q1219" t="s">
        <v>2481</v>
      </c>
    </row>
    <row r="1220" spans="1:17" x14ac:dyDescent="0.3">
      <c r="A1220" t="s">
        <v>17</v>
      </c>
      <c r="B1220" t="str">
        <f>"603229"</f>
        <v>603229</v>
      </c>
      <c r="C1220" t="s">
        <v>2482</v>
      </c>
      <c r="D1220" t="s">
        <v>113</v>
      </c>
      <c r="F1220">
        <v>-78413993</v>
      </c>
      <c r="G1220">
        <v>37287439</v>
      </c>
      <c r="H1220">
        <v>20501767</v>
      </c>
      <c r="I1220">
        <v>-34313121</v>
      </c>
      <c r="J1220">
        <v>-26517141</v>
      </c>
      <c r="K1220">
        <v>25593813</v>
      </c>
      <c r="P1220">
        <v>164</v>
      </c>
      <c r="Q1220" t="s">
        <v>2483</v>
      </c>
    </row>
    <row r="1221" spans="1:17" x14ac:dyDescent="0.3">
      <c r="A1221" t="s">
        <v>17</v>
      </c>
      <c r="B1221" t="str">
        <f>"603230"</f>
        <v>603230</v>
      </c>
      <c r="C1221" t="s">
        <v>2484</v>
      </c>
      <c r="D1221" t="s">
        <v>89</v>
      </c>
      <c r="F1221">
        <v>14115028</v>
      </c>
      <c r="G1221">
        <v>201800300</v>
      </c>
      <c r="P1221">
        <v>17</v>
      </c>
      <c r="Q1221" t="s">
        <v>2485</v>
      </c>
    </row>
    <row r="1222" spans="1:17" x14ac:dyDescent="0.3">
      <c r="A1222" t="s">
        <v>17</v>
      </c>
      <c r="B1222" t="str">
        <f>"603232"</f>
        <v>603232</v>
      </c>
      <c r="C1222" t="s">
        <v>2486</v>
      </c>
      <c r="D1222" t="s">
        <v>212</v>
      </c>
      <c r="F1222">
        <v>-237437717</v>
      </c>
      <c r="G1222">
        <v>-52371725</v>
      </c>
      <c r="H1222">
        <v>-48516319</v>
      </c>
      <c r="I1222">
        <v>-92487076</v>
      </c>
      <c r="J1222">
        <v>-60393890</v>
      </c>
      <c r="K1222">
        <v>-55443883</v>
      </c>
      <c r="P1222">
        <v>159</v>
      </c>
      <c r="Q1222" t="s">
        <v>2487</v>
      </c>
    </row>
    <row r="1223" spans="1:17" x14ac:dyDescent="0.3">
      <c r="A1223" t="s">
        <v>17</v>
      </c>
      <c r="B1223" t="str">
        <f>"603233"</f>
        <v>603233</v>
      </c>
      <c r="C1223" t="s">
        <v>2488</v>
      </c>
      <c r="D1223" t="s">
        <v>113</v>
      </c>
      <c r="F1223">
        <v>646633751</v>
      </c>
      <c r="G1223">
        <v>1125107479</v>
      </c>
      <c r="H1223">
        <v>896816927</v>
      </c>
      <c r="I1223">
        <v>53224125</v>
      </c>
      <c r="J1223">
        <v>143292825</v>
      </c>
      <c r="K1223">
        <v>218987895</v>
      </c>
      <c r="P1223">
        <v>1784</v>
      </c>
      <c r="Q1223" t="s">
        <v>2489</v>
      </c>
    </row>
    <row r="1224" spans="1:17" x14ac:dyDescent="0.3">
      <c r="A1224" t="s">
        <v>17</v>
      </c>
      <c r="B1224" t="str">
        <f>"603236"</f>
        <v>603236</v>
      </c>
      <c r="C1224" t="s">
        <v>2490</v>
      </c>
      <c r="D1224" t="s">
        <v>100</v>
      </c>
      <c r="F1224">
        <v>-1820966878</v>
      </c>
      <c r="G1224">
        <v>-965143049</v>
      </c>
      <c r="H1224">
        <v>-442139398</v>
      </c>
      <c r="I1224">
        <v>-103335247</v>
      </c>
      <c r="P1224">
        <v>589</v>
      </c>
      <c r="Q1224" t="s">
        <v>2491</v>
      </c>
    </row>
    <row r="1225" spans="1:17" x14ac:dyDescent="0.3">
      <c r="A1225" t="s">
        <v>17</v>
      </c>
      <c r="B1225" t="str">
        <f>"603238"</f>
        <v>603238</v>
      </c>
      <c r="C1225" t="s">
        <v>2492</v>
      </c>
      <c r="D1225" t="s">
        <v>481</v>
      </c>
      <c r="F1225">
        <v>-73281976</v>
      </c>
      <c r="G1225">
        <v>172671394</v>
      </c>
      <c r="H1225">
        <v>-53583510</v>
      </c>
      <c r="I1225">
        <v>-96733121</v>
      </c>
      <c r="J1225">
        <v>3647616</v>
      </c>
      <c r="K1225">
        <v>31347227</v>
      </c>
      <c r="L1225">
        <v>49318300</v>
      </c>
      <c r="P1225">
        <v>240</v>
      </c>
      <c r="Q1225" t="s">
        <v>2493</v>
      </c>
    </row>
    <row r="1226" spans="1:17" x14ac:dyDescent="0.3">
      <c r="A1226" t="s">
        <v>17</v>
      </c>
      <c r="B1226" t="str">
        <f>"603239"</f>
        <v>603239</v>
      </c>
      <c r="C1226" t="s">
        <v>2494</v>
      </c>
      <c r="D1226" t="s">
        <v>27</v>
      </c>
      <c r="F1226">
        <v>116197107</v>
      </c>
      <c r="G1226">
        <v>-22240429</v>
      </c>
      <c r="H1226">
        <v>143484978</v>
      </c>
      <c r="I1226">
        <v>18786679</v>
      </c>
      <c r="J1226">
        <v>-11900967</v>
      </c>
      <c r="K1226">
        <v>27159815</v>
      </c>
      <c r="L1226">
        <v>42686070</v>
      </c>
      <c r="P1226">
        <v>166</v>
      </c>
      <c r="Q1226" t="s">
        <v>2495</v>
      </c>
    </row>
    <row r="1227" spans="1:17" x14ac:dyDescent="0.3">
      <c r="A1227" t="s">
        <v>17</v>
      </c>
      <c r="B1227" t="str">
        <f>"603256"</f>
        <v>603256</v>
      </c>
      <c r="C1227" t="s">
        <v>2496</v>
      </c>
      <c r="D1227" t="s">
        <v>350</v>
      </c>
      <c r="F1227">
        <v>-284570738</v>
      </c>
      <c r="G1227">
        <v>-131414647</v>
      </c>
      <c r="H1227">
        <v>-86149111</v>
      </c>
      <c r="I1227">
        <v>-10041794</v>
      </c>
      <c r="P1227">
        <v>340</v>
      </c>
      <c r="Q1227" t="s">
        <v>2497</v>
      </c>
    </row>
    <row r="1228" spans="1:17" x14ac:dyDescent="0.3">
      <c r="A1228" t="s">
        <v>17</v>
      </c>
      <c r="B1228" t="str">
        <f>"603258"</f>
        <v>603258</v>
      </c>
      <c r="C1228" t="s">
        <v>2498</v>
      </c>
      <c r="D1228" t="s">
        <v>89</v>
      </c>
      <c r="F1228">
        <v>239201957</v>
      </c>
      <c r="G1228">
        <v>395789963</v>
      </c>
      <c r="H1228">
        <v>172142740</v>
      </c>
      <c r="I1228">
        <v>-55597819</v>
      </c>
      <c r="J1228">
        <v>29658548</v>
      </c>
      <c r="K1228">
        <v>153222364</v>
      </c>
      <c r="L1228">
        <v>83047395</v>
      </c>
      <c r="P1228">
        <v>770</v>
      </c>
      <c r="Q1228" t="s">
        <v>2499</v>
      </c>
    </row>
    <row r="1229" spans="1:17" x14ac:dyDescent="0.3">
      <c r="A1229" t="s">
        <v>17</v>
      </c>
      <c r="B1229" t="str">
        <f>"603259"</f>
        <v>603259</v>
      </c>
      <c r="C1229" t="s">
        <v>2500</v>
      </c>
      <c r="D1229" t="s">
        <v>113</v>
      </c>
      <c r="F1229">
        <v>-1646478267</v>
      </c>
      <c r="G1229">
        <v>508004755</v>
      </c>
      <c r="H1229">
        <v>-49812635</v>
      </c>
      <c r="I1229">
        <v>-358100200</v>
      </c>
      <c r="J1229">
        <v>150162417</v>
      </c>
      <c r="P1229">
        <v>3988</v>
      </c>
      <c r="Q1229" t="s">
        <v>2501</v>
      </c>
    </row>
    <row r="1230" spans="1:17" x14ac:dyDescent="0.3">
      <c r="A1230" t="s">
        <v>17</v>
      </c>
      <c r="B1230" t="str">
        <f>"603260"</f>
        <v>603260</v>
      </c>
      <c r="C1230" t="s">
        <v>2502</v>
      </c>
      <c r="D1230" t="s">
        <v>133</v>
      </c>
      <c r="F1230">
        <v>134023724</v>
      </c>
      <c r="G1230">
        <v>228432382</v>
      </c>
      <c r="H1230">
        <v>-138902489</v>
      </c>
      <c r="I1230">
        <v>-960147375</v>
      </c>
      <c r="J1230">
        <v>526318242</v>
      </c>
      <c r="K1230">
        <v>234426112</v>
      </c>
      <c r="P1230">
        <v>700</v>
      </c>
      <c r="Q1230" t="s">
        <v>2503</v>
      </c>
    </row>
    <row r="1231" spans="1:17" x14ac:dyDescent="0.3">
      <c r="A1231" t="s">
        <v>17</v>
      </c>
      <c r="B1231" t="str">
        <f>"603266"</f>
        <v>603266</v>
      </c>
      <c r="C1231" t="s">
        <v>2504</v>
      </c>
      <c r="D1231" t="s">
        <v>133</v>
      </c>
      <c r="F1231">
        <v>41517121</v>
      </c>
      <c r="G1231">
        <v>86389605</v>
      </c>
      <c r="H1231">
        <v>65179911</v>
      </c>
      <c r="I1231">
        <v>-13196257</v>
      </c>
      <c r="J1231">
        <v>8070367</v>
      </c>
      <c r="K1231">
        <v>878867</v>
      </c>
      <c r="L1231">
        <v>-18706224</v>
      </c>
      <c r="P1231">
        <v>95</v>
      </c>
      <c r="Q1231" t="s">
        <v>2505</v>
      </c>
    </row>
    <row r="1232" spans="1:17" x14ac:dyDescent="0.3">
      <c r="A1232" t="s">
        <v>17</v>
      </c>
      <c r="B1232" t="str">
        <f>"603267"</f>
        <v>603267</v>
      </c>
      <c r="C1232" t="s">
        <v>2506</v>
      </c>
      <c r="D1232" t="s">
        <v>92</v>
      </c>
      <c r="F1232">
        <v>-198834183</v>
      </c>
      <c r="G1232">
        <v>-223520335</v>
      </c>
      <c r="H1232">
        <v>-62060780</v>
      </c>
      <c r="I1232">
        <v>-52111055</v>
      </c>
      <c r="P1232">
        <v>471</v>
      </c>
      <c r="Q1232" t="s">
        <v>2507</v>
      </c>
    </row>
    <row r="1233" spans="1:17" x14ac:dyDescent="0.3">
      <c r="A1233" t="s">
        <v>17</v>
      </c>
      <c r="B1233" t="str">
        <f>"603268"</f>
        <v>603268</v>
      </c>
      <c r="C1233" t="s">
        <v>2508</v>
      </c>
      <c r="D1233" t="s">
        <v>161</v>
      </c>
      <c r="F1233">
        <v>-44503036</v>
      </c>
      <c r="G1233">
        <v>27894164</v>
      </c>
      <c r="H1233">
        <v>73490371</v>
      </c>
      <c r="I1233">
        <v>-21411637</v>
      </c>
      <c r="J1233">
        <v>-3693265</v>
      </c>
      <c r="K1233">
        <v>37588544</v>
      </c>
      <c r="L1233">
        <v>-30420318</v>
      </c>
      <c r="M1233">
        <v>-20659754</v>
      </c>
      <c r="P1233">
        <v>70</v>
      </c>
      <c r="Q1233" t="s">
        <v>2509</v>
      </c>
    </row>
    <row r="1234" spans="1:17" x14ac:dyDescent="0.3">
      <c r="A1234" t="s">
        <v>17</v>
      </c>
      <c r="B1234" t="str">
        <f>"603269"</f>
        <v>603269</v>
      </c>
      <c r="C1234" t="s">
        <v>2510</v>
      </c>
      <c r="D1234" t="s">
        <v>78</v>
      </c>
      <c r="F1234">
        <v>-104802503</v>
      </c>
      <c r="G1234">
        <v>-19048484</v>
      </c>
      <c r="H1234">
        <v>-99849034</v>
      </c>
      <c r="I1234">
        <v>-30135576</v>
      </c>
      <c r="J1234">
        <v>1571562</v>
      </c>
      <c r="K1234">
        <v>1416809</v>
      </c>
      <c r="P1234">
        <v>63</v>
      </c>
      <c r="Q1234" t="s">
        <v>2511</v>
      </c>
    </row>
    <row r="1235" spans="1:17" x14ac:dyDescent="0.3">
      <c r="A1235" t="s">
        <v>17</v>
      </c>
      <c r="B1235" t="str">
        <f>"603277"</f>
        <v>603277</v>
      </c>
      <c r="C1235" t="s">
        <v>2512</v>
      </c>
      <c r="D1235" t="s">
        <v>78</v>
      </c>
      <c r="F1235">
        <v>-77378710</v>
      </c>
      <c r="G1235">
        <v>74196419</v>
      </c>
      <c r="H1235">
        <v>13081332</v>
      </c>
      <c r="I1235">
        <v>65125064</v>
      </c>
      <c r="J1235">
        <v>87763106</v>
      </c>
      <c r="K1235">
        <v>77757119</v>
      </c>
      <c r="P1235">
        <v>137</v>
      </c>
      <c r="Q1235" t="s">
        <v>2513</v>
      </c>
    </row>
    <row r="1236" spans="1:17" x14ac:dyDescent="0.3">
      <c r="A1236" t="s">
        <v>17</v>
      </c>
      <c r="B1236" t="str">
        <f>"603278"</f>
        <v>603278</v>
      </c>
      <c r="C1236" t="s">
        <v>2514</v>
      </c>
      <c r="D1236" t="s">
        <v>78</v>
      </c>
      <c r="F1236">
        <v>-165060587</v>
      </c>
      <c r="G1236">
        <v>42522941</v>
      </c>
      <c r="H1236">
        <v>-257067398</v>
      </c>
      <c r="I1236">
        <v>-36505644</v>
      </c>
      <c r="J1236">
        <v>-28668421</v>
      </c>
      <c r="K1236">
        <v>31888284</v>
      </c>
      <c r="P1236">
        <v>122</v>
      </c>
      <c r="Q1236" t="s">
        <v>2515</v>
      </c>
    </row>
    <row r="1237" spans="1:17" x14ac:dyDescent="0.3">
      <c r="A1237" t="s">
        <v>17</v>
      </c>
      <c r="B1237" t="str">
        <f>"603279"</f>
        <v>603279</v>
      </c>
      <c r="C1237" t="s">
        <v>2516</v>
      </c>
      <c r="D1237" t="s">
        <v>33</v>
      </c>
      <c r="F1237">
        <v>276482714</v>
      </c>
      <c r="G1237">
        <v>341361427</v>
      </c>
      <c r="H1237">
        <v>246468694</v>
      </c>
      <c r="I1237">
        <v>201150055</v>
      </c>
      <c r="P1237">
        <v>234</v>
      </c>
      <c r="Q1237" t="s">
        <v>2517</v>
      </c>
    </row>
    <row r="1238" spans="1:17" x14ac:dyDescent="0.3">
      <c r="A1238" t="s">
        <v>17</v>
      </c>
      <c r="B1238" t="str">
        <f>"603283"</f>
        <v>603283</v>
      </c>
      <c r="C1238" t="s">
        <v>2518</v>
      </c>
      <c r="D1238" t="s">
        <v>78</v>
      </c>
      <c r="F1238">
        <v>95411918</v>
      </c>
      <c r="G1238">
        <v>-394443896</v>
      </c>
      <c r="H1238">
        <v>33872847</v>
      </c>
      <c r="I1238">
        <v>-286955405</v>
      </c>
      <c r="J1238">
        <v>-24823227</v>
      </c>
      <c r="P1238">
        <v>216</v>
      </c>
      <c r="Q1238" t="s">
        <v>2519</v>
      </c>
    </row>
    <row r="1239" spans="1:17" x14ac:dyDescent="0.3">
      <c r="A1239" t="s">
        <v>17</v>
      </c>
      <c r="B1239" t="str">
        <f>"603286"</f>
        <v>603286</v>
      </c>
      <c r="C1239" t="s">
        <v>2520</v>
      </c>
      <c r="D1239" t="s">
        <v>27</v>
      </c>
      <c r="F1239">
        <v>-59039332</v>
      </c>
      <c r="G1239">
        <v>34521178</v>
      </c>
      <c r="H1239">
        <v>2413184</v>
      </c>
      <c r="I1239">
        <v>-45140461</v>
      </c>
      <c r="J1239">
        <v>-13361730</v>
      </c>
      <c r="K1239">
        <v>3624322</v>
      </c>
      <c r="P1239">
        <v>66</v>
      </c>
      <c r="Q1239" t="s">
        <v>2521</v>
      </c>
    </row>
    <row r="1240" spans="1:17" x14ac:dyDescent="0.3">
      <c r="A1240" t="s">
        <v>17</v>
      </c>
      <c r="B1240" t="str">
        <f>"603288"</f>
        <v>603288</v>
      </c>
      <c r="C1240" t="s">
        <v>2522</v>
      </c>
      <c r="D1240" t="s">
        <v>123</v>
      </c>
      <c r="F1240">
        <v>1866144107</v>
      </c>
      <c r="G1240">
        <v>2614231321</v>
      </c>
      <c r="H1240">
        <v>2771376120</v>
      </c>
      <c r="I1240">
        <v>2692061980</v>
      </c>
      <c r="J1240">
        <v>1877359631</v>
      </c>
      <c r="K1240">
        <v>1119107808</v>
      </c>
      <c r="L1240">
        <v>107539110</v>
      </c>
      <c r="M1240">
        <v>31814495</v>
      </c>
      <c r="N1240">
        <v>-409723264</v>
      </c>
      <c r="O1240">
        <v>251614482</v>
      </c>
      <c r="P1240">
        <v>54149</v>
      </c>
      <c r="Q1240" t="s">
        <v>2523</v>
      </c>
    </row>
    <row r="1241" spans="1:17" x14ac:dyDescent="0.3">
      <c r="A1241" t="s">
        <v>17</v>
      </c>
      <c r="B1241" t="str">
        <f>"603289"</f>
        <v>603289</v>
      </c>
      <c r="C1241" t="s">
        <v>2524</v>
      </c>
      <c r="D1241" t="s">
        <v>78</v>
      </c>
      <c r="F1241">
        <v>50455657</v>
      </c>
      <c r="G1241">
        <v>27072328</v>
      </c>
      <c r="H1241">
        <v>26625068</v>
      </c>
      <c r="I1241">
        <v>-40418453</v>
      </c>
      <c r="J1241">
        <v>40667599</v>
      </c>
      <c r="K1241">
        <v>58430104</v>
      </c>
      <c r="P1241">
        <v>115</v>
      </c>
      <c r="Q1241" t="s">
        <v>2525</v>
      </c>
    </row>
    <row r="1242" spans="1:17" x14ac:dyDescent="0.3">
      <c r="A1242" t="s">
        <v>17</v>
      </c>
      <c r="B1242" t="str">
        <f>"603290"</f>
        <v>603290</v>
      </c>
      <c r="C1242" t="s">
        <v>2526</v>
      </c>
      <c r="D1242" t="s">
        <v>150</v>
      </c>
      <c r="F1242">
        <v>-89389230</v>
      </c>
      <c r="G1242">
        <v>-211538807</v>
      </c>
      <c r="H1242">
        <v>-91696398</v>
      </c>
      <c r="P1242">
        <v>637</v>
      </c>
      <c r="Q1242" t="s">
        <v>2527</v>
      </c>
    </row>
    <row r="1243" spans="1:17" x14ac:dyDescent="0.3">
      <c r="A1243" t="s">
        <v>17</v>
      </c>
      <c r="B1243" t="str">
        <f>"603297"</f>
        <v>603297</v>
      </c>
      <c r="C1243" t="s">
        <v>2528</v>
      </c>
      <c r="D1243" t="s">
        <v>150</v>
      </c>
      <c r="F1243">
        <v>142823414</v>
      </c>
      <c r="G1243">
        <v>45023209</v>
      </c>
      <c r="H1243">
        <v>31819084</v>
      </c>
      <c r="I1243">
        <v>28846797</v>
      </c>
      <c r="J1243">
        <v>46320424</v>
      </c>
      <c r="P1243">
        <v>238</v>
      </c>
      <c r="Q1243" t="s">
        <v>2529</v>
      </c>
    </row>
    <row r="1244" spans="1:17" x14ac:dyDescent="0.3">
      <c r="A1244" t="s">
        <v>17</v>
      </c>
      <c r="B1244" t="str">
        <f>"603298"</f>
        <v>603298</v>
      </c>
      <c r="C1244" t="s">
        <v>2530</v>
      </c>
      <c r="D1244" t="s">
        <v>78</v>
      </c>
      <c r="F1244">
        <v>-14140507</v>
      </c>
      <c r="G1244">
        <v>979182789</v>
      </c>
      <c r="H1244">
        <v>564044365</v>
      </c>
      <c r="I1244">
        <v>-109596560</v>
      </c>
      <c r="J1244">
        <v>421950524</v>
      </c>
      <c r="K1244">
        <v>204115424</v>
      </c>
      <c r="L1244">
        <v>329326300</v>
      </c>
      <c r="P1244">
        <v>451</v>
      </c>
      <c r="Q1244" t="s">
        <v>2531</v>
      </c>
    </row>
    <row r="1245" spans="1:17" x14ac:dyDescent="0.3">
      <c r="A1245" t="s">
        <v>17</v>
      </c>
      <c r="B1245" t="str">
        <f>"603299"</f>
        <v>603299</v>
      </c>
      <c r="C1245" t="s">
        <v>2532</v>
      </c>
      <c r="D1245" t="s">
        <v>133</v>
      </c>
      <c r="F1245">
        <v>258299414</v>
      </c>
      <c r="G1245">
        <v>-50977126</v>
      </c>
      <c r="H1245">
        <v>326429932</v>
      </c>
      <c r="I1245">
        <v>-13040063</v>
      </c>
      <c r="J1245">
        <v>119221177</v>
      </c>
      <c r="K1245">
        <v>197188886</v>
      </c>
      <c r="L1245">
        <v>189525509</v>
      </c>
      <c r="P1245">
        <v>139</v>
      </c>
      <c r="Q1245" t="s">
        <v>2533</v>
      </c>
    </row>
    <row r="1246" spans="1:17" x14ac:dyDescent="0.3">
      <c r="A1246" t="s">
        <v>17</v>
      </c>
      <c r="B1246" t="str">
        <f>"603300"</f>
        <v>603300</v>
      </c>
      <c r="C1246" t="s">
        <v>2534</v>
      </c>
      <c r="D1246" t="s">
        <v>75</v>
      </c>
      <c r="F1246">
        <v>252990826</v>
      </c>
      <c r="G1246">
        <v>-793416894</v>
      </c>
      <c r="H1246">
        <v>534746215</v>
      </c>
      <c r="I1246">
        <v>-263262926</v>
      </c>
      <c r="J1246">
        <v>-606219070</v>
      </c>
      <c r="K1246">
        <v>-1670603611</v>
      </c>
      <c r="L1246">
        <v>-4323013</v>
      </c>
      <c r="M1246">
        <v>22001830</v>
      </c>
      <c r="P1246">
        <v>124</v>
      </c>
      <c r="Q1246" t="s">
        <v>2535</v>
      </c>
    </row>
    <row r="1247" spans="1:17" x14ac:dyDescent="0.3">
      <c r="A1247" t="s">
        <v>17</v>
      </c>
      <c r="B1247" t="str">
        <f>"603301"</f>
        <v>603301</v>
      </c>
      <c r="C1247" t="s">
        <v>2536</v>
      </c>
      <c r="D1247" t="s">
        <v>113</v>
      </c>
      <c r="F1247">
        <v>106461361</v>
      </c>
      <c r="G1247">
        <v>2049425484</v>
      </c>
      <c r="H1247">
        <v>-37728985</v>
      </c>
      <c r="I1247">
        <v>-132265034</v>
      </c>
      <c r="J1247">
        <v>-13055440</v>
      </c>
      <c r="P1247">
        <v>1533</v>
      </c>
      <c r="Q1247" t="s">
        <v>2537</v>
      </c>
    </row>
    <row r="1248" spans="1:17" x14ac:dyDescent="0.3">
      <c r="A1248" t="s">
        <v>17</v>
      </c>
      <c r="B1248" t="str">
        <f>"603302"</f>
        <v>603302</v>
      </c>
      <c r="C1248" t="s">
        <v>2538</v>
      </c>
      <c r="J1248">
        <v>-2593569</v>
      </c>
      <c r="K1248">
        <v>-6775029</v>
      </c>
      <c r="P1248">
        <v>19</v>
      </c>
      <c r="Q1248" t="s">
        <v>2539</v>
      </c>
    </row>
    <row r="1249" spans="1:17" x14ac:dyDescent="0.3">
      <c r="A1249" t="s">
        <v>17</v>
      </c>
      <c r="B1249" t="str">
        <f>"603303"</f>
        <v>603303</v>
      </c>
      <c r="C1249" t="s">
        <v>2540</v>
      </c>
      <c r="D1249" t="s">
        <v>126</v>
      </c>
      <c r="F1249">
        <v>-80374564</v>
      </c>
      <c r="G1249">
        <v>151920790</v>
      </c>
      <c r="H1249">
        <v>150745403</v>
      </c>
      <c r="I1249">
        <v>-177371232</v>
      </c>
      <c r="J1249">
        <v>-153481628</v>
      </c>
      <c r="K1249">
        <v>65738225</v>
      </c>
      <c r="P1249">
        <v>181</v>
      </c>
      <c r="Q1249" t="s">
        <v>2541</v>
      </c>
    </row>
    <row r="1250" spans="1:17" x14ac:dyDescent="0.3">
      <c r="A1250" t="s">
        <v>17</v>
      </c>
      <c r="B1250" t="str">
        <f>"603305"</f>
        <v>603305</v>
      </c>
      <c r="C1250" t="s">
        <v>2542</v>
      </c>
      <c r="D1250" t="s">
        <v>27</v>
      </c>
      <c r="F1250">
        <v>-766702676</v>
      </c>
      <c r="G1250">
        <v>-113627203</v>
      </c>
      <c r="H1250">
        <v>-284378044</v>
      </c>
      <c r="I1250">
        <v>-61694477</v>
      </c>
      <c r="J1250">
        <v>-121612211</v>
      </c>
      <c r="K1250">
        <v>72924473</v>
      </c>
      <c r="P1250">
        <v>507</v>
      </c>
      <c r="Q1250" t="s">
        <v>2543</v>
      </c>
    </row>
    <row r="1251" spans="1:17" x14ac:dyDescent="0.3">
      <c r="A1251" t="s">
        <v>17</v>
      </c>
      <c r="B1251" t="str">
        <f>"603306"</f>
        <v>603306</v>
      </c>
      <c r="C1251" t="s">
        <v>2544</v>
      </c>
      <c r="D1251" t="s">
        <v>27</v>
      </c>
      <c r="F1251">
        <v>26040219</v>
      </c>
      <c r="G1251">
        <v>115893224</v>
      </c>
      <c r="H1251">
        <v>210358826</v>
      </c>
      <c r="I1251">
        <v>128585187</v>
      </c>
      <c r="J1251">
        <v>181501784</v>
      </c>
      <c r="K1251">
        <v>112055191</v>
      </c>
      <c r="L1251">
        <v>63626228</v>
      </c>
      <c r="M1251">
        <v>30452806</v>
      </c>
      <c r="N1251">
        <v>32593907</v>
      </c>
      <c r="P1251">
        <v>631</v>
      </c>
      <c r="Q1251" t="s">
        <v>2545</v>
      </c>
    </row>
    <row r="1252" spans="1:17" x14ac:dyDescent="0.3">
      <c r="A1252" t="s">
        <v>17</v>
      </c>
      <c r="B1252" t="str">
        <f>"603308"</f>
        <v>603308</v>
      </c>
      <c r="C1252" t="s">
        <v>2546</v>
      </c>
      <c r="D1252" t="s">
        <v>78</v>
      </c>
      <c r="F1252">
        <v>-661458617</v>
      </c>
      <c r="G1252">
        <v>-281976095</v>
      </c>
      <c r="H1252">
        <v>-18416990</v>
      </c>
      <c r="I1252">
        <v>-110000972</v>
      </c>
      <c r="J1252">
        <v>-63540291</v>
      </c>
      <c r="K1252">
        <v>-40119017</v>
      </c>
      <c r="L1252">
        <v>-144460641</v>
      </c>
      <c r="M1252">
        <v>-61884392</v>
      </c>
      <c r="N1252">
        <v>65100222</v>
      </c>
      <c r="P1252">
        <v>233</v>
      </c>
      <c r="Q1252" t="s">
        <v>2547</v>
      </c>
    </row>
    <row r="1253" spans="1:17" x14ac:dyDescent="0.3">
      <c r="A1253" t="s">
        <v>17</v>
      </c>
      <c r="B1253" t="str">
        <f>"603309"</f>
        <v>603309</v>
      </c>
      <c r="C1253" t="s">
        <v>2548</v>
      </c>
      <c r="D1253" t="s">
        <v>113</v>
      </c>
      <c r="F1253">
        <v>20024904</v>
      </c>
      <c r="G1253">
        <v>96483736</v>
      </c>
      <c r="H1253">
        <v>44301195</v>
      </c>
      <c r="I1253">
        <v>-21687738</v>
      </c>
      <c r="J1253">
        <v>-7329459</v>
      </c>
      <c r="K1253">
        <v>-12375595</v>
      </c>
      <c r="L1253">
        <v>10462613</v>
      </c>
      <c r="M1253">
        <v>28182058</v>
      </c>
      <c r="P1253">
        <v>148</v>
      </c>
      <c r="Q1253" t="s">
        <v>2549</v>
      </c>
    </row>
    <row r="1254" spans="1:17" x14ac:dyDescent="0.3">
      <c r="A1254" t="s">
        <v>17</v>
      </c>
      <c r="B1254" t="str">
        <f>"603311"</f>
        <v>603311</v>
      </c>
      <c r="C1254" t="s">
        <v>2550</v>
      </c>
      <c r="D1254" t="s">
        <v>126</v>
      </c>
      <c r="F1254">
        <v>19169742</v>
      </c>
      <c r="G1254">
        <v>61603584</v>
      </c>
      <c r="H1254">
        <v>25782852</v>
      </c>
      <c r="I1254">
        <v>-13784887</v>
      </c>
      <c r="J1254">
        <v>-4441672</v>
      </c>
      <c r="K1254">
        <v>57612562</v>
      </c>
      <c r="L1254">
        <v>11122437</v>
      </c>
      <c r="M1254">
        <v>50620879</v>
      </c>
      <c r="P1254">
        <v>96</v>
      </c>
      <c r="Q1254" t="s">
        <v>2551</v>
      </c>
    </row>
    <row r="1255" spans="1:17" x14ac:dyDescent="0.3">
      <c r="A1255" t="s">
        <v>17</v>
      </c>
      <c r="B1255" t="str">
        <f>"603313"</f>
        <v>603313</v>
      </c>
      <c r="C1255" t="s">
        <v>2552</v>
      </c>
      <c r="D1255" t="s">
        <v>161</v>
      </c>
      <c r="F1255">
        <v>-738566477</v>
      </c>
      <c r="G1255">
        <v>26662048</v>
      </c>
      <c r="H1255">
        <v>-394805875</v>
      </c>
      <c r="I1255">
        <v>-159308459</v>
      </c>
      <c r="J1255">
        <v>-94289362</v>
      </c>
      <c r="K1255">
        <v>44432398</v>
      </c>
      <c r="L1255">
        <v>-21761115</v>
      </c>
      <c r="P1255">
        <v>580</v>
      </c>
      <c r="Q1255" t="s">
        <v>2553</v>
      </c>
    </row>
    <row r="1256" spans="1:17" x14ac:dyDescent="0.3">
      <c r="A1256" t="s">
        <v>17</v>
      </c>
      <c r="B1256" t="str">
        <f>"603315"</f>
        <v>603315</v>
      </c>
      <c r="C1256" t="s">
        <v>2554</v>
      </c>
      <c r="D1256" t="s">
        <v>78</v>
      </c>
      <c r="F1256">
        <v>-163286753</v>
      </c>
      <c r="G1256">
        <v>-24890669</v>
      </c>
      <c r="H1256">
        <v>2501750</v>
      </c>
      <c r="I1256">
        <v>-93886013</v>
      </c>
      <c r="J1256">
        <v>-74975692</v>
      </c>
      <c r="K1256">
        <v>-42853480</v>
      </c>
      <c r="L1256">
        <v>-12364055</v>
      </c>
      <c r="M1256">
        <v>-16335177</v>
      </c>
      <c r="P1256">
        <v>57</v>
      </c>
      <c r="Q1256" t="s">
        <v>2555</v>
      </c>
    </row>
    <row r="1257" spans="1:17" x14ac:dyDescent="0.3">
      <c r="A1257" t="s">
        <v>17</v>
      </c>
      <c r="B1257" t="str">
        <f>"603316"</f>
        <v>603316</v>
      </c>
      <c r="C1257" t="s">
        <v>2556</v>
      </c>
      <c r="D1257" t="s">
        <v>95</v>
      </c>
      <c r="F1257">
        <v>-249576629</v>
      </c>
      <c r="G1257">
        <v>-300086654</v>
      </c>
      <c r="H1257">
        <v>-98418695</v>
      </c>
      <c r="I1257">
        <v>-57170624</v>
      </c>
      <c r="J1257">
        <v>-120647317</v>
      </c>
      <c r="K1257">
        <v>23241985</v>
      </c>
      <c r="P1257">
        <v>59</v>
      </c>
      <c r="Q1257" t="s">
        <v>2557</v>
      </c>
    </row>
    <row r="1258" spans="1:17" x14ac:dyDescent="0.3">
      <c r="A1258" t="s">
        <v>17</v>
      </c>
      <c r="B1258" t="str">
        <f>"603317"</f>
        <v>603317</v>
      </c>
      <c r="C1258" t="s">
        <v>2558</v>
      </c>
      <c r="D1258" t="s">
        <v>123</v>
      </c>
      <c r="F1258">
        <v>-288759238</v>
      </c>
      <c r="G1258">
        <v>265832969</v>
      </c>
      <c r="H1258">
        <v>252448203</v>
      </c>
      <c r="I1258">
        <v>153478723</v>
      </c>
      <c r="P1258">
        <v>1436</v>
      </c>
      <c r="Q1258" t="s">
        <v>2559</v>
      </c>
    </row>
    <row r="1259" spans="1:17" x14ac:dyDescent="0.3">
      <c r="A1259" t="s">
        <v>17</v>
      </c>
      <c r="B1259" t="str">
        <f>"603318"</f>
        <v>603318</v>
      </c>
      <c r="C1259" t="s">
        <v>2560</v>
      </c>
      <c r="D1259" t="s">
        <v>41</v>
      </c>
      <c r="F1259">
        <v>92519953</v>
      </c>
      <c r="G1259">
        <v>23194418</v>
      </c>
      <c r="H1259">
        <v>-44673353</v>
      </c>
      <c r="I1259">
        <v>-208676687</v>
      </c>
      <c r="J1259">
        <v>-94995685</v>
      </c>
      <c r="K1259">
        <v>-53825319</v>
      </c>
      <c r="L1259">
        <v>-236113215</v>
      </c>
      <c r="M1259">
        <v>-120452637</v>
      </c>
      <c r="P1259">
        <v>63</v>
      </c>
      <c r="Q1259" t="s">
        <v>2561</v>
      </c>
    </row>
    <row r="1260" spans="1:17" x14ac:dyDescent="0.3">
      <c r="A1260" t="s">
        <v>17</v>
      </c>
      <c r="B1260" t="str">
        <f>"603319"</f>
        <v>603319</v>
      </c>
      <c r="C1260" t="s">
        <v>2562</v>
      </c>
      <c r="D1260" t="s">
        <v>27</v>
      </c>
      <c r="F1260">
        <v>-107592562</v>
      </c>
      <c r="G1260">
        <v>-12253327</v>
      </c>
      <c r="H1260">
        <v>-54629783</v>
      </c>
      <c r="I1260">
        <v>-97843423</v>
      </c>
      <c r="J1260">
        <v>-102471557</v>
      </c>
      <c r="K1260">
        <v>8993147</v>
      </c>
      <c r="L1260">
        <v>-17997532</v>
      </c>
      <c r="P1260">
        <v>172</v>
      </c>
      <c r="Q1260" t="s">
        <v>2563</v>
      </c>
    </row>
    <row r="1261" spans="1:17" x14ac:dyDescent="0.3">
      <c r="A1261" t="s">
        <v>17</v>
      </c>
      <c r="B1261" t="str">
        <f>"603320"</f>
        <v>603320</v>
      </c>
      <c r="C1261" t="s">
        <v>2564</v>
      </c>
      <c r="D1261" t="s">
        <v>188</v>
      </c>
      <c r="F1261">
        <v>-68112489</v>
      </c>
      <c r="G1261">
        <v>6963624</v>
      </c>
      <c r="H1261">
        <v>-2182905</v>
      </c>
      <c r="I1261">
        <v>-13839560</v>
      </c>
      <c r="J1261">
        <v>23378353</v>
      </c>
      <c r="K1261">
        <v>-2351708</v>
      </c>
      <c r="P1261">
        <v>94</v>
      </c>
      <c r="Q1261" t="s">
        <v>2565</v>
      </c>
    </row>
    <row r="1262" spans="1:17" x14ac:dyDescent="0.3">
      <c r="A1262" t="s">
        <v>17</v>
      </c>
      <c r="B1262" t="str">
        <f>"603321"</f>
        <v>603321</v>
      </c>
      <c r="C1262" t="s">
        <v>2566</v>
      </c>
      <c r="D1262" t="s">
        <v>78</v>
      </c>
      <c r="F1262">
        <v>-30913583</v>
      </c>
      <c r="G1262">
        <v>-35487134</v>
      </c>
      <c r="H1262">
        <v>-8327624</v>
      </c>
      <c r="I1262">
        <v>2236339</v>
      </c>
      <c r="J1262">
        <v>-24495416</v>
      </c>
      <c r="K1262">
        <v>33160042</v>
      </c>
      <c r="P1262">
        <v>59</v>
      </c>
      <c r="Q1262" t="s">
        <v>2567</v>
      </c>
    </row>
    <row r="1263" spans="1:17" x14ac:dyDescent="0.3">
      <c r="A1263" t="s">
        <v>17</v>
      </c>
      <c r="B1263" t="str">
        <f>"603322"</f>
        <v>603322</v>
      </c>
      <c r="C1263" t="s">
        <v>2568</v>
      </c>
      <c r="D1263" t="s">
        <v>100</v>
      </c>
      <c r="F1263">
        <v>-253954092</v>
      </c>
      <c r="G1263">
        <v>-13073197</v>
      </c>
      <c r="H1263">
        <v>-226030537</v>
      </c>
      <c r="I1263">
        <v>-140669091</v>
      </c>
      <c r="J1263">
        <v>-153938355</v>
      </c>
      <c r="K1263">
        <v>-175878409</v>
      </c>
      <c r="L1263">
        <v>-59970750</v>
      </c>
      <c r="P1263">
        <v>184</v>
      </c>
      <c r="Q1263" t="s">
        <v>2569</v>
      </c>
    </row>
    <row r="1264" spans="1:17" x14ac:dyDescent="0.3">
      <c r="A1264" t="s">
        <v>17</v>
      </c>
      <c r="B1264" t="str">
        <f>"603323"</f>
        <v>603323</v>
      </c>
      <c r="C1264" t="s">
        <v>2570</v>
      </c>
      <c r="D1264" t="s">
        <v>19</v>
      </c>
      <c r="F1264">
        <v>-3480487000</v>
      </c>
      <c r="G1264">
        <v>8923059000</v>
      </c>
      <c r="H1264">
        <v>-635578000</v>
      </c>
      <c r="I1264">
        <v>-845365000</v>
      </c>
      <c r="J1264">
        <v>-747162000</v>
      </c>
      <c r="K1264">
        <v>1685477000</v>
      </c>
      <c r="L1264">
        <v>2405624000</v>
      </c>
      <c r="P1264">
        <v>498</v>
      </c>
      <c r="Q1264" t="s">
        <v>2571</v>
      </c>
    </row>
    <row r="1265" spans="1:17" x14ac:dyDescent="0.3">
      <c r="A1265" t="s">
        <v>17</v>
      </c>
      <c r="B1265" t="str">
        <f>"603324"</f>
        <v>603324</v>
      </c>
      <c r="C1265" t="s">
        <v>2572</v>
      </c>
      <c r="D1265" t="s">
        <v>33</v>
      </c>
      <c r="F1265">
        <v>-234774421</v>
      </c>
      <c r="P1265">
        <v>29</v>
      </c>
      <c r="Q1265" t="s">
        <v>2573</v>
      </c>
    </row>
    <row r="1266" spans="1:17" x14ac:dyDescent="0.3">
      <c r="A1266" t="s">
        <v>17</v>
      </c>
      <c r="B1266" t="str">
        <f>"603326"</f>
        <v>603326</v>
      </c>
      <c r="C1266" t="s">
        <v>2574</v>
      </c>
      <c r="D1266" t="s">
        <v>161</v>
      </c>
      <c r="F1266">
        <v>-338528836</v>
      </c>
      <c r="G1266">
        <v>-102242435</v>
      </c>
      <c r="H1266">
        <v>-99920026</v>
      </c>
      <c r="I1266">
        <v>-157919373</v>
      </c>
      <c r="J1266">
        <v>-41679239</v>
      </c>
      <c r="K1266">
        <v>32825290</v>
      </c>
      <c r="P1266">
        <v>247</v>
      </c>
      <c r="Q1266" t="s">
        <v>2575</v>
      </c>
    </row>
    <row r="1267" spans="1:17" x14ac:dyDescent="0.3">
      <c r="A1267" t="s">
        <v>17</v>
      </c>
      <c r="B1267" t="str">
        <f>"603327"</f>
        <v>603327</v>
      </c>
      <c r="C1267" t="s">
        <v>2576</v>
      </c>
      <c r="D1267" t="s">
        <v>150</v>
      </c>
      <c r="F1267">
        <v>97086624</v>
      </c>
      <c r="G1267">
        <v>-29442171</v>
      </c>
      <c r="H1267">
        <v>69168967</v>
      </c>
      <c r="I1267">
        <v>51075514</v>
      </c>
      <c r="P1267">
        <v>349</v>
      </c>
      <c r="Q1267" t="s">
        <v>2577</v>
      </c>
    </row>
    <row r="1268" spans="1:17" x14ac:dyDescent="0.3">
      <c r="A1268" t="s">
        <v>17</v>
      </c>
      <c r="B1268" t="str">
        <f>"603328"</f>
        <v>603328</v>
      </c>
      <c r="C1268" t="s">
        <v>2578</v>
      </c>
      <c r="D1268" t="s">
        <v>150</v>
      </c>
      <c r="F1268">
        <v>-155510527</v>
      </c>
      <c r="G1268">
        <v>228081888</v>
      </c>
      <c r="H1268">
        <v>427378219</v>
      </c>
      <c r="I1268">
        <v>388880765</v>
      </c>
      <c r="J1268">
        <v>321368577</v>
      </c>
      <c r="K1268">
        <v>321746236</v>
      </c>
      <c r="L1268">
        <v>260976691</v>
      </c>
      <c r="M1268">
        <v>138479298</v>
      </c>
      <c r="N1268">
        <v>273202221</v>
      </c>
      <c r="P1268">
        <v>590</v>
      </c>
      <c r="Q1268" t="s">
        <v>2579</v>
      </c>
    </row>
    <row r="1269" spans="1:17" x14ac:dyDescent="0.3">
      <c r="A1269" t="s">
        <v>17</v>
      </c>
      <c r="B1269" t="str">
        <f>"603329"</f>
        <v>603329</v>
      </c>
      <c r="C1269" t="s">
        <v>2580</v>
      </c>
      <c r="D1269" t="s">
        <v>22</v>
      </c>
      <c r="F1269">
        <v>-322778858</v>
      </c>
      <c r="G1269">
        <v>-262899469</v>
      </c>
      <c r="H1269">
        <v>-117487300</v>
      </c>
      <c r="I1269">
        <v>-225941837</v>
      </c>
      <c r="J1269">
        <v>-91921780</v>
      </c>
      <c r="K1269">
        <v>-8924600</v>
      </c>
      <c r="P1269">
        <v>62</v>
      </c>
      <c r="Q1269" t="s">
        <v>2581</v>
      </c>
    </row>
    <row r="1270" spans="1:17" x14ac:dyDescent="0.3">
      <c r="A1270" t="s">
        <v>17</v>
      </c>
      <c r="B1270" t="str">
        <f>"603330"</f>
        <v>603330</v>
      </c>
      <c r="C1270" t="s">
        <v>2582</v>
      </c>
      <c r="D1270" t="s">
        <v>133</v>
      </c>
      <c r="F1270">
        <v>-61652295</v>
      </c>
      <c r="G1270">
        <v>-41693207</v>
      </c>
      <c r="H1270">
        <v>-28583736</v>
      </c>
      <c r="I1270">
        <v>-69811034</v>
      </c>
      <c r="J1270">
        <v>-139511441</v>
      </c>
      <c r="K1270">
        <v>14001894</v>
      </c>
      <c r="L1270">
        <v>29809091</v>
      </c>
      <c r="P1270">
        <v>136</v>
      </c>
      <c r="Q1270" t="s">
        <v>2583</v>
      </c>
    </row>
    <row r="1271" spans="1:17" x14ac:dyDescent="0.3">
      <c r="A1271" t="s">
        <v>17</v>
      </c>
      <c r="B1271" t="str">
        <f>"603331"</f>
        <v>603331</v>
      </c>
      <c r="C1271" t="s">
        <v>2584</v>
      </c>
      <c r="D1271" t="s">
        <v>78</v>
      </c>
      <c r="F1271">
        <v>-160957816</v>
      </c>
      <c r="G1271">
        <v>-231050878</v>
      </c>
      <c r="H1271">
        <v>-146916576</v>
      </c>
      <c r="I1271">
        <v>-48252771</v>
      </c>
      <c r="J1271">
        <v>-29756426</v>
      </c>
      <c r="K1271">
        <v>36402873</v>
      </c>
      <c r="P1271">
        <v>83</v>
      </c>
      <c r="Q1271" t="s">
        <v>2585</v>
      </c>
    </row>
    <row r="1272" spans="1:17" x14ac:dyDescent="0.3">
      <c r="A1272" t="s">
        <v>17</v>
      </c>
      <c r="B1272" t="str">
        <f>"603332"</f>
        <v>603332</v>
      </c>
      <c r="C1272" t="s">
        <v>2586</v>
      </c>
      <c r="D1272" t="s">
        <v>133</v>
      </c>
      <c r="F1272">
        <v>-147227382</v>
      </c>
      <c r="G1272">
        <v>43780755</v>
      </c>
      <c r="H1272">
        <v>214832318</v>
      </c>
      <c r="I1272">
        <v>-38900400</v>
      </c>
      <c r="J1272">
        <v>104858200</v>
      </c>
      <c r="P1272">
        <v>59</v>
      </c>
      <c r="Q1272" t="s">
        <v>2587</v>
      </c>
    </row>
    <row r="1273" spans="1:17" x14ac:dyDescent="0.3">
      <c r="A1273" t="s">
        <v>17</v>
      </c>
      <c r="B1273" t="str">
        <f>"603333"</f>
        <v>603333</v>
      </c>
      <c r="C1273" t="s">
        <v>2588</v>
      </c>
      <c r="D1273" t="s">
        <v>188</v>
      </c>
      <c r="F1273">
        <v>-361683204</v>
      </c>
      <c r="G1273">
        <v>174725322</v>
      </c>
      <c r="H1273">
        <v>-105691962</v>
      </c>
      <c r="I1273">
        <v>-212744273</v>
      </c>
      <c r="J1273">
        <v>-150426373</v>
      </c>
      <c r="K1273">
        <v>-35846119</v>
      </c>
      <c r="L1273">
        <v>29880238</v>
      </c>
      <c r="M1273">
        <v>36697062</v>
      </c>
      <c r="N1273">
        <v>-294605462</v>
      </c>
      <c r="O1273">
        <v>-313084223</v>
      </c>
      <c r="P1273">
        <v>134</v>
      </c>
      <c r="Q1273" t="s">
        <v>2589</v>
      </c>
    </row>
    <row r="1274" spans="1:17" x14ac:dyDescent="0.3">
      <c r="A1274" t="s">
        <v>17</v>
      </c>
      <c r="B1274" t="str">
        <f>"603335"</f>
        <v>603335</v>
      </c>
      <c r="C1274" t="s">
        <v>2590</v>
      </c>
      <c r="D1274" t="s">
        <v>27</v>
      </c>
      <c r="F1274">
        <v>-99023719</v>
      </c>
      <c r="G1274">
        <v>102216920</v>
      </c>
      <c r="H1274">
        <v>90850173</v>
      </c>
      <c r="I1274">
        <v>33951020</v>
      </c>
      <c r="J1274">
        <v>43164521</v>
      </c>
      <c r="K1274">
        <v>19228406</v>
      </c>
      <c r="P1274">
        <v>66</v>
      </c>
      <c r="Q1274" t="s">
        <v>2591</v>
      </c>
    </row>
    <row r="1275" spans="1:17" x14ac:dyDescent="0.3">
      <c r="A1275" t="s">
        <v>17</v>
      </c>
      <c r="B1275" t="str">
        <f>"603336"</f>
        <v>603336</v>
      </c>
      <c r="C1275" t="s">
        <v>2592</v>
      </c>
      <c r="D1275" t="s">
        <v>205</v>
      </c>
      <c r="F1275">
        <v>-108461787</v>
      </c>
      <c r="G1275">
        <v>-157413659</v>
      </c>
      <c r="H1275">
        <v>-7719540</v>
      </c>
      <c r="I1275">
        <v>-66382240</v>
      </c>
      <c r="J1275">
        <v>89337571</v>
      </c>
      <c r="K1275">
        <v>2954572</v>
      </c>
      <c r="L1275">
        <v>-26929460</v>
      </c>
      <c r="P1275">
        <v>179</v>
      </c>
      <c r="Q1275" t="s">
        <v>2593</v>
      </c>
    </row>
    <row r="1276" spans="1:17" x14ac:dyDescent="0.3">
      <c r="A1276" t="s">
        <v>17</v>
      </c>
      <c r="B1276" t="str">
        <f>"603337"</f>
        <v>603337</v>
      </c>
      <c r="C1276" t="s">
        <v>2594</v>
      </c>
      <c r="D1276" t="s">
        <v>78</v>
      </c>
      <c r="F1276">
        <v>-875415472</v>
      </c>
      <c r="G1276">
        <v>624301806</v>
      </c>
      <c r="H1276">
        <v>-7409086</v>
      </c>
      <c r="I1276">
        <v>-397080030</v>
      </c>
      <c r="J1276">
        <v>276618230</v>
      </c>
      <c r="K1276">
        <v>155738693</v>
      </c>
      <c r="L1276">
        <v>97538195</v>
      </c>
      <c r="P1276">
        <v>370</v>
      </c>
      <c r="Q1276" t="s">
        <v>2595</v>
      </c>
    </row>
    <row r="1277" spans="1:17" x14ac:dyDescent="0.3">
      <c r="A1277" t="s">
        <v>17</v>
      </c>
      <c r="B1277" t="str">
        <f>"603338"</f>
        <v>603338</v>
      </c>
      <c r="C1277" t="s">
        <v>2596</v>
      </c>
      <c r="D1277" t="s">
        <v>78</v>
      </c>
      <c r="F1277">
        <v>-246212949</v>
      </c>
      <c r="G1277">
        <v>735685111</v>
      </c>
      <c r="H1277">
        <v>162593927</v>
      </c>
      <c r="I1277">
        <v>285254685</v>
      </c>
      <c r="J1277">
        <v>33663449</v>
      </c>
      <c r="K1277">
        <v>-129816275</v>
      </c>
      <c r="L1277">
        <v>29660047</v>
      </c>
      <c r="M1277">
        <v>-162112</v>
      </c>
      <c r="P1277">
        <v>12810</v>
      </c>
      <c r="Q1277" t="s">
        <v>2597</v>
      </c>
    </row>
    <row r="1278" spans="1:17" x14ac:dyDescent="0.3">
      <c r="A1278" t="s">
        <v>17</v>
      </c>
      <c r="B1278" t="str">
        <f>"603339"</f>
        <v>603339</v>
      </c>
      <c r="C1278" t="s">
        <v>2598</v>
      </c>
      <c r="D1278" t="s">
        <v>78</v>
      </c>
      <c r="F1278">
        <v>-276462044</v>
      </c>
      <c r="G1278">
        <v>78936713</v>
      </c>
      <c r="H1278">
        <v>27029508</v>
      </c>
      <c r="I1278">
        <v>-340936770</v>
      </c>
      <c r="J1278">
        <v>94255186</v>
      </c>
      <c r="K1278">
        <v>48084669</v>
      </c>
      <c r="L1278">
        <v>71828214</v>
      </c>
      <c r="P1278">
        <v>163</v>
      </c>
      <c r="Q1278" t="s">
        <v>2599</v>
      </c>
    </row>
    <row r="1279" spans="1:17" x14ac:dyDescent="0.3">
      <c r="A1279" t="s">
        <v>17</v>
      </c>
      <c r="B1279" t="str">
        <f>"603345"</f>
        <v>603345</v>
      </c>
      <c r="C1279" t="s">
        <v>2600</v>
      </c>
      <c r="D1279" t="s">
        <v>123</v>
      </c>
      <c r="F1279">
        <v>-340342013</v>
      </c>
      <c r="G1279">
        <v>49017444</v>
      </c>
      <c r="H1279">
        <v>-60555372</v>
      </c>
      <c r="I1279">
        <v>-307414332</v>
      </c>
      <c r="J1279">
        <v>-105452096</v>
      </c>
      <c r="K1279">
        <v>-160771175</v>
      </c>
      <c r="L1279">
        <v>-136602479</v>
      </c>
      <c r="P1279">
        <v>1174</v>
      </c>
      <c r="Q1279" t="s">
        <v>2601</v>
      </c>
    </row>
    <row r="1280" spans="1:17" x14ac:dyDescent="0.3">
      <c r="A1280" t="s">
        <v>17</v>
      </c>
      <c r="B1280" t="str">
        <f>"603348"</f>
        <v>603348</v>
      </c>
      <c r="C1280" t="s">
        <v>2602</v>
      </c>
      <c r="D1280" t="s">
        <v>27</v>
      </c>
      <c r="F1280">
        <v>-14332177</v>
      </c>
      <c r="G1280">
        <v>337839904</v>
      </c>
      <c r="H1280">
        <v>-97655338</v>
      </c>
      <c r="I1280">
        <v>-304204933</v>
      </c>
      <c r="J1280">
        <v>-74442017</v>
      </c>
      <c r="P1280">
        <v>193</v>
      </c>
      <c r="Q1280" t="s">
        <v>2603</v>
      </c>
    </row>
    <row r="1281" spans="1:17" x14ac:dyDescent="0.3">
      <c r="A1281" t="s">
        <v>17</v>
      </c>
      <c r="B1281" t="str">
        <f>"603351"</f>
        <v>603351</v>
      </c>
      <c r="C1281" t="s">
        <v>2604</v>
      </c>
      <c r="D1281" t="s">
        <v>113</v>
      </c>
      <c r="F1281">
        <v>-277149106</v>
      </c>
      <c r="G1281">
        <v>-123032830</v>
      </c>
      <c r="H1281">
        <v>6650366</v>
      </c>
      <c r="I1281">
        <v>-5686485</v>
      </c>
      <c r="J1281">
        <v>6645021</v>
      </c>
      <c r="P1281">
        <v>88</v>
      </c>
      <c r="Q1281" t="s">
        <v>2605</v>
      </c>
    </row>
    <row r="1282" spans="1:17" x14ac:dyDescent="0.3">
      <c r="A1282" t="s">
        <v>17</v>
      </c>
      <c r="B1282" t="str">
        <f>"603353"</f>
        <v>603353</v>
      </c>
      <c r="C1282" t="s">
        <v>2606</v>
      </c>
      <c r="D1282" t="s">
        <v>70</v>
      </c>
      <c r="F1282">
        <v>-448193770</v>
      </c>
      <c r="G1282">
        <v>109480057</v>
      </c>
      <c r="H1282">
        <v>57290769</v>
      </c>
      <c r="P1282">
        <v>103</v>
      </c>
      <c r="Q1282" t="s">
        <v>2607</v>
      </c>
    </row>
    <row r="1283" spans="1:17" x14ac:dyDescent="0.3">
      <c r="A1283" t="s">
        <v>17</v>
      </c>
      <c r="B1283" t="str">
        <f>"603355"</f>
        <v>603355</v>
      </c>
      <c r="C1283" t="s">
        <v>2608</v>
      </c>
      <c r="D1283" t="s">
        <v>126</v>
      </c>
      <c r="F1283">
        <v>99765603</v>
      </c>
      <c r="G1283">
        <v>932867858</v>
      </c>
      <c r="H1283">
        <v>737322263</v>
      </c>
      <c r="I1283">
        <v>462083099</v>
      </c>
      <c r="J1283">
        <v>-85198411</v>
      </c>
      <c r="K1283">
        <v>260854352</v>
      </c>
      <c r="L1283">
        <v>267262277</v>
      </c>
      <c r="M1283">
        <v>673766594</v>
      </c>
      <c r="P1283">
        <v>557</v>
      </c>
      <c r="Q1283" t="s">
        <v>2609</v>
      </c>
    </row>
    <row r="1284" spans="1:17" x14ac:dyDescent="0.3">
      <c r="A1284" t="s">
        <v>17</v>
      </c>
      <c r="B1284" t="str">
        <f>"603356"</f>
        <v>603356</v>
      </c>
      <c r="C1284" t="s">
        <v>2610</v>
      </c>
      <c r="D1284" t="s">
        <v>78</v>
      </c>
      <c r="F1284">
        <v>-200148637</v>
      </c>
      <c r="G1284">
        <v>-220249772</v>
      </c>
      <c r="H1284">
        <v>-228159225</v>
      </c>
      <c r="I1284">
        <v>-79548644</v>
      </c>
      <c r="J1284">
        <v>-24229364</v>
      </c>
      <c r="K1284">
        <v>35301100</v>
      </c>
      <c r="P1284">
        <v>65</v>
      </c>
      <c r="Q1284" t="s">
        <v>2611</v>
      </c>
    </row>
    <row r="1285" spans="1:17" x14ac:dyDescent="0.3">
      <c r="A1285" t="s">
        <v>17</v>
      </c>
      <c r="B1285" t="str">
        <f>"603357"</f>
        <v>603357</v>
      </c>
      <c r="C1285" t="s">
        <v>2612</v>
      </c>
      <c r="D1285" t="s">
        <v>95</v>
      </c>
      <c r="F1285">
        <v>-233568009</v>
      </c>
      <c r="G1285">
        <v>128536608</v>
      </c>
      <c r="H1285">
        <v>-224128163</v>
      </c>
      <c r="I1285">
        <v>79747495</v>
      </c>
      <c r="J1285">
        <v>-144100154</v>
      </c>
      <c r="K1285">
        <v>1530187</v>
      </c>
      <c r="P1285">
        <v>361</v>
      </c>
      <c r="Q1285" t="s">
        <v>2613</v>
      </c>
    </row>
    <row r="1286" spans="1:17" x14ac:dyDescent="0.3">
      <c r="A1286" t="s">
        <v>17</v>
      </c>
      <c r="B1286" t="str">
        <f>"603358"</f>
        <v>603358</v>
      </c>
      <c r="C1286" t="s">
        <v>2614</v>
      </c>
      <c r="D1286" t="s">
        <v>27</v>
      </c>
      <c r="F1286">
        <v>6382614</v>
      </c>
      <c r="G1286">
        <v>218464310</v>
      </c>
      <c r="H1286">
        <v>55234755</v>
      </c>
      <c r="I1286">
        <v>-7873246</v>
      </c>
      <c r="J1286">
        <v>-310724760</v>
      </c>
      <c r="K1286">
        <v>132860975</v>
      </c>
      <c r="L1286">
        <v>40724854</v>
      </c>
      <c r="P1286">
        <v>131</v>
      </c>
      <c r="Q1286" t="s">
        <v>2615</v>
      </c>
    </row>
    <row r="1287" spans="1:17" x14ac:dyDescent="0.3">
      <c r="A1287" t="s">
        <v>17</v>
      </c>
      <c r="B1287" t="str">
        <f>"603359"</f>
        <v>603359</v>
      </c>
      <c r="C1287" t="s">
        <v>2616</v>
      </c>
      <c r="D1287" t="s">
        <v>95</v>
      </c>
      <c r="F1287">
        <v>-662600382</v>
      </c>
      <c r="G1287">
        <v>-448728326</v>
      </c>
      <c r="H1287">
        <v>-558437642</v>
      </c>
      <c r="I1287">
        <v>-328267324</v>
      </c>
      <c r="J1287">
        <v>19485906</v>
      </c>
      <c r="K1287">
        <v>104809270</v>
      </c>
      <c r="P1287">
        <v>187</v>
      </c>
      <c r="Q1287" t="s">
        <v>2617</v>
      </c>
    </row>
    <row r="1288" spans="1:17" x14ac:dyDescent="0.3">
      <c r="A1288" t="s">
        <v>17</v>
      </c>
      <c r="B1288" t="str">
        <f>"603360"</f>
        <v>603360</v>
      </c>
      <c r="C1288" t="s">
        <v>2618</v>
      </c>
      <c r="D1288" t="s">
        <v>133</v>
      </c>
      <c r="F1288">
        <v>-57961341</v>
      </c>
      <c r="G1288">
        <v>111970257</v>
      </c>
      <c r="H1288">
        <v>94205085</v>
      </c>
      <c r="I1288">
        <v>70206532</v>
      </c>
      <c r="J1288">
        <v>65887703</v>
      </c>
      <c r="K1288">
        <v>78475272</v>
      </c>
      <c r="L1288">
        <v>46286053</v>
      </c>
      <c r="P1288">
        <v>404</v>
      </c>
      <c r="Q1288" t="s">
        <v>2619</v>
      </c>
    </row>
    <row r="1289" spans="1:17" x14ac:dyDescent="0.3">
      <c r="A1289" t="s">
        <v>17</v>
      </c>
      <c r="B1289" t="str">
        <f>"603363"</f>
        <v>603363</v>
      </c>
      <c r="C1289" t="s">
        <v>2620</v>
      </c>
      <c r="D1289" t="s">
        <v>205</v>
      </c>
      <c r="F1289">
        <v>-1925368091</v>
      </c>
      <c r="G1289">
        <v>-2315765258</v>
      </c>
      <c r="H1289">
        <v>-231118970</v>
      </c>
      <c r="I1289">
        <v>-505310184</v>
      </c>
      <c r="J1289">
        <v>-190102111</v>
      </c>
      <c r="K1289">
        <v>-139209984</v>
      </c>
      <c r="P1289">
        <v>310</v>
      </c>
      <c r="Q1289" t="s">
        <v>2621</v>
      </c>
    </row>
    <row r="1290" spans="1:17" x14ac:dyDescent="0.3">
      <c r="A1290" t="s">
        <v>17</v>
      </c>
      <c r="B1290" t="str">
        <f>"603365"</f>
        <v>603365</v>
      </c>
      <c r="C1290" t="s">
        <v>2622</v>
      </c>
      <c r="D1290" t="s">
        <v>227</v>
      </c>
      <c r="F1290">
        <v>-186222822</v>
      </c>
      <c r="G1290">
        <v>-48596169</v>
      </c>
      <c r="H1290">
        <v>-164405889</v>
      </c>
      <c r="I1290">
        <v>-289823060</v>
      </c>
      <c r="J1290">
        <v>-146193879</v>
      </c>
      <c r="K1290">
        <v>-37563974</v>
      </c>
      <c r="P1290">
        <v>243</v>
      </c>
      <c r="Q1290" t="s">
        <v>2623</v>
      </c>
    </row>
    <row r="1291" spans="1:17" x14ac:dyDescent="0.3">
      <c r="A1291" t="s">
        <v>17</v>
      </c>
      <c r="B1291" t="str">
        <f>"603366"</f>
        <v>603366</v>
      </c>
      <c r="C1291" t="s">
        <v>2624</v>
      </c>
      <c r="D1291" t="s">
        <v>126</v>
      </c>
      <c r="F1291">
        <v>-282499398</v>
      </c>
      <c r="G1291">
        <v>49786223</v>
      </c>
      <c r="H1291">
        <v>-178169</v>
      </c>
      <c r="I1291">
        <v>-314929524</v>
      </c>
      <c r="J1291">
        <v>-410462175</v>
      </c>
      <c r="K1291">
        <v>-199496712</v>
      </c>
      <c r="L1291">
        <v>-164965930</v>
      </c>
      <c r="M1291">
        <v>-399798686</v>
      </c>
      <c r="N1291">
        <v>-481191990</v>
      </c>
      <c r="O1291">
        <v>70826298</v>
      </c>
      <c r="P1291">
        <v>121</v>
      </c>
      <c r="Q1291" t="s">
        <v>2625</v>
      </c>
    </row>
    <row r="1292" spans="1:17" x14ac:dyDescent="0.3">
      <c r="A1292" t="s">
        <v>17</v>
      </c>
      <c r="B1292" t="str">
        <f>"603367"</f>
        <v>603367</v>
      </c>
      <c r="C1292" t="s">
        <v>2626</v>
      </c>
      <c r="D1292" t="s">
        <v>113</v>
      </c>
      <c r="F1292">
        <v>-3166661</v>
      </c>
      <c r="G1292">
        <v>221771311</v>
      </c>
      <c r="H1292">
        <v>277711240</v>
      </c>
      <c r="I1292">
        <v>230162439</v>
      </c>
      <c r="J1292">
        <v>254887314</v>
      </c>
      <c r="K1292">
        <v>159265769</v>
      </c>
      <c r="P1292">
        <v>245</v>
      </c>
      <c r="Q1292" t="s">
        <v>2627</v>
      </c>
    </row>
    <row r="1293" spans="1:17" x14ac:dyDescent="0.3">
      <c r="A1293" t="s">
        <v>17</v>
      </c>
      <c r="B1293" t="str">
        <f>"603368"</f>
        <v>603368</v>
      </c>
      <c r="C1293" t="s">
        <v>2628</v>
      </c>
      <c r="D1293" t="s">
        <v>113</v>
      </c>
      <c r="F1293">
        <v>-1206782518</v>
      </c>
      <c r="G1293">
        <v>-701668636</v>
      </c>
      <c r="H1293">
        <v>-760065766</v>
      </c>
      <c r="I1293">
        <v>-863543045</v>
      </c>
      <c r="J1293">
        <v>-1068768420</v>
      </c>
      <c r="K1293">
        <v>-551632938</v>
      </c>
      <c r="L1293">
        <v>-608811188</v>
      </c>
      <c r="M1293">
        <v>-429744572</v>
      </c>
      <c r="N1293">
        <v>-431376160</v>
      </c>
      <c r="P1293">
        <v>532</v>
      </c>
      <c r="Q1293" t="s">
        <v>2629</v>
      </c>
    </row>
    <row r="1294" spans="1:17" x14ac:dyDescent="0.3">
      <c r="A1294" t="s">
        <v>17</v>
      </c>
      <c r="B1294" t="str">
        <f>"603369"</f>
        <v>603369</v>
      </c>
      <c r="C1294" t="s">
        <v>2630</v>
      </c>
      <c r="D1294" t="s">
        <v>123</v>
      </c>
      <c r="F1294">
        <v>1448117378</v>
      </c>
      <c r="G1294">
        <v>396475095</v>
      </c>
      <c r="H1294">
        <v>443020907</v>
      </c>
      <c r="I1294">
        <v>617832302</v>
      </c>
      <c r="J1294">
        <v>497558817</v>
      </c>
      <c r="K1294">
        <v>515530480</v>
      </c>
      <c r="L1294">
        <v>362400054</v>
      </c>
      <c r="M1294">
        <v>248685156</v>
      </c>
      <c r="N1294">
        <v>270761130</v>
      </c>
      <c r="P1294">
        <v>35443</v>
      </c>
      <c r="Q1294" t="s">
        <v>2631</v>
      </c>
    </row>
    <row r="1295" spans="1:17" x14ac:dyDescent="0.3">
      <c r="A1295" t="s">
        <v>17</v>
      </c>
      <c r="B1295" t="str">
        <f>"603377"</f>
        <v>603377</v>
      </c>
      <c r="C1295" t="s">
        <v>2632</v>
      </c>
      <c r="D1295" t="s">
        <v>110</v>
      </c>
      <c r="F1295">
        <v>96116820</v>
      </c>
      <c r="G1295">
        <v>-74402797</v>
      </c>
      <c r="H1295">
        <v>95001799</v>
      </c>
      <c r="I1295">
        <v>-449437413</v>
      </c>
      <c r="J1295">
        <v>143719456</v>
      </c>
      <c r="K1295">
        <v>179863991</v>
      </c>
      <c r="L1295">
        <v>242206800</v>
      </c>
      <c r="M1295">
        <v>467165100</v>
      </c>
      <c r="P1295">
        <v>171</v>
      </c>
      <c r="Q1295" t="s">
        <v>2633</v>
      </c>
    </row>
    <row r="1296" spans="1:17" x14ac:dyDescent="0.3">
      <c r="A1296" t="s">
        <v>17</v>
      </c>
      <c r="B1296" t="str">
        <f>"603378"</f>
        <v>603378</v>
      </c>
      <c r="C1296" t="s">
        <v>2634</v>
      </c>
      <c r="D1296" t="s">
        <v>350</v>
      </c>
      <c r="F1296">
        <v>-2018034316</v>
      </c>
      <c r="G1296">
        <v>-596325049</v>
      </c>
      <c r="H1296">
        <v>-1317682</v>
      </c>
      <c r="I1296">
        <v>-105533682</v>
      </c>
      <c r="J1296">
        <v>-176165562</v>
      </c>
      <c r="K1296">
        <v>-101933230</v>
      </c>
      <c r="P1296">
        <v>203</v>
      </c>
      <c r="Q1296" t="s">
        <v>2635</v>
      </c>
    </row>
    <row r="1297" spans="1:17" x14ac:dyDescent="0.3">
      <c r="A1297" t="s">
        <v>17</v>
      </c>
      <c r="B1297" t="str">
        <f>"603379"</f>
        <v>603379</v>
      </c>
      <c r="C1297" t="s">
        <v>2636</v>
      </c>
      <c r="D1297" t="s">
        <v>133</v>
      </c>
      <c r="F1297">
        <v>102301209</v>
      </c>
      <c r="G1297">
        <v>380167328</v>
      </c>
      <c r="H1297">
        <v>473548586</v>
      </c>
      <c r="I1297">
        <v>705871085</v>
      </c>
      <c r="P1297">
        <v>141</v>
      </c>
      <c r="Q1297" t="s">
        <v>2637</v>
      </c>
    </row>
    <row r="1298" spans="1:17" x14ac:dyDescent="0.3">
      <c r="A1298" t="s">
        <v>17</v>
      </c>
      <c r="B1298" t="str">
        <f>"603380"</f>
        <v>603380</v>
      </c>
      <c r="C1298" t="s">
        <v>2638</v>
      </c>
      <c r="D1298" t="s">
        <v>150</v>
      </c>
      <c r="F1298">
        <v>-84070246</v>
      </c>
      <c r="G1298">
        <v>31774416</v>
      </c>
      <c r="H1298">
        <v>74691529</v>
      </c>
      <c r="I1298">
        <v>870258</v>
      </c>
      <c r="J1298">
        <v>18386263</v>
      </c>
      <c r="K1298">
        <v>62801900</v>
      </c>
      <c r="P1298">
        <v>212</v>
      </c>
      <c r="Q1298" t="s">
        <v>2639</v>
      </c>
    </row>
    <row r="1299" spans="1:17" x14ac:dyDescent="0.3">
      <c r="A1299" t="s">
        <v>17</v>
      </c>
      <c r="B1299" t="str">
        <f>"603383"</f>
        <v>603383</v>
      </c>
      <c r="C1299" t="s">
        <v>2640</v>
      </c>
      <c r="D1299" t="s">
        <v>212</v>
      </c>
      <c r="F1299">
        <v>-106943312</v>
      </c>
      <c r="G1299">
        <v>-46589786</v>
      </c>
      <c r="H1299">
        <v>-62917956</v>
      </c>
      <c r="I1299">
        <v>-45980935</v>
      </c>
      <c r="J1299">
        <v>-7462780</v>
      </c>
      <c r="K1299">
        <v>-16967322</v>
      </c>
      <c r="P1299">
        <v>192</v>
      </c>
      <c r="Q1299" t="s">
        <v>2641</v>
      </c>
    </row>
    <row r="1300" spans="1:17" x14ac:dyDescent="0.3">
      <c r="A1300" t="s">
        <v>17</v>
      </c>
      <c r="B1300" t="str">
        <f>"603385"</f>
        <v>603385</v>
      </c>
      <c r="C1300" t="s">
        <v>2642</v>
      </c>
      <c r="D1300" t="s">
        <v>161</v>
      </c>
      <c r="F1300">
        <v>-345631249</v>
      </c>
      <c r="G1300">
        <v>361894854</v>
      </c>
      <c r="H1300">
        <v>-17735123</v>
      </c>
      <c r="I1300">
        <v>-270005939</v>
      </c>
      <c r="J1300">
        <v>128690552</v>
      </c>
      <c r="K1300">
        <v>189878879</v>
      </c>
      <c r="P1300">
        <v>193</v>
      </c>
      <c r="Q1300" t="s">
        <v>2643</v>
      </c>
    </row>
    <row r="1301" spans="1:17" x14ac:dyDescent="0.3">
      <c r="A1301" t="s">
        <v>17</v>
      </c>
      <c r="B1301" t="str">
        <f>"603386"</f>
        <v>603386</v>
      </c>
      <c r="C1301" t="s">
        <v>2644</v>
      </c>
      <c r="D1301" t="s">
        <v>150</v>
      </c>
      <c r="F1301">
        <v>81848073</v>
      </c>
      <c r="G1301">
        <v>-15488501</v>
      </c>
      <c r="H1301">
        <v>-87747952</v>
      </c>
      <c r="I1301">
        <v>-84211459</v>
      </c>
      <c r="J1301">
        <v>-6609331</v>
      </c>
      <c r="K1301">
        <v>49658416</v>
      </c>
      <c r="P1301">
        <v>181</v>
      </c>
      <c r="Q1301" t="s">
        <v>2645</v>
      </c>
    </row>
    <row r="1302" spans="1:17" x14ac:dyDescent="0.3">
      <c r="A1302" t="s">
        <v>17</v>
      </c>
      <c r="B1302" t="str">
        <f>"603387"</f>
        <v>603387</v>
      </c>
      <c r="C1302" t="s">
        <v>2646</v>
      </c>
      <c r="D1302" t="s">
        <v>113</v>
      </c>
      <c r="F1302">
        <v>20499986</v>
      </c>
      <c r="G1302">
        <v>8878460</v>
      </c>
      <c r="H1302">
        <v>-725020</v>
      </c>
      <c r="I1302">
        <v>13602756</v>
      </c>
      <c r="J1302">
        <v>49787626</v>
      </c>
      <c r="K1302">
        <v>60974923</v>
      </c>
      <c r="P1302">
        <v>1502</v>
      </c>
      <c r="Q1302" t="s">
        <v>2647</v>
      </c>
    </row>
    <row r="1303" spans="1:17" x14ac:dyDescent="0.3">
      <c r="A1303" t="s">
        <v>17</v>
      </c>
      <c r="B1303" t="str">
        <f>"603388"</f>
        <v>603388</v>
      </c>
      <c r="C1303" t="s">
        <v>2648</v>
      </c>
      <c r="D1303" t="s">
        <v>95</v>
      </c>
      <c r="F1303">
        <v>191467931</v>
      </c>
      <c r="G1303">
        <v>-63224542</v>
      </c>
      <c r="H1303">
        <v>-193385872</v>
      </c>
      <c r="I1303">
        <v>-230861110</v>
      </c>
      <c r="J1303">
        <v>-163477403</v>
      </c>
      <c r="K1303">
        <v>-2265637</v>
      </c>
      <c r="P1303">
        <v>63</v>
      </c>
      <c r="Q1303" t="s">
        <v>2649</v>
      </c>
    </row>
    <row r="1304" spans="1:17" x14ac:dyDescent="0.3">
      <c r="A1304" t="s">
        <v>17</v>
      </c>
      <c r="B1304" t="str">
        <f>"603389"</f>
        <v>603389</v>
      </c>
      <c r="C1304" t="s">
        <v>2650</v>
      </c>
      <c r="D1304" t="s">
        <v>161</v>
      </c>
      <c r="F1304">
        <v>-85939872</v>
      </c>
      <c r="G1304">
        <v>-64775191</v>
      </c>
      <c r="H1304">
        <v>-61739446</v>
      </c>
      <c r="I1304">
        <v>-218740893</v>
      </c>
      <c r="J1304">
        <v>-120471314</v>
      </c>
      <c r="K1304">
        <v>28129237</v>
      </c>
      <c r="P1304">
        <v>80</v>
      </c>
      <c r="Q1304" t="s">
        <v>2651</v>
      </c>
    </row>
    <row r="1305" spans="1:17" x14ac:dyDescent="0.3">
      <c r="A1305" t="s">
        <v>17</v>
      </c>
      <c r="B1305" t="str">
        <f>"603390"</f>
        <v>603390</v>
      </c>
      <c r="C1305" t="s">
        <v>2652</v>
      </c>
      <c r="D1305" t="s">
        <v>27</v>
      </c>
      <c r="F1305">
        <v>-150582702</v>
      </c>
      <c r="G1305">
        <v>-339892023</v>
      </c>
      <c r="H1305">
        <v>4569657</v>
      </c>
      <c r="I1305">
        <v>-49338838</v>
      </c>
      <c r="P1305">
        <v>89</v>
      </c>
      <c r="Q1305" t="s">
        <v>2653</v>
      </c>
    </row>
    <row r="1306" spans="1:17" x14ac:dyDescent="0.3">
      <c r="A1306" t="s">
        <v>17</v>
      </c>
      <c r="B1306" t="str">
        <f>"603392"</f>
        <v>603392</v>
      </c>
      <c r="C1306" t="s">
        <v>2654</v>
      </c>
      <c r="D1306" t="s">
        <v>113</v>
      </c>
      <c r="F1306">
        <v>-81764469</v>
      </c>
      <c r="G1306">
        <v>-38140496</v>
      </c>
      <c r="H1306">
        <v>30644666</v>
      </c>
      <c r="P1306">
        <v>552</v>
      </c>
      <c r="Q1306" t="s">
        <v>2655</v>
      </c>
    </row>
    <row r="1307" spans="1:17" x14ac:dyDescent="0.3">
      <c r="A1307" t="s">
        <v>17</v>
      </c>
      <c r="B1307" t="str">
        <f>"603393"</f>
        <v>603393</v>
      </c>
      <c r="C1307" t="s">
        <v>2656</v>
      </c>
      <c r="D1307" t="s">
        <v>41</v>
      </c>
      <c r="F1307">
        <v>279442301</v>
      </c>
      <c r="G1307">
        <v>41384431</v>
      </c>
      <c r="H1307">
        <v>485970023</v>
      </c>
      <c r="I1307">
        <v>185244531</v>
      </c>
      <c r="J1307">
        <v>73361884</v>
      </c>
      <c r="K1307">
        <v>114630586</v>
      </c>
      <c r="L1307">
        <v>78471934</v>
      </c>
      <c r="P1307">
        <v>498</v>
      </c>
      <c r="Q1307" t="s">
        <v>2657</v>
      </c>
    </row>
    <row r="1308" spans="1:17" x14ac:dyDescent="0.3">
      <c r="A1308" t="s">
        <v>17</v>
      </c>
      <c r="B1308" t="str">
        <f>"603396"</f>
        <v>603396</v>
      </c>
      <c r="C1308" t="s">
        <v>2658</v>
      </c>
      <c r="D1308" t="s">
        <v>188</v>
      </c>
      <c r="F1308">
        <v>-945777</v>
      </c>
      <c r="G1308">
        <v>-14107763</v>
      </c>
      <c r="H1308">
        <v>-85905597</v>
      </c>
      <c r="I1308">
        <v>235682</v>
      </c>
      <c r="J1308">
        <v>-17532978</v>
      </c>
      <c r="K1308">
        <v>-9274070</v>
      </c>
      <c r="P1308">
        <v>217</v>
      </c>
      <c r="Q1308" t="s">
        <v>2659</v>
      </c>
    </row>
    <row r="1309" spans="1:17" x14ac:dyDescent="0.3">
      <c r="A1309" t="s">
        <v>17</v>
      </c>
      <c r="B1309" t="str">
        <f>"603398"</f>
        <v>603398</v>
      </c>
      <c r="C1309" t="s">
        <v>2660</v>
      </c>
      <c r="D1309" t="s">
        <v>161</v>
      </c>
      <c r="F1309">
        <v>-68462157</v>
      </c>
      <c r="G1309">
        <v>16841874</v>
      </c>
      <c r="H1309">
        <v>1636836</v>
      </c>
      <c r="I1309">
        <v>-29311763</v>
      </c>
      <c r="J1309">
        <v>-6881652</v>
      </c>
      <c r="K1309">
        <v>16519655</v>
      </c>
      <c r="L1309">
        <v>33046717</v>
      </c>
      <c r="M1309">
        <v>24979180</v>
      </c>
      <c r="P1309">
        <v>89</v>
      </c>
      <c r="Q1309" t="s">
        <v>2661</v>
      </c>
    </row>
    <row r="1310" spans="1:17" x14ac:dyDescent="0.3">
      <c r="A1310" t="s">
        <v>17</v>
      </c>
      <c r="B1310" t="str">
        <f>"603399"</f>
        <v>603399</v>
      </c>
      <c r="C1310" t="s">
        <v>2662</v>
      </c>
      <c r="D1310" t="s">
        <v>234</v>
      </c>
      <c r="F1310">
        <v>464659261</v>
      </c>
      <c r="G1310">
        <v>-289865698</v>
      </c>
      <c r="H1310">
        <v>273879905</v>
      </c>
      <c r="I1310">
        <v>189182058</v>
      </c>
      <c r="J1310">
        <v>-566946077</v>
      </c>
      <c r="K1310">
        <v>16697424</v>
      </c>
      <c r="L1310">
        <v>56357819</v>
      </c>
      <c r="M1310">
        <v>181883927</v>
      </c>
      <c r="N1310">
        <v>-332210944</v>
      </c>
      <c r="O1310">
        <v>-232386122</v>
      </c>
      <c r="P1310">
        <v>72</v>
      </c>
      <c r="Q1310" t="s">
        <v>2663</v>
      </c>
    </row>
    <row r="1311" spans="1:17" x14ac:dyDescent="0.3">
      <c r="A1311" t="s">
        <v>17</v>
      </c>
      <c r="B1311" t="str">
        <f>"603408"</f>
        <v>603408</v>
      </c>
      <c r="C1311" t="s">
        <v>2664</v>
      </c>
      <c r="D1311" t="s">
        <v>161</v>
      </c>
      <c r="F1311">
        <v>-115313653</v>
      </c>
      <c r="G1311">
        <v>139130998</v>
      </c>
      <c r="H1311">
        <v>220299952</v>
      </c>
      <c r="P1311">
        <v>98</v>
      </c>
      <c r="Q1311" t="s">
        <v>2665</v>
      </c>
    </row>
    <row r="1312" spans="1:17" x14ac:dyDescent="0.3">
      <c r="A1312" t="s">
        <v>17</v>
      </c>
      <c r="B1312" t="str">
        <f>"603416"</f>
        <v>603416</v>
      </c>
      <c r="C1312" t="s">
        <v>2666</v>
      </c>
      <c r="D1312" t="s">
        <v>78</v>
      </c>
      <c r="F1312">
        <v>11742209</v>
      </c>
      <c r="G1312">
        <v>165130379</v>
      </c>
      <c r="H1312">
        <v>34633341</v>
      </c>
      <c r="I1312">
        <v>-10517017</v>
      </c>
      <c r="J1312">
        <v>21210158</v>
      </c>
      <c r="K1312">
        <v>52782653</v>
      </c>
      <c r="L1312">
        <v>33065600</v>
      </c>
      <c r="P1312">
        <v>325</v>
      </c>
      <c r="Q1312" t="s">
        <v>2667</v>
      </c>
    </row>
    <row r="1313" spans="1:17" x14ac:dyDescent="0.3">
      <c r="A1313" t="s">
        <v>17</v>
      </c>
      <c r="B1313" t="str">
        <f>"603421"</f>
        <v>603421</v>
      </c>
      <c r="C1313" t="s">
        <v>2668</v>
      </c>
      <c r="D1313" t="s">
        <v>100</v>
      </c>
      <c r="F1313">
        <v>-79684888</v>
      </c>
      <c r="G1313">
        <v>-201798895</v>
      </c>
      <c r="H1313">
        <v>-326249658</v>
      </c>
      <c r="I1313">
        <v>-299999045</v>
      </c>
      <c r="J1313">
        <v>-418519043</v>
      </c>
      <c r="K1313">
        <v>-50318642</v>
      </c>
      <c r="L1313">
        <v>-300290234</v>
      </c>
      <c r="P1313">
        <v>138</v>
      </c>
      <c r="Q1313" t="s">
        <v>2669</v>
      </c>
    </row>
    <row r="1314" spans="1:17" x14ac:dyDescent="0.3">
      <c r="A1314" t="s">
        <v>17</v>
      </c>
      <c r="B1314" t="str">
        <f>"603429"</f>
        <v>603429</v>
      </c>
      <c r="C1314" t="s">
        <v>2670</v>
      </c>
      <c r="D1314" t="s">
        <v>161</v>
      </c>
      <c r="F1314">
        <v>95279468</v>
      </c>
      <c r="G1314">
        <v>65063899</v>
      </c>
      <c r="H1314">
        <v>-10982776</v>
      </c>
      <c r="I1314">
        <v>-86707732</v>
      </c>
      <c r="J1314">
        <v>61673740</v>
      </c>
      <c r="K1314">
        <v>15252396</v>
      </c>
      <c r="P1314">
        <v>368</v>
      </c>
      <c r="Q1314" t="s">
        <v>2671</v>
      </c>
    </row>
    <row r="1315" spans="1:17" x14ac:dyDescent="0.3">
      <c r="A1315" t="s">
        <v>17</v>
      </c>
      <c r="B1315" t="str">
        <f>"603439"</f>
        <v>603439</v>
      </c>
      <c r="C1315" t="s">
        <v>2672</v>
      </c>
      <c r="D1315" t="s">
        <v>113</v>
      </c>
      <c r="F1315">
        <v>126854555</v>
      </c>
      <c r="G1315">
        <v>13495672</v>
      </c>
      <c r="H1315">
        <v>72445837</v>
      </c>
      <c r="P1315">
        <v>294</v>
      </c>
      <c r="Q1315" t="s">
        <v>2673</v>
      </c>
    </row>
    <row r="1316" spans="1:17" x14ac:dyDescent="0.3">
      <c r="A1316" t="s">
        <v>17</v>
      </c>
      <c r="B1316" t="str">
        <f>"603444"</f>
        <v>603444</v>
      </c>
      <c r="C1316" t="s">
        <v>2674</v>
      </c>
      <c r="D1316" t="s">
        <v>89</v>
      </c>
      <c r="F1316">
        <v>1716853373</v>
      </c>
      <c r="G1316">
        <v>1009139460</v>
      </c>
      <c r="H1316">
        <v>826260891</v>
      </c>
      <c r="I1316">
        <v>343462464</v>
      </c>
      <c r="J1316">
        <v>240331961</v>
      </c>
      <c r="K1316">
        <v>541413545</v>
      </c>
      <c r="L1316">
        <v>115673387</v>
      </c>
      <c r="P1316">
        <v>4239</v>
      </c>
      <c r="Q1316" t="s">
        <v>2675</v>
      </c>
    </row>
    <row r="1317" spans="1:17" x14ac:dyDescent="0.3">
      <c r="A1317" t="s">
        <v>17</v>
      </c>
      <c r="B1317" t="str">
        <f>"603456"</f>
        <v>603456</v>
      </c>
      <c r="C1317" t="s">
        <v>2676</v>
      </c>
      <c r="D1317" t="s">
        <v>113</v>
      </c>
      <c r="F1317">
        <v>47114964</v>
      </c>
      <c r="G1317">
        <v>238908105</v>
      </c>
      <c r="H1317">
        <v>126612814</v>
      </c>
      <c r="I1317">
        <v>118044043</v>
      </c>
      <c r="J1317">
        <v>42873023</v>
      </c>
      <c r="K1317">
        <v>-20296803</v>
      </c>
      <c r="L1317">
        <v>9936637</v>
      </c>
      <c r="M1317">
        <v>-71932735</v>
      </c>
      <c r="N1317">
        <v>86188883</v>
      </c>
      <c r="P1317">
        <v>454</v>
      </c>
      <c r="Q1317" t="s">
        <v>2677</v>
      </c>
    </row>
    <row r="1318" spans="1:17" x14ac:dyDescent="0.3">
      <c r="A1318" t="s">
        <v>17</v>
      </c>
      <c r="B1318" t="str">
        <f>"603458"</f>
        <v>603458</v>
      </c>
      <c r="C1318" t="s">
        <v>2678</v>
      </c>
      <c r="D1318" t="s">
        <v>95</v>
      </c>
      <c r="F1318">
        <v>-255637548</v>
      </c>
      <c r="G1318">
        <v>-47699630</v>
      </c>
      <c r="H1318">
        <v>-517462665</v>
      </c>
      <c r="I1318">
        <v>-450512983</v>
      </c>
      <c r="J1318">
        <v>-203109647</v>
      </c>
      <c r="K1318">
        <v>157770631</v>
      </c>
      <c r="P1318">
        <v>474</v>
      </c>
      <c r="Q1318" t="s">
        <v>2679</v>
      </c>
    </row>
    <row r="1319" spans="1:17" x14ac:dyDescent="0.3">
      <c r="A1319" t="s">
        <v>17</v>
      </c>
      <c r="B1319" t="str">
        <f>"603466"</f>
        <v>603466</v>
      </c>
      <c r="C1319" t="s">
        <v>2680</v>
      </c>
      <c r="D1319" t="s">
        <v>89</v>
      </c>
      <c r="F1319">
        <v>-98490433</v>
      </c>
      <c r="G1319">
        <v>39422143</v>
      </c>
      <c r="H1319">
        <v>-13834433</v>
      </c>
      <c r="I1319">
        <v>84010203</v>
      </c>
      <c r="J1319">
        <v>90679079</v>
      </c>
      <c r="K1319">
        <v>23325195</v>
      </c>
      <c r="P1319">
        <v>407</v>
      </c>
      <c r="Q1319" t="s">
        <v>2681</v>
      </c>
    </row>
    <row r="1320" spans="1:17" x14ac:dyDescent="0.3">
      <c r="A1320" t="s">
        <v>17</v>
      </c>
      <c r="B1320" t="str">
        <f>"603477"</f>
        <v>603477</v>
      </c>
      <c r="C1320" t="s">
        <v>2682</v>
      </c>
      <c r="D1320" t="s">
        <v>227</v>
      </c>
      <c r="F1320">
        <v>-789626955</v>
      </c>
      <c r="G1320">
        <v>-54931107</v>
      </c>
      <c r="H1320">
        <v>-27618590</v>
      </c>
      <c r="I1320">
        <v>-31858229</v>
      </c>
      <c r="J1320">
        <v>13468909</v>
      </c>
      <c r="K1320">
        <v>-102635641</v>
      </c>
      <c r="P1320">
        <v>134</v>
      </c>
      <c r="Q1320" t="s">
        <v>2683</v>
      </c>
    </row>
    <row r="1321" spans="1:17" x14ac:dyDescent="0.3">
      <c r="A1321" t="s">
        <v>17</v>
      </c>
      <c r="B1321" t="str">
        <f>"603486"</f>
        <v>603486</v>
      </c>
      <c r="C1321" t="s">
        <v>2684</v>
      </c>
      <c r="D1321" t="s">
        <v>126</v>
      </c>
      <c r="F1321">
        <v>251682120</v>
      </c>
      <c r="G1321">
        <v>184330398</v>
      </c>
      <c r="H1321">
        <v>-319284586</v>
      </c>
      <c r="I1321">
        <v>-615609236</v>
      </c>
      <c r="J1321">
        <v>108435807</v>
      </c>
      <c r="P1321">
        <v>833</v>
      </c>
      <c r="Q1321" t="s">
        <v>2685</v>
      </c>
    </row>
    <row r="1322" spans="1:17" x14ac:dyDescent="0.3">
      <c r="A1322" t="s">
        <v>17</v>
      </c>
      <c r="B1322" t="str">
        <f>"603488"</f>
        <v>603488</v>
      </c>
      <c r="C1322" t="s">
        <v>2686</v>
      </c>
      <c r="D1322" t="s">
        <v>78</v>
      </c>
      <c r="F1322">
        <v>21719511</v>
      </c>
      <c r="G1322">
        <v>-11845071</v>
      </c>
      <c r="H1322">
        <v>45936976</v>
      </c>
      <c r="I1322">
        <v>20322929</v>
      </c>
      <c r="J1322">
        <v>46321067</v>
      </c>
      <c r="K1322">
        <v>19004514</v>
      </c>
      <c r="P1322">
        <v>64</v>
      </c>
      <c r="Q1322" t="s">
        <v>2687</v>
      </c>
    </row>
    <row r="1323" spans="1:17" x14ac:dyDescent="0.3">
      <c r="A1323" t="s">
        <v>17</v>
      </c>
      <c r="B1323" t="str">
        <f>"603489"</f>
        <v>603489</v>
      </c>
      <c r="C1323" t="s">
        <v>2688</v>
      </c>
      <c r="D1323" t="s">
        <v>188</v>
      </c>
      <c r="F1323">
        <v>-105741958</v>
      </c>
      <c r="G1323">
        <v>176014334</v>
      </c>
      <c r="H1323">
        <v>128556881</v>
      </c>
      <c r="I1323">
        <v>36368164</v>
      </c>
      <c r="P1323">
        <v>492</v>
      </c>
      <c r="Q1323" t="s">
        <v>2689</v>
      </c>
    </row>
    <row r="1324" spans="1:17" x14ac:dyDescent="0.3">
      <c r="A1324" t="s">
        <v>17</v>
      </c>
      <c r="B1324" t="str">
        <f>"603496"</f>
        <v>603496</v>
      </c>
      <c r="C1324" t="s">
        <v>2690</v>
      </c>
      <c r="D1324" t="s">
        <v>212</v>
      </c>
      <c r="F1324">
        <v>-63078731</v>
      </c>
      <c r="G1324">
        <v>-98769380</v>
      </c>
      <c r="H1324">
        <v>-53590339</v>
      </c>
      <c r="I1324">
        <v>-50514397</v>
      </c>
      <c r="J1324">
        <v>-60172641</v>
      </c>
      <c r="K1324">
        <v>21780878</v>
      </c>
      <c r="P1324">
        <v>194</v>
      </c>
      <c r="Q1324" t="s">
        <v>2691</v>
      </c>
    </row>
    <row r="1325" spans="1:17" x14ac:dyDescent="0.3">
      <c r="A1325" t="s">
        <v>17</v>
      </c>
      <c r="B1325" t="str">
        <f>"603499"</f>
        <v>603499</v>
      </c>
      <c r="C1325" t="s">
        <v>2692</v>
      </c>
      <c r="D1325" t="s">
        <v>161</v>
      </c>
      <c r="F1325">
        <v>-34136709</v>
      </c>
      <c r="G1325">
        <v>-42425955</v>
      </c>
      <c r="H1325">
        <v>-45511675</v>
      </c>
      <c r="I1325">
        <v>-13219125</v>
      </c>
      <c r="J1325">
        <v>-6456984</v>
      </c>
      <c r="K1325">
        <v>-14246039</v>
      </c>
      <c r="P1325">
        <v>83</v>
      </c>
      <c r="Q1325" t="s">
        <v>2693</v>
      </c>
    </row>
    <row r="1326" spans="1:17" x14ac:dyDescent="0.3">
      <c r="A1326" t="s">
        <v>17</v>
      </c>
      <c r="B1326" t="str">
        <f>"603500"</f>
        <v>603500</v>
      </c>
      <c r="C1326" t="s">
        <v>2694</v>
      </c>
      <c r="D1326" t="s">
        <v>78</v>
      </c>
      <c r="F1326">
        <v>-41987947</v>
      </c>
      <c r="G1326">
        <v>21987134</v>
      </c>
      <c r="H1326">
        <v>-31599234</v>
      </c>
      <c r="I1326">
        <v>-57152441</v>
      </c>
      <c r="J1326">
        <v>25522576</v>
      </c>
      <c r="K1326">
        <v>-4565412</v>
      </c>
      <c r="P1326">
        <v>91</v>
      </c>
      <c r="Q1326" t="s">
        <v>2695</v>
      </c>
    </row>
    <row r="1327" spans="1:17" x14ac:dyDescent="0.3">
      <c r="A1327" t="s">
        <v>17</v>
      </c>
      <c r="B1327" t="str">
        <f>"603501"</f>
        <v>603501</v>
      </c>
      <c r="C1327" t="s">
        <v>2696</v>
      </c>
      <c r="D1327" t="s">
        <v>150</v>
      </c>
      <c r="F1327">
        <v>1749960426</v>
      </c>
      <c r="G1327">
        <v>-508208590</v>
      </c>
      <c r="H1327">
        <v>-470063647</v>
      </c>
      <c r="I1327">
        <v>-228263570</v>
      </c>
      <c r="J1327">
        <v>-128827053</v>
      </c>
      <c r="K1327">
        <v>-19237288</v>
      </c>
      <c r="P1327">
        <v>2200</v>
      </c>
      <c r="Q1327" t="s">
        <v>2697</v>
      </c>
    </row>
    <row r="1328" spans="1:17" x14ac:dyDescent="0.3">
      <c r="A1328" t="s">
        <v>17</v>
      </c>
      <c r="B1328" t="str">
        <f>"603505"</f>
        <v>603505</v>
      </c>
      <c r="C1328" t="s">
        <v>2698</v>
      </c>
      <c r="D1328" t="s">
        <v>133</v>
      </c>
      <c r="F1328">
        <v>101210107</v>
      </c>
      <c r="G1328">
        <v>21093216</v>
      </c>
      <c r="H1328">
        <v>93943431</v>
      </c>
      <c r="I1328">
        <v>-14240557</v>
      </c>
      <c r="J1328">
        <v>-47132767</v>
      </c>
      <c r="K1328">
        <v>-69648341</v>
      </c>
      <c r="P1328">
        <v>328</v>
      </c>
      <c r="Q1328" t="s">
        <v>2699</v>
      </c>
    </row>
    <row r="1329" spans="1:17" x14ac:dyDescent="0.3">
      <c r="A1329" t="s">
        <v>17</v>
      </c>
      <c r="B1329" t="str">
        <f>"603506"</f>
        <v>603506</v>
      </c>
      <c r="C1329" t="s">
        <v>2700</v>
      </c>
      <c r="D1329" t="s">
        <v>30</v>
      </c>
      <c r="F1329">
        <v>14940751</v>
      </c>
      <c r="G1329">
        <v>-29295563</v>
      </c>
      <c r="H1329">
        <v>30370979</v>
      </c>
      <c r="I1329">
        <v>21823947</v>
      </c>
      <c r="J1329">
        <v>1708884</v>
      </c>
      <c r="K1329">
        <v>-4949400</v>
      </c>
      <c r="P1329">
        <v>357</v>
      </c>
      <c r="Q1329" t="s">
        <v>2701</v>
      </c>
    </row>
    <row r="1330" spans="1:17" x14ac:dyDescent="0.3">
      <c r="A1330" t="s">
        <v>17</v>
      </c>
      <c r="B1330" t="str">
        <f>"603507"</f>
        <v>603507</v>
      </c>
      <c r="C1330" t="s">
        <v>2702</v>
      </c>
      <c r="D1330" t="s">
        <v>188</v>
      </c>
      <c r="F1330">
        <v>-31235743</v>
      </c>
      <c r="G1330">
        <v>32033828</v>
      </c>
      <c r="H1330">
        <v>-482247833</v>
      </c>
      <c r="I1330">
        <v>-468140978</v>
      </c>
      <c r="J1330">
        <v>-85022571</v>
      </c>
      <c r="K1330">
        <v>-13419480</v>
      </c>
      <c r="P1330">
        <v>135</v>
      </c>
      <c r="Q1330" t="s">
        <v>2703</v>
      </c>
    </row>
    <row r="1331" spans="1:17" x14ac:dyDescent="0.3">
      <c r="A1331" t="s">
        <v>17</v>
      </c>
      <c r="B1331" t="str">
        <f>"603508"</f>
        <v>603508</v>
      </c>
      <c r="C1331" t="s">
        <v>2704</v>
      </c>
      <c r="D1331" t="s">
        <v>212</v>
      </c>
      <c r="F1331">
        <v>-30397732</v>
      </c>
      <c r="G1331">
        <v>199862073</v>
      </c>
      <c r="H1331">
        <v>325588695</v>
      </c>
      <c r="I1331">
        <v>67995981</v>
      </c>
      <c r="J1331">
        <v>81021543</v>
      </c>
      <c r="K1331">
        <v>-21464655</v>
      </c>
      <c r="L1331">
        <v>117812079</v>
      </c>
      <c r="M1331">
        <v>16753017</v>
      </c>
      <c r="P1331">
        <v>219</v>
      </c>
      <c r="Q1331" t="s">
        <v>2705</v>
      </c>
    </row>
    <row r="1332" spans="1:17" x14ac:dyDescent="0.3">
      <c r="A1332" t="s">
        <v>17</v>
      </c>
      <c r="B1332" t="str">
        <f>"603511"</f>
        <v>603511</v>
      </c>
      <c r="C1332" t="s">
        <v>2706</v>
      </c>
      <c r="D1332" t="s">
        <v>227</v>
      </c>
      <c r="F1332">
        <v>297969562</v>
      </c>
      <c r="P1332">
        <v>47</v>
      </c>
      <c r="Q1332" t="s">
        <v>2707</v>
      </c>
    </row>
    <row r="1333" spans="1:17" x14ac:dyDescent="0.3">
      <c r="A1333" t="s">
        <v>17</v>
      </c>
      <c r="B1333" t="str">
        <f>"603515"</f>
        <v>603515</v>
      </c>
      <c r="C1333" t="s">
        <v>2708</v>
      </c>
      <c r="D1333" t="s">
        <v>126</v>
      </c>
      <c r="F1333">
        <v>-264467288</v>
      </c>
      <c r="G1333">
        <v>148695965</v>
      </c>
      <c r="H1333">
        <v>261537824</v>
      </c>
      <c r="I1333">
        <v>44084572</v>
      </c>
      <c r="J1333">
        <v>333117633</v>
      </c>
      <c r="K1333">
        <v>581057519</v>
      </c>
      <c r="L1333">
        <v>-184927811</v>
      </c>
      <c r="P1333">
        <v>2555</v>
      </c>
      <c r="Q1333" t="s">
        <v>2709</v>
      </c>
    </row>
    <row r="1334" spans="1:17" x14ac:dyDescent="0.3">
      <c r="A1334" t="s">
        <v>17</v>
      </c>
      <c r="B1334" t="str">
        <f>"603516"</f>
        <v>603516</v>
      </c>
      <c r="C1334" t="s">
        <v>2710</v>
      </c>
      <c r="D1334" t="s">
        <v>212</v>
      </c>
      <c r="F1334">
        <v>3208643</v>
      </c>
      <c r="G1334">
        <v>42057509</v>
      </c>
      <c r="H1334">
        <v>-160376325</v>
      </c>
      <c r="I1334">
        <v>-81799302</v>
      </c>
      <c r="J1334">
        <v>-8088179</v>
      </c>
      <c r="P1334">
        <v>203</v>
      </c>
      <c r="Q1334" t="s">
        <v>2711</v>
      </c>
    </row>
    <row r="1335" spans="1:17" x14ac:dyDescent="0.3">
      <c r="A1335" t="s">
        <v>17</v>
      </c>
      <c r="B1335" t="str">
        <f>"603517"</f>
        <v>603517</v>
      </c>
      <c r="C1335" t="s">
        <v>2712</v>
      </c>
      <c r="D1335" t="s">
        <v>123</v>
      </c>
      <c r="F1335">
        <v>649693475</v>
      </c>
      <c r="G1335">
        <v>544166104</v>
      </c>
      <c r="H1335">
        <v>583084005</v>
      </c>
      <c r="I1335">
        <v>269655782</v>
      </c>
      <c r="J1335">
        <v>409896219</v>
      </c>
      <c r="K1335">
        <v>312149232</v>
      </c>
      <c r="P1335">
        <v>2366</v>
      </c>
      <c r="Q1335" t="s">
        <v>2713</v>
      </c>
    </row>
    <row r="1336" spans="1:17" x14ac:dyDescent="0.3">
      <c r="A1336" t="s">
        <v>17</v>
      </c>
      <c r="B1336" t="str">
        <f>"603518"</f>
        <v>603518</v>
      </c>
      <c r="C1336" t="s">
        <v>2714</v>
      </c>
      <c r="D1336" t="s">
        <v>227</v>
      </c>
      <c r="F1336">
        <v>214502858</v>
      </c>
      <c r="G1336">
        <v>469660935</v>
      </c>
      <c r="H1336">
        <v>11226412</v>
      </c>
      <c r="I1336">
        <v>107059667</v>
      </c>
      <c r="J1336">
        <v>101603895</v>
      </c>
      <c r="K1336">
        <v>33079468</v>
      </c>
      <c r="L1336">
        <v>74145577</v>
      </c>
      <c r="M1336">
        <v>32174301</v>
      </c>
      <c r="N1336">
        <v>105193216</v>
      </c>
      <c r="P1336">
        <v>205</v>
      </c>
      <c r="Q1336" t="s">
        <v>2715</v>
      </c>
    </row>
    <row r="1337" spans="1:17" x14ac:dyDescent="0.3">
      <c r="A1337" t="s">
        <v>17</v>
      </c>
      <c r="B1337" t="str">
        <f>"603519"</f>
        <v>603519</v>
      </c>
      <c r="C1337" t="s">
        <v>2716</v>
      </c>
      <c r="D1337" t="s">
        <v>126</v>
      </c>
      <c r="F1337">
        <v>3105369</v>
      </c>
      <c r="G1337">
        <v>72485286</v>
      </c>
      <c r="H1337">
        <v>177509435</v>
      </c>
      <c r="I1337">
        <v>21943103</v>
      </c>
      <c r="J1337">
        <v>-8660444</v>
      </c>
      <c r="K1337">
        <v>14027784</v>
      </c>
      <c r="L1337">
        <v>-9203512</v>
      </c>
      <c r="M1337">
        <v>7975716</v>
      </c>
      <c r="P1337">
        <v>148</v>
      </c>
      <c r="Q1337" t="s">
        <v>2717</v>
      </c>
    </row>
    <row r="1338" spans="1:17" x14ac:dyDescent="0.3">
      <c r="A1338" t="s">
        <v>17</v>
      </c>
      <c r="B1338" t="str">
        <f>"603520"</f>
        <v>603520</v>
      </c>
      <c r="C1338" t="s">
        <v>2718</v>
      </c>
      <c r="D1338" t="s">
        <v>113</v>
      </c>
      <c r="F1338">
        <v>90680394</v>
      </c>
      <c r="G1338">
        <v>-32537084</v>
      </c>
      <c r="H1338">
        <v>41010532</v>
      </c>
      <c r="I1338">
        <v>-793003</v>
      </c>
      <c r="J1338">
        <v>-73978448</v>
      </c>
      <c r="K1338">
        <v>-160971389</v>
      </c>
      <c r="L1338">
        <v>-123004942</v>
      </c>
      <c r="P1338">
        <v>383</v>
      </c>
      <c r="Q1338" t="s">
        <v>2719</v>
      </c>
    </row>
    <row r="1339" spans="1:17" x14ac:dyDescent="0.3">
      <c r="A1339" t="s">
        <v>17</v>
      </c>
      <c r="B1339" t="str">
        <f>"603527"</f>
        <v>603527</v>
      </c>
      <c r="C1339" t="s">
        <v>2720</v>
      </c>
      <c r="D1339" t="s">
        <v>234</v>
      </c>
      <c r="F1339">
        <v>-139111252</v>
      </c>
      <c r="G1339">
        <v>-268659018</v>
      </c>
      <c r="H1339">
        <v>-90255691</v>
      </c>
      <c r="I1339">
        <v>62691833</v>
      </c>
      <c r="J1339">
        <v>-139824420</v>
      </c>
      <c r="K1339">
        <v>31283191</v>
      </c>
      <c r="P1339">
        <v>54</v>
      </c>
      <c r="Q1339" t="s">
        <v>2721</v>
      </c>
    </row>
    <row r="1340" spans="1:17" x14ac:dyDescent="0.3">
      <c r="A1340" t="s">
        <v>17</v>
      </c>
      <c r="B1340" t="str">
        <f>"603528"</f>
        <v>603528</v>
      </c>
      <c r="C1340" t="s">
        <v>2722</v>
      </c>
      <c r="D1340" t="s">
        <v>212</v>
      </c>
      <c r="F1340">
        <v>4339412</v>
      </c>
      <c r="G1340">
        <v>-62785280</v>
      </c>
      <c r="H1340">
        <v>-11647465</v>
      </c>
      <c r="I1340">
        <v>-6645329</v>
      </c>
      <c r="J1340">
        <v>67384668</v>
      </c>
      <c r="K1340">
        <v>-12081933</v>
      </c>
      <c r="L1340">
        <v>139554181</v>
      </c>
      <c r="P1340">
        <v>195</v>
      </c>
      <c r="Q1340" t="s">
        <v>2723</v>
      </c>
    </row>
    <row r="1341" spans="1:17" x14ac:dyDescent="0.3">
      <c r="A1341" t="s">
        <v>17</v>
      </c>
      <c r="B1341" t="str">
        <f>"603529"</f>
        <v>603529</v>
      </c>
      <c r="C1341" t="s">
        <v>2724</v>
      </c>
      <c r="D1341" t="s">
        <v>27</v>
      </c>
      <c r="F1341">
        <v>2044209853</v>
      </c>
      <c r="P1341">
        <v>75</v>
      </c>
      <c r="Q1341" t="s">
        <v>2725</v>
      </c>
    </row>
    <row r="1342" spans="1:17" x14ac:dyDescent="0.3">
      <c r="A1342" t="s">
        <v>17</v>
      </c>
      <c r="B1342" t="str">
        <f>"603530"</f>
        <v>603530</v>
      </c>
      <c r="C1342" t="s">
        <v>2726</v>
      </c>
      <c r="D1342" t="s">
        <v>188</v>
      </c>
      <c r="F1342">
        <v>-1249362</v>
      </c>
      <c r="G1342">
        <v>-1590783</v>
      </c>
      <c r="H1342">
        <v>30679203</v>
      </c>
      <c r="I1342">
        <v>106123792</v>
      </c>
      <c r="P1342">
        <v>88</v>
      </c>
      <c r="Q1342" t="s">
        <v>2727</v>
      </c>
    </row>
    <row r="1343" spans="1:17" x14ac:dyDescent="0.3">
      <c r="A1343" t="s">
        <v>17</v>
      </c>
      <c r="B1343" t="str">
        <f>"603533"</f>
        <v>603533</v>
      </c>
      <c r="C1343" t="s">
        <v>2728</v>
      </c>
      <c r="D1343" t="s">
        <v>89</v>
      </c>
      <c r="F1343">
        <v>116457766</v>
      </c>
      <c r="G1343">
        <v>227229568</v>
      </c>
      <c r="H1343">
        <v>83517049</v>
      </c>
      <c r="I1343">
        <v>54742465</v>
      </c>
      <c r="J1343">
        <v>166059117</v>
      </c>
      <c r="K1343">
        <v>42949891</v>
      </c>
      <c r="P1343">
        <v>872</v>
      </c>
      <c r="Q1343" t="s">
        <v>2729</v>
      </c>
    </row>
    <row r="1344" spans="1:17" x14ac:dyDescent="0.3">
      <c r="A1344" t="s">
        <v>17</v>
      </c>
      <c r="B1344" t="str">
        <f>"603535"</f>
        <v>603535</v>
      </c>
      <c r="C1344" t="s">
        <v>2730</v>
      </c>
      <c r="D1344" t="s">
        <v>22</v>
      </c>
      <c r="F1344">
        <v>-185308430</v>
      </c>
      <c r="G1344">
        <v>-20328472</v>
      </c>
      <c r="H1344">
        <v>-69672497</v>
      </c>
      <c r="I1344">
        <v>-31370243</v>
      </c>
      <c r="J1344">
        <v>27169482</v>
      </c>
      <c r="K1344">
        <v>7827127</v>
      </c>
      <c r="P1344">
        <v>86</v>
      </c>
      <c r="Q1344" t="s">
        <v>2731</v>
      </c>
    </row>
    <row r="1345" spans="1:17" x14ac:dyDescent="0.3">
      <c r="A1345" t="s">
        <v>17</v>
      </c>
      <c r="B1345" t="str">
        <f>"603536"</f>
        <v>603536</v>
      </c>
      <c r="C1345" t="s">
        <v>2732</v>
      </c>
      <c r="D1345" t="s">
        <v>123</v>
      </c>
      <c r="F1345">
        <v>-55652823</v>
      </c>
      <c r="G1345">
        <v>-91979787</v>
      </c>
      <c r="H1345">
        <v>6942653</v>
      </c>
      <c r="I1345">
        <v>-61941621</v>
      </c>
      <c r="J1345">
        <v>-15870309</v>
      </c>
      <c r="K1345">
        <v>-10633860</v>
      </c>
      <c r="P1345">
        <v>126</v>
      </c>
      <c r="Q1345" t="s">
        <v>2733</v>
      </c>
    </row>
    <row r="1346" spans="1:17" x14ac:dyDescent="0.3">
      <c r="A1346" t="s">
        <v>17</v>
      </c>
      <c r="B1346" t="str">
        <f>"603538"</f>
        <v>603538</v>
      </c>
      <c r="C1346" t="s">
        <v>2734</v>
      </c>
      <c r="D1346" t="s">
        <v>113</v>
      </c>
      <c r="F1346">
        <v>-127477537</v>
      </c>
      <c r="G1346">
        <v>48911088</v>
      </c>
      <c r="H1346">
        <v>-57130714</v>
      </c>
      <c r="I1346">
        <v>-201648158</v>
      </c>
      <c r="J1346">
        <v>-5084097</v>
      </c>
      <c r="K1346">
        <v>-6030841</v>
      </c>
      <c r="P1346">
        <v>266</v>
      </c>
      <c r="Q1346" t="s">
        <v>2735</v>
      </c>
    </row>
    <row r="1347" spans="1:17" x14ac:dyDescent="0.3">
      <c r="A1347" t="s">
        <v>17</v>
      </c>
      <c r="B1347" t="str">
        <f>"603551"</f>
        <v>603551</v>
      </c>
      <c r="C1347" t="s">
        <v>2736</v>
      </c>
      <c r="D1347" t="s">
        <v>126</v>
      </c>
      <c r="F1347">
        <v>-69833782</v>
      </c>
      <c r="G1347">
        <v>-42540935</v>
      </c>
      <c r="H1347">
        <v>49673067</v>
      </c>
      <c r="I1347">
        <v>57436795</v>
      </c>
      <c r="P1347">
        <v>116</v>
      </c>
      <c r="Q1347" t="s">
        <v>2737</v>
      </c>
    </row>
    <row r="1348" spans="1:17" x14ac:dyDescent="0.3">
      <c r="A1348" t="s">
        <v>17</v>
      </c>
      <c r="B1348" t="str">
        <f>"603555"</f>
        <v>603555</v>
      </c>
      <c r="C1348" t="s">
        <v>2738</v>
      </c>
      <c r="D1348" t="s">
        <v>227</v>
      </c>
      <c r="F1348">
        <v>-430679405</v>
      </c>
      <c r="G1348">
        <v>-30459199</v>
      </c>
      <c r="H1348">
        <v>-333421058</v>
      </c>
      <c r="I1348">
        <v>118045674</v>
      </c>
      <c r="J1348">
        <v>19694378</v>
      </c>
      <c r="K1348">
        <v>-206843635</v>
      </c>
      <c r="L1348">
        <v>349225888</v>
      </c>
      <c r="M1348">
        <v>-16845750</v>
      </c>
      <c r="N1348">
        <v>34939466</v>
      </c>
      <c r="P1348">
        <v>81</v>
      </c>
      <c r="Q1348" t="s">
        <v>2739</v>
      </c>
    </row>
    <row r="1349" spans="1:17" x14ac:dyDescent="0.3">
      <c r="A1349" t="s">
        <v>17</v>
      </c>
      <c r="B1349" t="str">
        <f>"603556"</f>
        <v>603556</v>
      </c>
      <c r="C1349" t="s">
        <v>2740</v>
      </c>
      <c r="D1349" t="s">
        <v>188</v>
      </c>
      <c r="F1349">
        <v>-71418699</v>
      </c>
      <c r="G1349">
        <v>252090031</v>
      </c>
      <c r="H1349">
        <v>124235790</v>
      </c>
      <c r="I1349">
        <v>251390891</v>
      </c>
      <c r="J1349">
        <v>100386008</v>
      </c>
      <c r="K1349">
        <v>174721814</v>
      </c>
      <c r="L1349">
        <v>128247383</v>
      </c>
      <c r="P1349">
        <v>218</v>
      </c>
      <c r="Q1349" t="s">
        <v>2741</v>
      </c>
    </row>
    <row r="1350" spans="1:17" x14ac:dyDescent="0.3">
      <c r="A1350" t="s">
        <v>17</v>
      </c>
      <c r="B1350" t="str">
        <f>"603557"</f>
        <v>603557</v>
      </c>
      <c r="C1350" t="s">
        <v>2742</v>
      </c>
      <c r="D1350" t="s">
        <v>227</v>
      </c>
      <c r="F1350">
        <v>-404677394</v>
      </c>
      <c r="G1350">
        <v>-399034322</v>
      </c>
      <c r="H1350">
        <v>-50842900</v>
      </c>
      <c r="I1350">
        <v>-132197194</v>
      </c>
      <c r="J1350">
        <v>-17635005</v>
      </c>
      <c r="K1350">
        <v>-182625990</v>
      </c>
      <c r="P1350">
        <v>118</v>
      </c>
      <c r="Q1350" t="s">
        <v>2743</v>
      </c>
    </row>
    <row r="1351" spans="1:17" x14ac:dyDescent="0.3">
      <c r="A1351" t="s">
        <v>17</v>
      </c>
      <c r="B1351" t="str">
        <f>"603558"</f>
        <v>603558</v>
      </c>
      <c r="C1351" t="s">
        <v>2744</v>
      </c>
      <c r="D1351" t="s">
        <v>227</v>
      </c>
      <c r="F1351">
        <v>-181494150</v>
      </c>
      <c r="G1351">
        <v>112376569</v>
      </c>
      <c r="H1351">
        <v>70105637</v>
      </c>
      <c r="I1351">
        <v>-40708519</v>
      </c>
      <c r="J1351">
        <v>-172422177</v>
      </c>
      <c r="K1351">
        <v>-118118963</v>
      </c>
      <c r="L1351">
        <v>-114282202</v>
      </c>
      <c r="M1351">
        <v>-2200351</v>
      </c>
      <c r="N1351">
        <v>-30778676</v>
      </c>
      <c r="P1351">
        <v>137</v>
      </c>
      <c r="Q1351" t="s">
        <v>2745</v>
      </c>
    </row>
    <row r="1352" spans="1:17" x14ac:dyDescent="0.3">
      <c r="A1352" t="s">
        <v>17</v>
      </c>
      <c r="B1352" t="str">
        <f>"603559"</f>
        <v>603559</v>
      </c>
      <c r="C1352" t="s">
        <v>2746</v>
      </c>
      <c r="D1352" t="s">
        <v>100</v>
      </c>
      <c r="F1352">
        <v>-79806472</v>
      </c>
      <c r="G1352">
        <v>-152536062</v>
      </c>
      <c r="H1352">
        <v>-52392607</v>
      </c>
      <c r="I1352">
        <v>-136620707</v>
      </c>
      <c r="J1352">
        <v>-154983140</v>
      </c>
      <c r="K1352">
        <v>-44698460</v>
      </c>
      <c r="L1352">
        <v>21260184</v>
      </c>
      <c r="P1352">
        <v>159</v>
      </c>
      <c r="Q1352" t="s">
        <v>2747</v>
      </c>
    </row>
    <row r="1353" spans="1:17" x14ac:dyDescent="0.3">
      <c r="A1353" t="s">
        <v>17</v>
      </c>
      <c r="B1353" t="str">
        <f>"603565"</f>
        <v>603565</v>
      </c>
      <c r="C1353" t="s">
        <v>2748</v>
      </c>
      <c r="D1353" t="s">
        <v>22</v>
      </c>
      <c r="F1353">
        <v>1718021786</v>
      </c>
      <c r="G1353">
        <v>469850895</v>
      </c>
      <c r="H1353">
        <v>836562593</v>
      </c>
      <c r="P1353">
        <v>226</v>
      </c>
      <c r="Q1353" t="s">
        <v>2749</v>
      </c>
    </row>
    <row r="1354" spans="1:17" x14ac:dyDescent="0.3">
      <c r="A1354" t="s">
        <v>17</v>
      </c>
      <c r="B1354" t="str">
        <f>"603566"</f>
        <v>603566</v>
      </c>
      <c r="C1354" t="s">
        <v>2750</v>
      </c>
      <c r="D1354" t="s">
        <v>205</v>
      </c>
      <c r="F1354">
        <v>-26227056</v>
      </c>
      <c r="G1354">
        <v>16795574</v>
      </c>
      <c r="H1354">
        <v>9908724</v>
      </c>
      <c r="I1354">
        <v>27648937</v>
      </c>
      <c r="J1354">
        <v>17263773</v>
      </c>
      <c r="K1354">
        <v>51230964</v>
      </c>
      <c r="L1354">
        <v>-14793721</v>
      </c>
      <c r="M1354">
        <v>10737372</v>
      </c>
      <c r="P1354">
        <v>233</v>
      </c>
      <c r="Q1354" t="s">
        <v>2751</v>
      </c>
    </row>
    <row r="1355" spans="1:17" x14ac:dyDescent="0.3">
      <c r="A1355" t="s">
        <v>17</v>
      </c>
      <c r="B1355" t="str">
        <f>"603567"</f>
        <v>603567</v>
      </c>
      <c r="C1355" t="s">
        <v>2752</v>
      </c>
      <c r="D1355" t="s">
        <v>113</v>
      </c>
      <c r="F1355">
        <v>-874588442</v>
      </c>
      <c r="G1355">
        <v>-256462052</v>
      </c>
      <c r="H1355">
        <v>-110599725</v>
      </c>
      <c r="I1355">
        <v>-55336191</v>
      </c>
      <c r="J1355">
        <v>-69818930</v>
      </c>
      <c r="K1355">
        <v>-379477854</v>
      </c>
      <c r="L1355">
        <v>-410199241</v>
      </c>
      <c r="M1355">
        <v>243146730</v>
      </c>
      <c r="P1355">
        <v>134</v>
      </c>
      <c r="Q1355" t="s">
        <v>2753</v>
      </c>
    </row>
    <row r="1356" spans="1:17" x14ac:dyDescent="0.3">
      <c r="A1356" t="s">
        <v>17</v>
      </c>
      <c r="B1356" t="str">
        <f>"603568"</f>
        <v>603568</v>
      </c>
      <c r="C1356" t="s">
        <v>2754</v>
      </c>
      <c r="D1356" t="s">
        <v>33</v>
      </c>
      <c r="F1356">
        <v>-1107916107</v>
      </c>
      <c r="G1356">
        <v>-650989090</v>
      </c>
      <c r="H1356">
        <v>-338925446</v>
      </c>
      <c r="I1356">
        <v>-358954269</v>
      </c>
      <c r="J1356">
        <v>101716065</v>
      </c>
      <c r="K1356">
        <v>105059537</v>
      </c>
      <c r="L1356">
        <v>167427345</v>
      </c>
      <c r="M1356">
        <v>199017531</v>
      </c>
      <c r="P1356">
        <v>16277</v>
      </c>
      <c r="Q1356" t="s">
        <v>2755</v>
      </c>
    </row>
    <row r="1357" spans="1:17" x14ac:dyDescent="0.3">
      <c r="A1357" t="s">
        <v>17</v>
      </c>
      <c r="B1357" t="str">
        <f>"603569"</f>
        <v>603569</v>
      </c>
      <c r="C1357" t="s">
        <v>2756</v>
      </c>
      <c r="D1357" t="s">
        <v>22</v>
      </c>
      <c r="F1357">
        <v>-17868509</v>
      </c>
      <c r="G1357">
        <v>328736256</v>
      </c>
      <c r="H1357">
        <v>76111757</v>
      </c>
      <c r="I1357">
        <v>-1154931391</v>
      </c>
      <c r="J1357">
        <v>-465076633</v>
      </c>
      <c r="K1357">
        <v>163629677</v>
      </c>
      <c r="L1357">
        <v>120141992</v>
      </c>
      <c r="P1357">
        <v>198</v>
      </c>
      <c r="Q1357" t="s">
        <v>2757</v>
      </c>
    </row>
    <row r="1358" spans="1:17" x14ac:dyDescent="0.3">
      <c r="A1358" t="s">
        <v>17</v>
      </c>
      <c r="B1358" t="str">
        <f>"603577"</f>
        <v>603577</v>
      </c>
      <c r="C1358" t="s">
        <v>2758</v>
      </c>
      <c r="D1358" t="s">
        <v>188</v>
      </c>
      <c r="F1358">
        <v>-326112323</v>
      </c>
      <c r="G1358">
        <v>-215796479</v>
      </c>
      <c r="H1358">
        <v>-215097146</v>
      </c>
      <c r="I1358">
        <v>-257221128</v>
      </c>
      <c r="J1358">
        <v>-436001777</v>
      </c>
      <c r="K1358">
        <v>-23727389</v>
      </c>
      <c r="P1358">
        <v>90</v>
      </c>
      <c r="Q1358" t="s">
        <v>2759</v>
      </c>
    </row>
    <row r="1359" spans="1:17" x14ac:dyDescent="0.3">
      <c r="A1359" t="s">
        <v>17</v>
      </c>
      <c r="B1359" t="str">
        <f>"603578"</f>
        <v>603578</v>
      </c>
      <c r="C1359" t="s">
        <v>2760</v>
      </c>
      <c r="D1359" t="s">
        <v>126</v>
      </c>
      <c r="F1359">
        <v>-78983104</v>
      </c>
      <c r="G1359">
        <v>983910</v>
      </c>
      <c r="H1359">
        <v>138046695</v>
      </c>
      <c r="I1359">
        <v>-46341510</v>
      </c>
      <c r="J1359">
        <v>-46763424</v>
      </c>
      <c r="K1359">
        <v>16987401</v>
      </c>
      <c r="P1359">
        <v>132</v>
      </c>
      <c r="Q1359" t="s">
        <v>2761</v>
      </c>
    </row>
    <row r="1360" spans="1:17" x14ac:dyDescent="0.3">
      <c r="A1360" t="s">
        <v>17</v>
      </c>
      <c r="B1360" t="str">
        <f>"603579"</f>
        <v>603579</v>
      </c>
      <c r="C1360" t="s">
        <v>2762</v>
      </c>
      <c r="D1360" t="s">
        <v>126</v>
      </c>
      <c r="F1360">
        <v>-10387934</v>
      </c>
      <c r="G1360">
        <v>-68611762</v>
      </c>
      <c r="H1360">
        <v>160743983</v>
      </c>
      <c r="I1360">
        <v>65521888</v>
      </c>
      <c r="J1360">
        <v>13659960</v>
      </c>
      <c r="K1360">
        <v>20555237</v>
      </c>
      <c r="L1360">
        <v>59003259</v>
      </c>
      <c r="P1360">
        <v>597</v>
      </c>
      <c r="Q1360" t="s">
        <v>2763</v>
      </c>
    </row>
    <row r="1361" spans="1:17" x14ac:dyDescent="0.3">
      <c r="A1361" t="s">
        <v>17</v>
      </c>
      <c r="B1361" t="str">
        <f>"603580"</f>
        <v>603580</v>
      </c>
      <c r="C1361" t="s">
        <v>2764</v>
      </c>
      <c r="D1361" t="s">
        <v>133</v>
      </c>
      <c r="F1361">
        <v>-45318335</v>
      </c>
      <c r="G1361">
        <v>-923472</v>
      </c>
      <c r="H1361">
        <v>-4898395</v>
      </c>
      <c r="I1361">
        <v>13556664</v>
      </c>
      <c r="J1361">
        <v>18855946</v>
      </c>
      <c r="K1361">
        <v>17973755</v>
      </c>
      <c r="P1361">
        <v>57</v>
      </c>
      <c r="Q1361" t="s">
        <v>2765</v>
      </c>
    </row>
    <row r="1362" spans="1:17" x14ac:dyDescent="0.3">
      <c r="A1362" t="s">
        <v>17</v>
      </c>
      <c r="B1362" t="str">
        <f>"603583"</f>
        <v>603583</v>
      </c>
      <c r="C1362" t="s">
        <v>2766</v>
      </c>
      <c r="D1362" t="s">
        <v>78</v>
      </c>
      <c r="F1362">
        <v>-469665881</v>
      </c>
      <c r="G1362">
        <v>179612037</v>
      </c>
      <c r="H1362">
        <v>100021455</v>
      </c>
      <c r="I1362">
        <v>14759641</v>
      </c>
      <c r="J1362">
        <v>69930444</v>
      </c>
      <c r="P1362">
        <v>705</v>
      </c>
      <c r="Q1362" t="s">
        <v>2767</v>
      </c>
    </row>
    <row r="1363" spans="1:17" x14ac:dyDescent="0.3">
      <c r="A1363" t="s">
        <v>17</v>
      </c>
      <c r="B1363" t="str">
        <f>"603585"</f>
        <v>603585</v>
      </c>
      <c r="C1363" t="s">
        <v>2768</v>
      </c>
      <c r="D1363" t="s">
        <v>133</v>
      </c>
      <c r="F1363">
        <v>23648773</v>
      </c>
      <c r="G1363">
        <v>-71085634</v>
      </c>
      <c r="H1363">
        <v>192617130</v>
      </c>
      <c r="I1363">
        <v>252679387</v>
      </c>
      <c r="J1363">
        <v>184697907</v>
      </c>
      <c r="K1363">
        <v>136769562</v>
      </c>
      <c r="P1363">
        <v>545</v>
      </c>
      <c r="Q1363" t="s">
        <v>2769</v>
      </c>
    </row>
    <row r="1364" spans="1:17" x14ac:dyDescent="0.3">
      <c r="A1364" t="s">
        <v>17</v>
      </c>
      <c r="B1364" t="str">
        <f>"603586"</f>
        <v>603586</v>
      </c>
      <c r="C1364" t="s">
        <v>2770</v>
      </c>
      <c r="D1364" t="s">
        <v>27</v>
      </c>
      <c r="F1364">
        <v>-78832530</v>
      </c>
      <c r="G1364">
        <v>153674854</v>
      </c>
      <c r="H1364">
        <v>20020547</v>
      </c>
      <c r="I1364">
        <v>-68110566</v>
      </c>
      <c r="J1364">
        <v>14847031</v>
      </c>
      <c r="K1364">
        <v>112133818</v>
      </c>
      <c r="P1364">
        <v>109</v>
      </c>
      <c r="Q1364" t="s">
        <v>2771</v>
      </c>
    </row>
    <row r="1365" spans="1:17" x14ac:dyDescent="0.3">
      <c r="A1365" t="s">
        <v>17</v>
      </c>
      <c r="B1365" t="str">
        <f>"603587"</f>
        <v>603587</v>
      </c>
      <c r="C1365" t="s">
        <v>2772</v>
      </c>
      <c r="D1365" t="s">
        <v>227</v>
      </c>
      <c r="F1365">
        <v>555074206</v>
      </c>
      <c r="G1365">
        <v>425660501</v>
      </c>
      <c r="H1365">
        <v>376018949</v>
      </c>
      <c r="I1365">
        <v>258318641</v>
      </c>
      <c r="J1365">
        <v>278657108</v>
      </c>
      <c r="P1365">
        <v>1012</v>
      </c>
      <c r="Q1365" t="s">
        <v>2773</v>
      </c>
    </row>
    <row r="1366" spans="1:17" x14ac:dyDescent="0.3">
      <c r="A1366" t="s">
        <v>17</v>
      </c>
      <c r="B1366" t="str">
        <f>"603588"</f>
        <v>603588</v>
      </c>
      <c r="C1366" t="s">
        <v>2774</v>
      </c>
      <c r="D1366" t="s">
        <v>33</v>
      </c>
      <c r="F1366">
        <v>-802354862</v>
      </c>
      <c r="G1366">
        <v>-1110100169</v>
      </c>
      <c r="H1366">
        <v>-725105902</v>
      </c>
      <c r="I1366">
        <v>-639602784</v>
      </c>
      <c r="J1366">
        <v>-336635226</v>
      </c>
      <c r="K1366">
        <v>-398432998</v>
      </c>
      <c r="L1366">
        <v>-337631743</v>
      </c>
      <c r="M1366">
        <v>-277883003</v>
      </c>
      <c r="N1366">
        <v>-188671800</v>
      </c>
      <c r="P1366">
        <v>581</v>
      </c>
      <c r="Q1366" t="s">
        <v>2775</v>
      </c>
    </row>
    <row r="1367" spans="1:17" x14ac:dyDescent="0.3">
      <c r="A1367" t="s">
        <v>17</v>
      </c>
      <c r="B1367" t="str">
        <f>"603589"</f>
        <v>603589</v>
      </c>
      <c r="C1367" t="s">
        <v>2776</v>
      </c>
      <c r="D1367" t="s">
        <v>123</v>
      </c>
      <c r="F1367">
        <v>-134533412</v>
      </c>
      <c r="G1367">
        <v>-409258305</v>
      </c>
      <c r="H1367">
        <v>494894868</v>
      </c>
      <c r="I1367">
        <v>154320661</v>
      </c>
      <c r="J1367">
        <v>675439625</v>
      </c>
      <c r="K1367">
        <v>227651151</v>
      </c>
      <c r="L1367">
        <v>245963646</v>
      </c>
      <c r="M1367">
        <v>-137652301</v>
      </c>
      <c r="P1367">
        <v>6971</v>
      </c>
      <c r="Q1367" t="s">
        <v>2777</v>
      </c>
    </row>
    <row r="1368" spans="1:17" x14ac:dyDescent="0.3">
      <c r="A1368" t="s">
        <v>17</v>
      </c>
      <c r="B1368" t="str">
        <f>"603590"</f>
        <v>603590</v>
      </c>
      <c r="C1368" t="s">
        <v>2778</v>
      </c>
      <c r="D1368" t="s">
        <v>113</v>
      </c>
      <c r="F1368">
        <v>-117259789</v>
      </c>
      <c r="G1368">
        <v>32249666</v>
      </c>
      <c r="H1368">
        <v>192748065</v>
      </c>
      <c r="I1368">
        <v>173053578</v>
      </c>
      <c r="J1368">
        <v>160024317</v>
      </c>
      <c r="P1368">
        <v>158</v>
      </c>
      <c r="Q1368" t="s">
        <v>2779</v>
      </c>
    </row>
    <row r="1369" spans="1:17" x14ac:dyDescent="0.3">
      <c r="A1369" t="s">
        <v>17</v>
      </c>
      <c r="B1369" t="str">
        <f>"603595"</f>
        <v>603595</v>
      </c>
      <c r="C1369" t="s">
        <v>2780</v>
      </c>
      <c r="D1369" t="s">
        <v>150</v>
      </c>
      <c r="F1369">
        <v>-263346041</v>
      </c>
      <c r="G1369">
        <v>-159058587</v>
      </c>
      <c r="H1369">
        <v>-182253509</v>
      </c>
      <c r="I1369">
        <v>-190741370</v>
      </c>
      <c r="J1369">
        <v>-186351381</v>
      </c>
      <c r="K1369">
        <v>-48479074</v>
      </c>
      <c r="P1369">
        <v>184</v>
      </c>
      <c r="Q1369" t="s">
        <v>2781</v>
      </c>
    </row>
    <row r="1370" spans="1:17" x14ac:dyDescent="0.3">
      <c r="A1370" t="s">
        <v>17</v>
      </c>
      <c r="B1370" t="str">
        <f>"603596"</f>
        <v>603596</v>
      </c>
      <c r="C1370" t="s">
        <v>2782</v>
      </c>
      <c r="D1370" t="s">
        <v>27</v>
      </c>
      <c r="F1370">
        <v>78168191</v>
      </c>
      <c r="G1370">
        <v>326371547</v>
      </c>
      <c r="H1370">
        <v>422063741</v>
      </c>
      <c r="I1370">
        <v>62394549</v>
      </c>
      <c r="J1370">
        <v>-160428790</v>
      </c>
      <c r="P1370">
        <v>370</v>
      </c>
      <c r="Q1370" t="s">
        <v>2783</v>
      </c>
    </row>
    <row r="1371" spans="1:17" x14ac:dyDescent="0.3">
      <c r="A1371" t="s">
        <v>17</v>
      </c>
      <c r="B1371" t="str">
        <f>"603598"</f>
        <v>603598</v>
      </c>
      <c r="C1371" t="s">
        <v>2784</v>
      </c>
      <c r="D1371" t="s">
        <v>89</v>
      </c>
      <c r="F1371">
        <v>89096165</v>
      </c>
      <c r="G1371">
        <v>44785341</v>
      </c>
      <c r="H1371">
        <v>54149160</v>
      </c>
      <c r="I1371">
        <v>135327946</v>
      </c>
      <c r="J1371">
        <v>-15834370</v>
      </c>
      <c r="K1371">
        <v>51956127</v>
      </c>
      <c r="L1371">
        <v>-164372571</v>
      </c>
      <c r="M1371">
        <v>-24418318</v>
      </c>
      <c r="P1371">
        <v>113</v>
      </c>
      <c r="Q1371" t="s">
        <v>2785</v>
      </c>
    </row>
    <row r="1372" spans="1:17" x14ac:dyDescent="0.3">
      <c r="A1372" t="s">
        <v>17</v>
      </c>
      <c r="B1372" t="str">
        <f>"603599"</f>
        <v>603599</v>
      </c>
      <c r="C1372" t="s">
        <v>2786</v>
      </c>
      <c r="D1372" t="s">
        <v>133</v>
      </c>
      <c r="F1372">
        <v>1253632776</v>
      </c>
      <c r="G1372">
        <v>536667616</v>
      </c>
      <c r="H1372">
        <v>464247747</v>
      </c>
      <c r="I1372">
        <v>69148194</v>
      </c>
      <c r="J1372">
        <v>205397195</v>
      </c>
      <c r="K1372">
        <v>-69219464</v>
      </c>
      <c r="L1372">
        <v>-108996226</v>
      </c>
      <c r="M1372">
        <v>-56530927</v>
      </c>
      <c r="P1372">
        <v>304</v>
      </c>
      <c r="Q1372" t="s">
        <v>2787</v>
      </c>
    </row>
    <row r="1373" spans="1:17" x14ac:dyDescent="0.3">
      <c r="A1373" t="s">
        <v>17</v>
      </c>
      <c r="B1373" t="str">
        <f>"603600"</f>
        <v>603600</v>
      </c>
      <c r="C1373" t="s">
        <v>2788</v>
      </c>
      <c r="D1373" t="s">
        <v>161</v>
      </c>
      <c r="F1373">
        <v>-137505623</v>
      </c>
      <c r="G1373">
        <v>-4038346</v>
      </c>
      <c r="H1373">
        <v>103399210</v>
      </c>
      <c r="I1373">
        <v>-104173183</v>
      </c>
      <c r="J1373">
        <v>-31132138</v>
      </c>
      <c r="K1373">
        <v>-31191662</v>
      </c>
      <c r="L1373">
        <v>60272235</v>
      </c>
      <c r="M1373">
        <v>3524741</v>
      </c>
      <c r="P1373">
        <v>290</v>
      </c>
      <c r="Q1373" t="s">
        <v>2789</v>
      </c>
    </row>
    <row r="1374" spans="1:17" x14ac:dyDescent="0.3">
      <c r="A1374" t="s">
        <v>17</v>
      </c>
      <c r="B1374" t="str">
        <f>"603601"</f>
        <v>603601</v>
      </c>
      <c r="C1374" t="s">
        <v>2790</v>
      </c>
      <c r="D1374" t="s">
        <v>350</v>
      </c>
      <c r="F1374">
        <v>-36943862</v>
      </c>
      <c r="G1374">
        <v>76813022</v>
      </c>
      <c r="H1374">
        <v>122014860</v>
      </c>
      <c r="I1374">
        <v>-134116212</v>
      </c>
      <c r="J1374">
        <v>-86049093</v>
      </c>
      <c r="K1374">
        <v>-76632536</v>
      </c>
      <c r="L1374">
        <v>-47436230</v>
      </c>
      <c r="M1374">
        <v>9437631</v>
      </c>
      <c r="P1374">
        <v>501</v>
      </c>
      <c r="Q1374" t="s">
        <v>2791</v>
      </c>
    </row>
    <row r="1375" spans="1:17" x14ac:dyDescent="0.3">
      <c r="A1375" t="s">
        <v>17</v>
      </c>
      <c r="B1375" t="str">
        <f>"603602"</f>
        <v>603602</v>
      </c>
      <c r="C1375" t="s">
        <v>2792</v>
      </c>
      <c r="D1375" t="s">
        <v>100</v>
      </c>
      <c r="F1375">
        <v>-185441852</v>
      </c>
      <c r="G1375">
        <v>-197623828</v>
      </c>
      <c r="H1375">
        <v>-234539822</v>
      </c>
      <c r="I1375">
        <v>-145558949</v>
      </c>
      <c r="J1375">
        <v>-133793228</v>
      </c>
      <c r="K1375">
        <v>-79246703</v>
      </c>
      <c r="P1375">
        <v>193</v>
      </c>
      <c r="Q1375" t="s">
        <v>2793</v>
      </c>
    </row>
    <row r="1376" spans="1:17" x14ac:dyDescent="0.3">
      <c r="A1376" t="s">
        <v>17</v>
      </c>
      <c r="B1376" t="str">
        <f>"603603"</f>
        <v>603603</v>
      </c>
      <c r="C1376" t="s">
        <v>2794</v>
      </c>
      <c r="D1376" t="s">
        <v>33</v>
      </c>
      <c r="F1376">
        <v>-42583861</v>
      </c>
      <c r="G1376">
        <v>-587960257</v>
      </c>
      <c r="H1376">
        <v>-1043808125</v>
      </c>
      <c r="I1376">
        <v>-753871988</v>
      </c>
      <c r="J1376">
        <v>-960203736</v>
      </c>
      <c r="K1376">
        <v>-767605473</v>
      </c>
      <c r="L1376">
        <v>-503224648</v>
      </c>
      <c r="P1376">
        <v>118</v>
      </c>
      <c r="Q1376" t="s">
        <v>2795</v>
      </c>
    </row>
    <row r="1377" spans="1:17" x14ac:dyDescent="0.3">
      <c r="A1377" t="s">
        <v>17</v>
      </c>
      <c r="B1377" t="str">
        <f>"603605"</f>
        <v>603605</v>
      </c>
      <c r="C1377" t="s">
        <v>2796</v>
      </c>
      <c r="D1377" t="s">
        <v>481</v>
      </c>
      <c r="F1377">
        <v>327222513</v>
      </c>
      <c r="G1377">
        <v>145878559</v>
      </c>
      <c r="H1377">
        <v>-24683324</v>
      </c>
      <c r="I1377">
        <v>31702804</v>
      </c>
      <c r="J1377">
        <v>190486788</v>
      </c>
      <c r="K1377">
        <v>9411501</v>
      </c>
      <c r="P1377">
        <v>1728</v>
      </c>
      <c r="Q1377" t="s">
        <v>2797</v>
      </c>
    </row>
    <row r="1378" spans="1:17" x14ac:dyDescent="0.3">
      <c r="A1378" t="s">
        <v>17</v>
      </c>
      <c r="B1378" t="str">
        <f>"603606"</f>
        <v>603606</v>
      </c>
      <c r="C1378" t="s">
        <v>2798</v>
      </c>
      <c r="D1378" t="s">
        <v>188</v>
      </c>
      <c r="F1378">
        <v>-666973826</v>
      </c>
      <c r="G1378">
        <v>278947661</v>
      </c>
      <c r="H1378">
        <v>-117533040</v>
      </c>
      <c r="I1378">
        <v>-68304499</v>
      </c>
      <c r="J1378">
        <v>-784757268</v>
      </c>
      <c r="K1378">
        <v>-229308914</v>
      </c>
      <c r="L1378">
        <v>-288387491</v>
      </c>
      <c r="M1378">
        <v>-7374730</v>
      </c>
      <c r="N1378">
        <v>-118800887</v>
      </c>
      <c r="P1378">
        <v>1572</v>
      </c>
      <c r="Q1378" t="s">
        <v>2799</v>
      </c>
    </row>
    <row r="1379" spans="1:17" x14ac:dyDescent="0.3">
      <c r="A1379" t="s">
        <v>17</v>
      </c>
      <c r="B1379" t="str">
        <f>"603607"</f>
        <v>603607</v>
      </c>
      <c r="C1379" t="s">
        <v>2800</v>
      </c>
      <c r="D1379" t="s">
        <v>161</v>
      </c>
      <c r="F1379">
        <v>83737684</v>
      </c>
      <c r="G1379">
        <v>37113409</v>
      </c>
      <c r="H1379">
        <v>65929794</v>
      </c>
      <c r="I1379">
        <v>-26797555</v>
      </c>
      <c r="J1379">
        <v>29842929</v>
      </c>
      <c r="K1379">
        <v>59211743</v>
      </c>
      <c r="P1379">
        <v>108</v>
      </c>
      <c r="Q1379" t="s">
        <v>2801</v>
      </c>
    </row>
    <row r="1380" spans="1:17" x14ac:dyDescent="0.3">
      <c r="A1380" t="s">
        <v>17</v>
      </c>
      <c r="B1380" t="str">
        <f>"603608"</f>
        <v>603608</v>
      </c>
      <c r="C1380" t="s">
        <v>2802</v>
      </c>
      <c r="D1380" t="s">
        <v>227</v>
      </c>
      <c r="F1380">
        <v>-70040404</v>
      </c>
      <c r="G1380">
        <v>74957406</v>
      </c>
      <c r="H1380">
        <v>96586173</v>
      </c>
      <c r="I1380">
        <v>181805770</v>
      </c>
      <c r="J1380">
        <v>92562104</v>
      </c>
      <c r="K1380">
        <v>96894937</v>
      </c>
      <c r="L1380">
        <v>64323000</v>
      </c>
      <c r="M1380">
        <v>161339300</v>
      </c>
      <c r="P1380">
        <v>138</v>
      </c>
      <c r="Q1380" t="s">
        <v>2803</v>
      </c>
    </row>
    <row r="1381" spans="1:17" x14ac:dyDescent="0.3">
      <c r="A1381" t="s">
        <v>17</v>
      </c>
      <c r="B1381" t="str">
        <f>"603609"</f>
        <v>603609</v>
      </c>
      <c r="C1381" t="s">
        <v>2804</v>
      </c>
      <c r="D1381" t="s">
        <v>205</v>
      </c>
      <c r="F1381">
        <v>-1006920754</v>
      </c>
      <c r="G1381">
        <v>-413613317</v>
      </c>
      <c r="H1381">
        <v>199351787</v>
      </c>
      <c r="I1381">
        <v>-40700319</v>
      </c>
      <c r="J1381">
        <v>3529151</v>
      </c>
      <c r="K1381">
        <v>-270153090</v>
      </c>
      <c r="L1381">
        <v>168521809</v>
      </c>
      <c r="M1381">
        <v>176622394</v>
      </c>
      <c r="N1381">
        <v>47283021</v>
      </c>
      <c r="P1381">
        <v>507</v>
      </c>
      <c r="Q1381" t="s">
        <v>2805</v>
      </c>
    </row>
    <row r="1382" spans="1:17" x14ac:dyDescent="0.3">
      <c r="A1382" t="s">
        <v>17</v>
      </c>
      <c r="B1382" t="str">
        <f>"603610"</f>
        <v>603610</v>
      </c>
      <c r="C1382" t="s">
        <v>2806</v>
      </c>
      <c r="D1382" t="s">
        <v>161</v>
      </c>
      <c r="F1382">
        <v>-185166870</v>
      </c>
      <c r="G1382">
        <v>-144033646</v>
      </c>
      <c r="H1382">
        <v>30958833</v>
      </c>
      <c r="I1382">
        <v>-54663874</v>
      </c>
      <c r="P1382">
        <v>230</v>
      </c>
      <c r="Q1382" t="s">
        <v>2807</v>
      </c>
    </row>
    <row r="1383" spans="1:17" x14ac:dyDescent="0.3">
      <c r="A1383" t="s">
        <v>17</v>
      </c>
      <c r="B1383" t="str">
        <f>"603611"</f>
        <v>603611</v>
      </c>
      <c r="C1383" t="s">
        <v>2808</v>
      </c>
      <c r="D1383" t="s">
        <v>78</v>
      </c>
      <c r="F1383">
        <v>-223384314</v>
      </c>
      <c r="G1383">
        <v>149204809</v>
      </c>
      <c r="H1383">
        <v>108189654</v>
      </c>
      <c r="I1383">
        <v>-29758986</v>
      </c>
      <c r="J1383">
        <v>23749206</v>
      </c>
      <c r="K1383">
        <v>29394260</v>
      </c>
      <c r="L1383">
        <v>20377716</v>
      </c>
      <c r="M1383">
        <v>77148122</v>
      </c>
      <c r="N1383">
        <v>-79785298</v>
      </c>
      <c r="P1383">
        <v>315</v>
      </c>
      <c r="Q1383" t="s">
        <v>2809</v>
      </c>
    </row>
    <row r="1384" spans="1:17" x14ac:dyDescent="0.3">
      <c r="A1384" t="s">
        <v>17</v>
      </c>
      <c r="B1384" t="str">
        <f>"603612"</f>
        <v>603612</v>
      </c>
      <c r="C1384" t="s">
        <v>2810</v>
      </c>
      <c r="D1384" t="s">
        <v>133</v>
      </c>
      <c r="F1384">
        <v>-1377429658</v>
      </c>
      <c r="G1384">
        <v>-221701617</v>
      </c>
      <c r="H1384">
        <v>-892039393</v>
      </c>
      <c r="I1384">
        <v>-353152015</v>
      </c>
      <c r="J1384">
        <v>131937275</v>
      </c>
      <c r="K1384">
        <v>-82222331</v>
      </c>
      <c r="P1384">
        <v>163</v>
      </c>
      <c r="Q1384" t="s">
        <v>2811</v>
      </c>
    </row>
    <row r="1385" spans="1:17" x14ac:dyDescent="0.3">
      <c r="A1385" t="s">
        <v>17</v>
      </c>
      <c r="B1385" t="str">
        <f>"603613"</f>
        <v>603613</v>
      </c>
      <c r="C1385" t="s">
        <v>2812</v>
      </c>
      <c r="D1385" t="s">
        <v>120</v>
      </c>
      <c r="F1385">
        <v>644123724</v>
      </c>
      <c r="G1385">
        <v>268733038</v>
      </c>
      <c r="H1385">
        <v>12004667</v>
      </c>
      <c r="I1385">
        <v>-183402422</v>
      </c>
      <c r="P1385">
        <v>827</v>
      </c>
      <c r="Q1385" t="s">
        <v>2813</v>
      </c>
    </row>
    <row r="1386" spans="1:17" x14ac:dyDescent="0.3">
      <c r="A1386" t="s">
        <v>17</v>
      </c>
      <c r="B1386" t="str">
        <f>"603615"</f>
        <v>603615</v>
      </c>
      <c r="C1386" t="s">
        <v>2814</v>
      </c>
      <c r="D1386" t="s">
        <v>161</v>
      </c>
      <c r="F1386">
        <v>-99162230</v>
      </c>
      <c r="G1386">
        <v>-66845764</v>
      </c>
      <c r="H1386">
        <v>-39608563</v>
      </c>
      <c r="I1386">
        <v>-6676451</v>
      </c>
      <c r="J1386">
        <v>52069445</v>
      </c>
      <c r="K1386">
        <v>59601524</v>
      </c>
      <c r="L1386">
        <v>130737400</v>
      </c>
      <c r="P1386">
        <v>107</v>
      </c>
      <c r="Q1386" t="s">
        <v>2815</v>
      </c>
    </row>
    <row r="1387" spans="1:17" x14ac:dyDescent="0.3">
      <c r="A1387" t="s">
        <v>17</v>
      </c>
      <c r="B1387" t="str">
        <f>"603616"</f>
        <v>603616</v>
      </c>
      <c r="C1387" t="s">
        <v>2816</v>
      </c>
      <c r="D1387" t="s">
        <v>350</v>
      </c>
      <c r="F1387">
        <v>-93610473</v>
      </c>
      <c r="G1387">
        <v>228574122</v>
      </c>
      <c r="H1387">
        <v>-98762146</v>
      </c>
      <c r="I1387">
        <v>-140037437</v>
      </c>
      <c r="J1387">
        <v>-70865203</v>
      </c>
      <c r="K1387">
        <v>14803934</v>
      </c>
      <c r="L1387">
        <v>-287314156</v>
      </c>
      <c r="M1387">
        <v>-179316368</v>
      </c>
      <c r="P1387">
        <v>71</v>
      </c>
      <c r="Q1387" t="s">
        <v>2817</v>
      </c>
    </row>
    <row r="1388" spans="1:17" x14ac:dyDescent="0.3">
      <c r="A1388" t="s">
        <v>17</v>
      </c>
      <c r="B1388" t="str">
        <f>"603617"</f>
        <v>603617</v>
      </c>
      <c r="C1388" t="s">
        <v>2818</v>
      </c>
      <c r="D1388" t="s">
        <v>78</v>
      </c>
      <c r="F1388">
        <v>-176634196</v>
      </c>
      <c r="G1388">
        <v>29300737</v>
      </c>
      <c r="H1388">
        <v>56124321</v>
      </c>
      <c r="I1388">
        <v>211388</v>
      </c>
      <c r="J1388">
        <v>89980557</v>
      </c>
      <c r="K1388">
        <v>81659183</v>
      </c>
      <c r="P1388">
        <v>105</v>
      </c>
      <c r="Q1388" t="s">
        <v>2819</v>
      </c>
    </row>
    <row r="1389" spans="1:17" x14ac:dyDescent="0.3">
      <c r="A1389" t="s">
        <v>17</v>
      </c>
      <c r="B1389" t="str">
        <f>"603618"</f>
        <v>603618</v>
      </c>
      <c r="C1389" t="s">
        <v>2820</v>
      </c>
      <c r="D1389" t="s">
        <v>188</v>
      </c>
      <c r="F1389">
        <v>-940255473</v>
      </c>
      <c r="G1389">
        <v>-416212383</v>
      </c>
      <c r="H1389">
        <v>-884908534</v>
      </c>
      <c r="I1389">
        <v>-1302711502</v>
      </c>
      <c r="J1389">
        <v>-571045154</v>
      </c>
      <c r="K1389">
        <v>-447896907</v>
      </c>
      <c r="L1389">
        <v>-541571592</v>
      </c>
      <c r="M1389">
        <v>-387588011</v>
      </c>
      <c r="P1389">
        <v>169</v>
      </c>
      <c r="Q1389" t="s">
        <v>2821</v>
      </c>
    </row>
    <row r="1390" spans="1:17" x14ac:dyDescent="0.3">
      <c r="A1390" t="s">
        <v>17</v>
      </c>
      <c r="B1390" t="str">
        <f>"603619"</f>
        <v>603619</v>
      </c>
      <c r="C1390" t="s">
        <v>2822</v>
      </c>
      <c r="D1390" t="s">
        <v>70</v>
      </c>
      <c r="F1390">
        <v>-42291126</v>
      </c>
      <c r="G1390">
        <v>-101336303</v>
      </c>
      <c r="H1390">
        <v>-335297675</v>
      </c>
      <c r="I1390">
        <v>-552216681</v>
      </c>
      <c r="J1390">
        <v>2966610</v>
      </c>
      <c r="K1390">
        <v>24406480</v>
      </c>
      <c r="P1390">
        <v>74</v>
      </c>
      <c r="Q1390" t="s">
        <v>2823</v>
      </c>
    </row>
    <row r="1391" spans="1:17" x14ac:dyDescent="0.3">
      <c r="A1391" t="s">
        <v>17</v>
      </c>
      <c r="B1391" t="str">
        <f>"603626"</f>
        <v>603626</v>
      </c>
      <c r="C1391" t="s">
        <v>2824</v>
      </c>
      <c r="D1391" t="s">
        <v>150</v>
      </c>
      <c r="F1391">
        <v>-336171300</v>
      </c>
      <c r="G1391">
        <v>-418360142</v>
      </c>
      <c r="H1391">
        <v>62435424</v>
      </c>
      <c r="I1391">
        <v>-261646267</v>
      </c>
      <c r="J1391">
        <v>-966502138</v>
      </c>
      <c r="K1391">
        <v>137847289</v>
      </c>
      <c r="L1391">
        <v>-197398053</v>
      </c>
      <c r="P1391">
        <v>173</v>
      </c>
      <c r="Q1391" t="s">
        <v>2825</v>
      </c>
    </row>
    <row r="1392" spans="1:17" x14ac:dyDescent="0.3">
      <c r="A1392" t="s">
        <v>17</v>
      </c>
      <c r="B1392" t="str">
        <f>"603628"</f>
        <v>603628</v>
      </c>
      <c r="C1392" t="s">
        <v>2826</v>
      </c>
      <c r="D1392" t="s">
        <v>188</v>
      </c>
      <c r="F1392">
        <v>32000456</v>
      </c>
      <c r="G1392">
        <v>39508037</v>
      </c>
      <c r="H1392">
        <v>-71850218</v>
      </c>
      <c r="I1392">
        <v>-192885923</v>
      </c>
      <c r="J1392">
        <v>-434338188</v>
      </c>
      <c r="K1392">
        <v>-82244074</v>
      </c>
      <c r="P1392">
        <v>80</v>
      </c>
      <c r="Q1392" t="s">
        <v>2827</v>
      </c>
    </row>
    <row r="1393" spans="1:17" x14ac:dyDescent="0.3">
      <c r="A1393" t="s">
        <v>17</v>
      </c>
      <c r="B1393" t="str">
        <f>"603629"</f>
        <v>603629</v>
      </c>
      <c r="C1393" t="s">
        <v>2828</v>
      </c>
      <c r="D1393" t="s">
        <v>150</v>
      </c>
      <c r="F1393">
        <v>-169783066</v>
      </c>
      <c r="G1393">
        <v>-154109695</v>
      </c>
      <c r="H1393">
        <v>-77725925</v>
      </c>
      <c r="I1393">
        <v>-84403873</v>
      </c>
      <c r="J1393">
        <v>-44829230</v>
      </c>
      <c r="P1393">
        <v>51</v>
      </c>
      <c r="Q1393" t="s">
        <v>2829</v>
      </c>
    </row>
    <row r="1394" spans="1:17" x14ac:dyDescent="0.3">
      <c r="A1394" t="s">
        <v>17</v>
      </c>
      <c r="B1394" t="str">
        <f>"603630"</f>
        <v>603630</v>
      </c>
      <c r="C1394" t="s">
        <v>2830</v>
      </c>
      <c r="D1394" t="s">
        <v>481</v>
      </c>
      <c r="F1394">
        <v>-41378542</v>
      </c>
      <c r="G1394">
        <v>47632023</v>
      </c>
      <c r="H1394">
        <v>106250820</v>
      </c>
      <c r="I1394">
        <v>39242751</v>
      </c>
      <c r="J1394">
        <v>54980235</v>
      </c>
      <c r="K1394">
        <v>59273268</v>
      </c>
      <c r="P1394">
        <v>148</v>
      </c>
      <c r="Q1394" t="s">
        <v>2831</v>
      </c>
    </row>
    <row r="1395" spans="1:17" x14ac:dyDescent="0.3">
      <c r="A1395" t="s">
        <v>17</v>
      </c>
      <c r="B1395" t="str">
        <f>"603633"</f>
        <v>603633</v>
      </c>
      <c r="C1395" t="s">
        <v>2832</v>
      </c>
      <c r="D1395" t="s">
        <v>150</v>
      </c>
      <c r="F1395">
        <v>-108339064</v>
      </c>
      <c r="G1395">
        <v>-75134808</v>
      </c>
      <c r="H1395">
        <v>-62598069</v>
      </c>
      <c r="I1395">
        <v>-84831139</v>
      </c>
      <c r="J1395">
        <v>-49629879</v>
      </c>
      <c r="K1395">
        <v>1115132</v>
      </c>
      <c r="L1395">
        <v>41780700</v>
      </c>
      <c r="P1395">
        <v>90</v>
      </c>
      <c r="Q1395" t="s">
        <v>2833</v>
      </c>
    </row>
    <row r="1396" spans="1:17" x14ac:dyDescent="0.3">
      <c r="A1396" t="s">
        <v>17</v>
      </c>
      <c r="B1396" t="str">
        <f>"603636"</f>
        <v>603636</v>
      </c>
      <c r="C1396" t="s">
        <v>2834</v>
      </c>
      <c r="D1396" t="s">
        <v>212</v>
      </c>
      <c r="F1396">
        <v>-582461817</v>
      </c>
      <c r="G1396">
        <v>-275101722</v>
      </c>
      <c r="H1396">
        <v>-400663592</v>
      </c>
      <c r="I1396">
        <v>-465438099</v>
      </c>
      <c r="J1396">
        <v>-9471180</v>
      </c>
      <c r="K1396">
        <v>-188674285</v>
      </c>
      <c r="L1396">
        <v>-135188292</v>
      </c>
      <c r="M1396">
        <v>40102800</v>
      </c>
      <c r="N1396">
        <v>19297000</v>
      </c>
      <c r="P1396">
        <v>202</v>
      </c>
      <c r="Q1396" t="s">
        <v>2835</v>
      </c>
    </row>
    <row r="1397" spans="1:17" x14ac:dyDescent="0.3">
      <c r="A1397" t="s">
        <v>17</v>
      </c>
      <c r="B1397" t="str">
        <f>"603637"</f>
        <v>603637</v>
      </c>
      <c r="C1397" t="s">
        <v>2836</v>
      </c>
      <c r="D1397" t="s">
        <v>95</v>
      </c>
      <c r="F1397">
        <v>187951535</v>
      </c>
      <c r="G1397">
        <v>-145627147</v>
      </c>
      <c r="H1397">
        <v>223347551</v>
      </c>
      <c r="I1397">
        <v>51088025</v>
      </c>
      <c r="J1397">
        <v>49468706</v>
      </c>
      <c r="K1397">
        <v>-93568214</v>
      </c>
      <c r="L1397">
        <v>121219345</v>
      </c>
      <c r="P1397">
        <v>70</v>
      </c>
      <c r="Q1397" t="s">
        <v>2837</v>
      </c>
    </row>
    <row r="1398" spans="1:17" x14ac:dyDescent="0.3">
      <c r="A1398" t="s">
        <v>17</v>
      </c>
      <c r="B1398" t="str">
        <f>"603638"</f>
        <v>603638</v>
      </c>
      <c r="C1398" t="s">
        <v>2838</v>
      </c>
      <c r="D1398" t="s">
        <v>78</v>
      </c>
      <c r="F1398">
        <v>-289552595</v>
      </c>
      <c r="G1398">
        <v>-200599879</v>
      </c>
      <c r="H1398">
        <v>27803473</v>
      </c>
      <c r="I1398">
        <v>-192210926</v>
      </c>
      <c r="J1398">
        <v>-119395560</v>
      </c>
      <c r="K1398">
        <v>142898755</v>
      </c>
      <c r="L1398">
        <v>152428700</v>
      </c>
      <c r="P1398">
        <v>664</v>
      </c>
      <c r="Q1398" t="s">
        <v>2839</v>
      </c>
    </row>
    <row r="1399" spans="1:17" x14ac:dyDescent="0.3">
      <c r="A1399" t="s">
        <v>17</v>
      </c>
      <c r="B1399" t="str">
        <f>"603639"</f>
        <v>603639</v>
      </c>
      <c r="C1399" t="s">
        <v>2840</v>
      </c>
      <c r="D1399" t="s">
        <v>133</v>
      </c>
      <c r="F1399">
        <v>-299435536</v>
      </c>
      <c r="G1399">
        <v>-87699144</v>
      </c>
      <c r="H1399">
        <v>44040152</v>
      </c>
      <c r="I1399">
        <v>-603734852</v>
      </c>
      <c r="J1399">
        <v>-231030209</v>
      </c>
      <c r="K1399">
        <v>40303496</v>
      </c>
      <c r="L1399">
        <v>-35243925</v>
      </c>
      <c r="P1399">
        <v>1570</v>
      </c>
      <c r="Q1399" t="s">
        <v>2841</v>
      </c>
    </row>
    <row r="1400" spans="1:17" x14ac:dyDescent="0.3">
      <c r="A1400" t="s">
        <v>17</v>
      </c>
      <c r="B1400" t="str">
        <f>"603648"</f>
        <v>603648</v>
      </c>
      <c r="C1400" t="s">
        <v>2842</v>
      </c>
      <c r="D1400" t="s">
        <v>22</v>
      </c>
      <c r="F1400">
        <v>164748331</v>
      </c>
      <c r="G1400">
        <v>159608129</v>
      </c>
      <c r="H1400">
        <v>-25679534</v>
      </c>
      <c r="I1400">
        <v>-232323173</v>
      </c>
      <c r="J1400">
        <v>58335487</v>
      </c>
      <c r="K1400">
        <v>74470482</v>
      </c>
      <c r="P1400">
        <v>72</v>
      </c>
      <c r="Q1400" t="s">
        <v>2843</v>
      </c>
    </row>
    <row r="1401" spans="1:17" x14ac:dyDescent="0.3">
      <c r="A1401" t="s">
        <v>17</v>
      </c>
      <c r="B1401" t="str">
        <f>"603650"</f>
        <v>603650</v>
      </c>
      <c r="C1401" t="s">
        <v>2844</v>
      </c>
      <c r="D1401" t="s">
        <v>133</v>
      </c>
      <c r="F1401">
        <v>-65466126</v>
      </c>
      <c r="G1401">
        <v>17573722</v>
      </c>
      <c r="H1401">
        <v>230729960</v>
      </c>
      <c r="I1401">
        <v>11483433</v>
      </c>
      <c r="J1401">
        <v>128281317</v>
      </c>
      <c r="P1401">
        <v>258</v>
      </c>
      <c r="Q1401" t="s">
        <v>2845</v>
      </c>
    </row>
    <row r="1402" spans="1:17" x14ac:dyDescent="0.3">
      <c r="A1402" t="s">
        <v>17</v>
      </c>
      <c r="B1402" t="str">
        <f>"603655"</f>
        <v>603655</v>
      </c>
      <c r="C1402" t="s">
        <v>2846</v>
      </c>
      <c r="D1402" t="s">
        <v>27</v>
      </c>
      <c r="F1402">
        <v>23891940</v>
      </c>
      <c r="G1402">
        <v>10627318</v>
      </c>
      <c r="H1402">
        <v>9439084</v>
      </c>
      <c r="I1402">
        <v>14969956</v>
      </c>
      <c r="J1402">
        <v>19831449</v>
      </c>
      <c r="K1402">
        <v>-8492168</v>
      </c>
      <c r="P1402">
        <v>88</v>
      </c>
      <c r="Q1402" t="s">
        <v>2847</v>
      </c>
    </row>
    <row r="1403" spans="1:17" x14ac:dyDescent="0.3">
      <c r="A1403" t="s">
        <v>17</v>
      </c>
      <c r="B1403" t="str">
        <f>"603656"</f>
        <v>603656</v>
      </c>
      <c r="C1403" t="s">
        <v>2848</v>
      </c>
      <c r="D1403" t="s">
        <v>78</v>
      </c>
      <c r="F1403">
        <v>-88795938</v>
      </c>
      <c r="G1403">
        <v>-132827330</v>
      </c>
      <c r="H1403">
        <v>-16150270</v>
      </c>
      <c r="I1403">
        <v>-15055160</v>
      </c>
      <c r="J1403">
        <v>30560398</v>
      </c>
      <c r="K1403">
        <v>17141262</v>
      </c>
      <c r="P1403">
        <v>80</v>
      </c>
      <c r="Q1403" t="s">
        <v>2849</v>
      </c>
    </row>
    <row r="1404" spans="1:17" x14ac:dyDescent="0.3">
      <c r="A1404" t="s">
        <v>17</v>
      </c>
      <c r="B1404" t="str">
        <f>"603657"</f>
        <v>603657</v>
      </c>
      <c r="C1404" t="s">
        <v>2850</v>
      </c>
      <c r="D1404" t="s">
        <v>126</v>
      </c>
      <c r="F1404">
        <v>-54456735</v>
      </c>
      <c r="G1404">
        <v>-16400362</v>
      </c>
      <c r="H1404">
        <v>49648323</v>
      </c>
      <c r="I1404">
        <v>71342042</v>
      </c>
      <c r="J1404">
        <v>10574972</v>
      </c>
      <c r="P1404">
        <v>153</v>
      </c>
      <c r="Q1404" t="s">
        <v>2851</v>
      </c>
    </row>
    <row r="1405" spans="1:17" x14ac:dyDescent="0.3">
      <c r="A1405" t="s">
        <v>17</v>
      </c>
      <c r="B1405" t="str">
        <f>"603658"</f>
        <v>603658</v>
      </c>
      <c r="C1405" t="s">
        <v>2852</v>
      </c>
      <c r="D1405" t="s">
        <v>113</v>
      </c>
      <c r="F1405">
        <v>92334301</v>
      </c>
      <c r="G1405">
        <v>-494975125</v>
      </c>
      <c r="H1405">
        <v>-52764937</v>
      </c>
      <c r="I1405">
        <v>145794087</v>
      </c>
      <c r="J1405">
        <v>-42553031</v>
      </c>
      <c r="K1405">
        <v>145271659</v>
      </c>
      <c r="L1405">
        <v>22531653</v>
      </c>
      <c r="P1405">
        <v>2608</v>
      </c>
      <c r="Q1405" t="s">
        <v>2853</v>
      </c>
    </row>
    <row r="1406" spans="1:17" x14ac:dyDescent="0.3">
      <c r="A1406" t="s">
        <v>17</v>
      </c>
      <c r="B1406" t="str">
        <f>"603659"</f>
        <v>603659</v>
      </c>
      <c r="C1406" t="s">
        <v>2854</v>
      </c>
      <c r="D1406" t="s">
        <v>188</v>
      </c>
      <c r="F1406">
        <v>-253908249</v>
      </c>
      <c r="G1406">
        <v>-335393982</v>
      </c>
      <c r="H1406">
        <v>-652272393</v>
      </c>
      <c r="I1406">
        <v>-368008023</v>
      </c>
      <c r="J1406">
        <v>-153232919</v>
      </c>
      <c r="K1406">
        <v>20803054</v>
      </c>
      <c r="P1406">
        <v>1048</v>
      </c>
      <c r="Q1406" t="s">
        <v>2855</v>
      </c>
    </row>
    <row r="1407" spans="1:17" x14ac:dyDescent="0.3">
      <c r="A1407" t="s">
        <v>17</v>
      </c>
      <c r="B1407" t="str">
        <f>"603660"</f>
        <v>603660</v>
      </c>
      <c r="C1407" t="s">
        <v>2856</v>
      </c>
      <c r="D1407" t="s">
        <v>212</v>
      </c>
      <c r="F1407">
        <v>-491374278</v>
      </c>
      <c r="G1407">
        <v>-359657002</v>
      </c>
      <c r="H1407">
        <v>-382571181</v>
      </c>
      <c r="I1407">
        <v>-287455821</v>
      </c>
      <c r="J1407">
        <v>-124761487</v>
      </c>
      <c r="K1407">
        <v>-156131791</v>
      </c>
      <c r="P1407">
        <v>291</v>
      </c>
      <c r="Q1407" t="s">
        <v>2857</v>
      </c>
    </row>
    <row r="1408" spans="1:17" x14ac:dyDescent="0.3">
      <c r="A1408" t="s">
        <v>17</v>
      </c>
      <c r="B1408" t="str">
        <f>"603661"</f>
        <v>603661</v>
      </c>
      <c r="C1408" t="s">
        <v>2858</v>
      </c>
      <c r="D1408" t="s">
        <v>161</v>
      </c>
      <c r="F1408">
        <v>-399499769</v>
      </c>
      <c r="G1408">
        <v>-25271203</v>
      </c>
      <c r="H1408">
        <v>-83730732</v>
      </c>
      <c r="I1408">
        <v>-160261357</v>
      </c>
      <c r="J1408">
        <v>-105770447</v>
      </c>
      <c r="K1408">
        <v>177081417</v>
      </c>
      <c r="P1408">
        <v>148</v>
      </c>
      <c r="Q1408" t="s">
        <v>2859</v>
      </c>
    </row>
    <row r="1409" spans="1:17" x14ac:dyDescent="0.3">
      <c r="A1409" t="s">
        <v>17</v>
      </c>
      <c r="B1409" t="str">
        <f>"603662"</f>
        <v>603662</v>
      </c>
      <c r="C1409" t="s">
        <v>2860</v>
      </c>
      <c r="D1409" t="s">
        <v>78</v>
      </c>
      <c r="F1409">
        <v>76309559</v>
      </c>
      <c r="G1409">
        <v>99512015</v>
      </c>
      <c r="H1409">
        <v>66299861</v>
      </c>
      <c r="I1409">
        <v>47030734</v>
      </c>
      <c r="P1409">
        <v>125</v>
      </c>
      <c r="Q1409" t="s">
        <v>2861</v>
      </c>
    </row>
    <row r="1410" spans="1:17" x14ac:dyDescent="0.3">
      <c r="A1410" t="s">
        <v>17</v>
      </c>
      <c r="B1410" t="str">
        <f>"603663"</f>
        <v>603663</v>
      </c>
      <c r="C1410" t="s">
        <v>2862</v>
      </c>
      <c r="D1410" t="s">
        <v>133</v>
      </c>
      <c r="F1410">
        <v>41736792</v>
      </c>
      <c r="G1410">
        <v>-141332570</v>
      </c>
      <c r="H1410">
        <v>-96109509</v>
      </c>
      <c r="I1410">
        <v>-71821926</v>
      </c>
      <c r="J1410">
        <v>-52927274</v>
      </c>
      <c r="K1410">
        <v>5549257</v>
      </c>
      <c r="L1410">
        <v>9365730</v>
      </c>
      <c r="P1410">
        <v>143</v>
      </c>
      <c r="Q1410" t="s">
        <v>2863</v>
      </c>
    </row>
    <row r="1411" spans="1:17" x14ac:dyDescent="0.3">
      <c r="A1411" t="s">
        <v>17</v>
      </c>
      <c r="B1411" t="str">
        <f>"603665"</f>
        <v>603665</v>
      </c>
      <c r="C1411" t="s">
        <v>2864</v>
      </c>
      <c r="D1411" t="s">
        <v>227</v>
      </c>
      <c r="F1411">
        <v>-232783555</v>
      </c>
      <c r="G1411">
        <v>-390531497</v>
      </c>
      <c r="H1411">
        <v>-29119393</v>
      </c>
      <c r="I1411">
        <v>-27321527</v>
      </c>
      <c r="J1411">
        <v>8737798</v>
      </c>
      <c r="K1411">
        <v>-3249625</v>
      </c>
      <c r="P1411">
        <v>89</v>
      </c>
      <c r="Q1411" t="s">
        <v>2865</v>
      </c>
    </row>
    <row r="1412" spans="1:17" x14ac:dyDescent="0.3">
      <c r="A1412" t="s">
        <v>17</v>
      </c>
      <c r="B1412" t="str">
        <f>"603666"</f>
        <v>603666</v>
      </c>
      <c r="C1412" t="s">
        <v>2866</v>
      </c>
      <c r="D1412" t="s">
        <v>78</v>
      </c>
      <c r="F1412">
        <v>-164028522</v>
      </c>
      <c r="G1412">
        <v>-233634829</v>
      </c>
      <c r="H1412">
        <v>-110984686</v>
      </c>
      <c r="I1412">
        <v>-31407624</v>
      </c>
      <c r="J1412">
        <v>-111613487</v>
      </c>
      <c r="P1412">
        <v>451</v>
      </c>
      <c r="Q1412" t="s">
        <v>2867</v>
      </c>
    </row>
    <row r="1413" spans="1:17" x14ac:dyDescent="0.3">
      <c r="A1413" t="s">
        <v>17</v>
      </c>
      <c r="B1413" t="str">
        <f>"603667"</f>
        <v>603667</v>
      </c>
      <c r="C1413" t="s">
        <v>2868</v>
      </c>
      <c r="D1413" t="s">
        <v>78</v>
      </c>
      <c r="F1413">
        <v>-129100972</v>
      </c>
      <c r="G1413">
        <v>17475676</v>
      </c>
      <c r="H1413">
        <v>42635928</v>
      </c>
      <c r="I1413">
        <v>-111183067</v>
      </c>
      <c r="J1413">
        <v>3978617</v>
      </c>
      <c r="K1413">
        <v>60445772</v>
      </c>
      <c r="L1413">
        <v>8485159</v>
      </c>
      <c r="P1413">
        <v>116</v>
      </c>
      <c r="Q1413" t="s">
        <v>2869</v>
      </c>
    </row>
    <row r="1414" spans="1:17" x14ac:dyDescent="0.3">
      <c r="A1414" t="s">
        <v>17</v>
      </c>
      <c r="B1414" t="str">
        <f>"603668"</f>
        <v>603668</v>
      </c>
      <c r="C1414" t="s">
        <v>2870</v>
      </c>
      <c r="D1414" t="s">
        <v>205</v>
      </c>
      <c r="F1414">
        <v>-556642329</v>
      </c>
      <c r="G1414">
        <v>-192225500</v>
      </c>
      <c r="H1414">
        <v>-214733179</v>
      </c>
      <c r="I1414">
        <v>-381385613</v>
      </c>
      <c r="J1414">
        <v>-366926109</v>
      </c>
      <c r="K1414">
        <v>-59759547</v>
      </c>
      <c r="L1414">
        <v>-79655605</v>
      </c>
      <c r="P1414">
        <v>126</v>
      </c>
      <c r="Q1414" t="s">
        <v>2871</v>
      </c>
    </row>
    <row r="1415" spans="1:17" x14ac:dyDescent="0.3">
      <c r="A1415" t="s">
        <v>17</v>
      </c>
      <c r="B1415" t="str">
        <f>"603669"</f>
        <v>603669</v>
      </c>
      <c r="C1415" t="s">
        <v>2872</v>
      </c>
      <c r="D1415" t="s">
        <v>113</v>
      </c>
      <c r="F1415">
        <v>-28655890</v>
      </c>
      <c r="G1415">
        <v>-36083067</v>
      </c>
      <c r="H1415">
        <v>114708134</v>
      </c>
      <c r="I1415">
        <v>39333750</v>
      </c>
      <c r="J1415">
        <v>11151275</v>
      </c>
      <c r="K1415">
        <v>66016025</v>
      </c>
      <c r="L1415">
        <v>29651120</v>
      </c>
      <c r="M1415">
        <v>17587194</v>
      </c>
      <c r="P1415">
        <v>194</v>
      </c>
      <c r="Q1415" t="s">
        <v>2873</v>
      </c>
    </row>
    <row r="1416" spans="1:17" x14ac:dyDescent="0.3">
      <c r="A1416" t="s">
        <v>17</v>
      </c>
      <c r="B1416" t="str">
        <f>"603676"</f>
        <v>603676</v>
      </c>
      <c r="C1416" t="s">
        <v>2874</v>
      </c>
      <c r="D1416" t="s">
        <v>113</v>
      </c>
      <c r="F1416">
        <v>53140607</v>
      </c>
      <c r="G1416">
        <v>27173592</v>
      </c>
      <c r="H1416">
        <v>-44069011</v>
      </c>
      <c r="I1416">
        <v>20700939</v>
      </c>
      <c r="J1416">
        <v>25397197</v>
      </c>
      <c r="K1416">
        <v>58614438</v>
      </c>
      <c r="P1416">
        <v>107</v>
      </c>
      <c r="Q1416" t="s">
        <v>2875</v>
      </c>
    </row>
    <row r="1417" spans="1:17" x14ac:dyDescent="0.3">
      <c r="A1417" t="s">
        <v>17</v>
      </c>
      <c r="B1417" t="str">
        <f>"603677"</f>
        <v>603677</v>
      </c>
      <c r="C1417" t="s">
        <v>2876</v>
      </c>
      <c r="D1417" t="s">
        <v>126</v>
      </c>
      <c r="F1417">
        <v>-39676764</v>
      </c>
      <c r="G1417">
        <v>180787024</v>
      </c>
      <c r="H1417">
        <v>-55893504</v>
      </c>
      <c r="I1417">
        <v>-60258423</v>
      </c>
      <c r="J1417">
        <v>-195477533</v>
      </c>
      <c r="K1417">
        <v>57101719</v>
      </c>
      <c r="L1417">
        <v>113265773</v>
      </c>
      <c r="P1417">
        <v>124</v>
      </c>
      <c r="Q1417" t="s">
        <v>2877</v>
      </c>
    </row>
    <row r="1418" spans="1:17" x14ac:dyDescent="0.3">
      <c r="A1418" t="s">
        <v>17</v>
      </c>
      <c r="B1418" t="str">
        <f>"603678"</f>
        <v>603678</v>
      </c>
      <c r="C1418" t="s">
        <v>2878</v>
      </c>
      <c r="D1418" t="s">
        <v>92</v>
      </c>
      <c r="F1418">
        <v>8966591</v>
      </c>
      <c r="G1418">
        <v>-157520881</v>
      </c>
      <c r="H1418">
        <v>-162575495</v>
      </c>
      <c r="I1418">
        <v>-194266465</v>
      </c>
      <c r="J1418">
        <v>-125092439</v>
      </c>
      <c r="K1418">
        <v>-166596165</v>
      </c>
      <c r="L1418">
        <v>-137529645</v>
      </c>
      <c r="M1418">
        <v>-15496227</v>
      </c>
      <c r="N1418">
        <v>-67990674</v>
      </c>
      <c r="P1418">
        <v>640</v>
      </c>
      <c r="Q1418" t="s">
        <v>2879</v>
      </c>
    </row>
    <row r="1419" spans="1:17" x14ac:dyDescent="0.3">
      <c r="A1419" t="s">
        <v>17</v>
      </c>
      <c r="B1419" t="str">
        <f>"603679"</f>
        <v>603679</v>
      </c>
      <c r="C1419" t="s">
        <v>2880</v>
      </c>
      <c r="D1419" t="s">
        <v>150</v>
      </c>
      <c r="F1419">
        <v>-35523873</v>
      </c>
      <c r="G1419">
        <v>-84245783</v>
      </c>
      <c r="H1419">
        <v>-103430960</v>
      </c>
      <c r="I1419">
        <v>-81942996</v>
      </c>
      <c r="J1419">
        <v>-22973980</v>
      </c>
      <c r="K1419">
        <v>-3517355</v>
      </c>
      <c r="P1419">
        <v>164</v>
      </c>
      <c r="Q1419" t="s">
        <v>2881</v>
      </c>
    </row>
    <row r="1420" spans="1:17" x14ac:dyDescent="0.3">
      <c r="A1420" t="s">
        <v>17</v>
      </c>
      <c r="B1420" t="str">
        <f>"603680"</f>
        <v>603680</v>
      </c>
      <c r="C1420" t="s">
        <v>2882</v>
      </c>
      <c r="D1420" t="s">
        <v>78</v>
      </c>
      <c r="F1420">
        <v>-179379459</v>
      </c>
      <c r="G1420">
        <v>-312511502</v>
      </c>
      <c r="H1420">
        <v>-1067049376</v>
      </c>
      <c r="I1420">
        <v>-405687717</v>
      </c>
      <c r="J1420">
        <v>-503336088</v>
      </c>
      <c r="K1420">
        <v>-62371100</v>
      </c>
      <c r="P1420">
        <v>81</v>
      </c>
      <c r="Q1420" t="s">
        <v>2883</v>
      </c>
    </row>
    <row r="1421" spans="1:17" x14ac:dyDescent="0.3">
      <c r="A1421" t="s">
        <v>17</v>
      </c>
      <c r="B1421" t="str">
        <f>"603681"</f>
        <v>603681</v>
      </c>
      <c r="C1421" t="s">
        <v>2884</v>
      </c>
      <c r="D1421" t="s">
        <v>133</v>
      </c>
      <c r="F1421">
        <v>-714983650</v>
      </c>
      <c r="G1421">
        <v>-335583436</v>
      </c>
      <c r="H1421">
        <v>6462245</v>
      </c>
      <c r="I1421">
        <v>20509521</v>
      </c>
      <c r="P1421">
        <v>114</v>
      </c>
      <c r="Q1421" t="s">
        <v>2885</v>
      </c>
    </row>
    <row r="1422" spans="1:17" x14ac:dyDescent="0.3">
      <c r="A1422" t="s">
        <v>17</v>
      </c>
      <c r="B1422" t="str">
        <f>"603682"</f>
        <v>603682</v>
      </c>
      <c r="C1422" t="s">
        <v>2886</v>
      </c>
      <c r="D1422" t="s">
        <v>120</v>
      </c>
      <c r="F1422">
        <v>208789284</v>
      </c>
      <c r="G1422">
        <v>62770091</v>
      </c>
      <c r="H1422">
        <v>97116701</v>
      </c>
      <c r="P1422">
        <v>156</v>
      </c>
      <c r="Q1422" t="s">
        <v>2887</v>
      </c>
    </row>
    <row r="1423" spans="1:17" x14ac:dyDescent="0.3">
      <c r="A1423" t="s">
        <v>17</v>
      </c>
      <c r="B1423" t="str">
        <f>"603683"</f>
        <v>603683</v>
      </c>
      <c r="C1423" t="s">
        <v>2888</v>
      </c>
      <c r="D1423" t="s">
        <v>133</v>
      </c>
      <c r="F1423">
        <v>-9408582</v>
      </c>
      <c r="G1423">
        <v>-65199389</v>
      </c>
      <c r="H1423">
        <v>-116294313</v>
      </c>
      <c r="I1423">
        <v>-204491347</v>
      </c>
      <c r="J1423">
        <v>-120478453</v>
      </c>
      <c r="K1423">
        <v>-30855508</v>
      </c>
      <c r="P1423">
        <v>58</v>
      </c>
      <c r="Q1423" t="s">
        <v>2889</v>
      </c>
    </row>
    <row r="1424" spans="1:17" x14ac:dyDescent="0.3">
      <c r="A1424" t="s">
        <v>17</v>
      </c>
      <c r="B1424" t="str">
        <f>"603685"</f>
        <v>603685</v>
      </c>
      <c r="C1424" t="s">
        <v>2890</v>
      </c>
      <c r="D1424" t="s">
        <v>150</v>
      </c>
      <c r="F1424">
        <v>-171951109</v>
      </c>
      <c r="G1424">
        <v>-68851465</v>
      </c>
      <c r="H1424">
        <v>-53101308</v>
      </c>
      <c r="I1424">
        <v>-12859238</v>
      </c>
      <c r="J1424">
        <v>124937</v>
      </c>
      <c r="K1424">
        <v>3362727</v>
      </c>
      <c r="P1424">
        <v>102</v>
      </c>
      <c r="Q1424" t="s">
        <v>2891</v>
      </c>
    </row>
    <row r="1425" spans="1:17" x14ac:dyDescent="0.3">
      <c r="A1425" t="s">
        <v>17</v>
      </c>
      <c r="B1425" t="str">
        <f>"603686"</f>
        <v>603686</v>
      </c>
      <c r="C1425" t="s">
        <v>2892</v>
      </c>
      <c r="D1425" t="s">
        <v>33</v>
      </c>
      <c r="F1425">
        <v>-453967904</v>
      </c>
      <c r="G1425">
        <v>31818609</v>
      </c>
      <c r="H1425">
        <v>-622625637</v>
      </c>
      <c r="I1425">
        <v>-770097513</v>
      </c>
      <c r="J1425">
        <v>-493569512</v>
      </c>
      <c r="K1425">
        <v>-300675810</v>
      </c>
      <c r="L1425">
        <v>-207190432</v>
      </c>
      <c r="M1425">
        <v>-198324100</v>
      </c>
      <c r="P1425">
        <v>762</v>
      </c>
      <c r="Q1425" t="s">
        <v>2893</v>
      </c>
    </row>
    <row r="1426" spans="1:17" x14ac:dyDescent="0.3">
      <c r="A1426" t="s">
        <v>17</v>
      </c>
      <c r="B1426" t="str">
        <f>"603687"</f>
        <v>603687</v>
      </c>
      <c r="C1426" t="s">
        <v>2894</v>
      </c>
      <c r="D1426" t="s">
        <v>161</v>
      </c>
      <c r="F1426">
        <v>-6754932</v>
      </c>
      <c r="G1426">
        <v>299014436</v>
      </c>
      <c r="H1426">
        <v>9843458</v>
      </c>
      <c r="I1426">
        <v>-56166831</v>
      </c>
      <c r="J1426">
        <v>68326753</v>
      </c>
      <c r="P1426">
        <v>92</v>
      </c>
      <c r="Q1426" t="s">
        <v>2895</v>
      </c>
    </row>
    <row r="1427" spans="1:17" x14ac:dyDescent="0.3">
      <c r="A1427" t="s">
        <v>17</v>
      </c>
      <c r="B1427" t="str">
        <f>"603688"</f>
        <v>603688</v>
      </c>
      <c r="C1427" t="s">
        <v>2896</v>
      </c>
      <c r="D1427" t="s">
        <v>133</v>
      </c>
      <c r="F1427">
        <v>19804445</v>
      </c>
      <c r="G1427">
        <v>-55354384</v>
      </c>
      <c r="H1427">
        <v>-16229808</v>
      </c>
      <c r="I1427">
        <v>587049</v>
      </c>
      <c r="J1427">
        <v>1185780</v>
      </c>
      <c r="K1427">
        <v>23662597</v>
      </c>
      <c r="L1427">
        <v>-30692116</v>
      </c>
      <c r="M1427">
        <v>-6974317</v>
      </c>
      <c r="N1427">
        <v>12934792</v>
      </c>
      <c r="O1427">
        <v>-26291599</v>
      </c>
      <c r="P1427">
        <v>219</v>
      </c>
      <c r="Q1427" t="s">
        <v>2897</v>
      </c>
    </row>
    <row r="1428" spans="1:17" x14ac:dyDescent="0.3">
      <c r="A1428" t="s">
        <v>17</v>
      </c>
      <c r="B1428" t="str">
        <f>"603689"</f>
        <v>603689</v>
      </c>
      <c r="C1428" t="s">
        <v>2898</v>
      </c>
      <c r="D1428" t="s">
        <v>41</v>
      </c>
      <c r="F1428">
        <v>156844001</v>
      </c>
      <c r="G1428">
        <v>215900361</v>
      </c>
      <c r="H1428">
        <v>165785404</v>
      </c>
      <c r="I1428">
        <v>110090625</v>
      </c>
      <c r="J1428">
        <v>-27565048</v>
      </c>
      <c r="K1428">
        <v>-33593727</v>
      </c>
      <c r="L1428">
        <v>124290100</v>
      </c>
      <c r="P1428">
        <v>117</v>
      </c>
      <c r="Q1428" t="s">
        <v>2899</v>
      </c>
    </row>
    <row r="1429" spans="1:17" x14ac:dyDescent="0.3">
      <c r="A1429" t="s">
        <v>17</v>
      </c>
      <c r="B1429" t="str">
        <f>"603690"</f>
        <v>603690</v>
      </c>
      <c r="C1429" t="s">
        <v>2900</v>
      </c>
      <c r="D1429" t="s">
        <v>150</v>
      </c>
      <c r="F1429">
        <v>-784981208</v>
      </c>
      <c r="G1429">
        <v>-480603914</v>
      </c>
      <c r="H1429">
        <v>-182321804</v>
      </c>
      <c r="I1429">
        <v>-126275982</v>
      </c>
      <c r="J1429">
        <v>-86197000</v>
      </c>
      <c r="K1429">
        <v>-5859732</v>
      </c>
      <c r="L1429">
        <v>-66365030</v>
      </c>
      <c r="P1429">
        <v>450</v>
      </c>
      <c r="Q1429" t="s">
        <v>2901</v>
      </c>
    </row>
    <row r="1430" spans="1:17" x14ac:dyDescent="0.3">
      <c r="A1430" t="s">
        <v>17</v>
      </c>
      <c r="B1430" t="str">
        <f>"603693"</f>
        <v>603693</v>
      </c>
      <c r="C1430" t="s">
        <v>2902</v>
      </c>
      <c r="D1430" t="s">
        <v>41</v>
      </c>
      <c r="F1430">
        <v>-719809565</v>
      </c>
      <c r="G1430">
        <v>-406353677</v>
      </c>
      <c r="H1430">
        <v>-120651169</v>
      </c>
      <c r="I1430">
        <v>348145334</v>
      </c>
      <c r="J1430">
        <v>27646569</v>
      </c>
      <c r="P1430">
        <v>160</v>
      </c>
      <c r="Q1430" t="s">
        <v>2903</v>
      </c>
    </row>
    <row r="1431" spans="1:17" x14ac:dyDescent="0.3">
      <c r="A1431" t="s">
        <v>17</v>
      </c>
      <c r="B1431" t="str">
        <f>"603696"</f>
        <v>603696</v>
      </c>
      <c r="C1431" t="s">
        <v>2904</v>
      </c>
      <c r="D1431" t="s">
        <v>123</v>
      </c>
      <c r="F1431">
        <v>51389807</v>
      </c>
      <c r="G1431">
        <v>2368101</v>
      </c>
      <c r="H1431">
        <v>37192859</v>
      </c>
      <c r="I1431">
        <v>-29877500</v>
      </c>
      <c r="J1431">
        <v>-14850554</v>
      </c>
      <c r="K1431">
        <v>-1865521</v>
      </c>
      <c r="L1431">
        <v>23243395</v>
      </c>
      <c r="M1431">
        <v>44082321</v>
      </c>
      <c r="P1431">
        <v>195</v>
      </c>
      <c r="Q1431" t="s">
        <v>2905</v>
      </c>
    </row>
    <row r="1432" spans="1:17" x14ac:dyDescent="0.3">
      <c r="A1432" t="s">
        <v>17</v>
      </c>
      <c r="B1432" t="str">
        <f>"603697"</f>
        <v>603697</v>
      </c>
      <c r="C1432" t="s">
        <v>2906</v>
      </c>
      <c r="D1432" t="s">
        <v>123</v>
      </c>
      <c r="F1432">
        <v>187605579</v>
      </c>
      <c r="G1432">
        <v>25356809</v>
      </c>
      <c r="H1432">
        <v>205971515</v>
      </c>
      <c r="I1432">
        <v>103538483</v>
      </c>
      <c r="P1432">
        <v>394</v>
      </c>
      <c r="Q1432" t="s">
        <v>2907</v>
      </c>
    </row>
    <row r="1433" spans="1:17" x14ac:dyDescent="0.3">
      <c r="A1433" t="s">
        <v>17</v>
      </c>
      <c r="B1433" t="str">
        <f>"603698"</f>
        <v>603698</v>
      </c>
      <c r="C1433" t="s">
        <v>2908</v>
      </c>
      <c r="D1433" t="s">
        <v>78</v>
      </c>
      <c r="F1433">
        <v>476416303</v>
      </c>
      <c r="G1433">
        <v>169407255</v>
      </c>
      <c r="H1433">
        <v>-221548243</v>
      </c>
      <c r="I1433">
        <v>-128493250</v>
      </c>
      <c r="J1433">
        <v>347427679</v>
      </c>
      <c r="K1433">
        <v>-157462154</v>
      </c>
      <c r="L1433">
        <v>-323295267</v>
      </c>
      <c r="M1433">
        <v>168866332</v>
      </c>
      <c r="P1433">
        <v>108</v>
      </c>
      <c r="Q1433" t="s">
        <v>2909</v>
      </c>
    </row>
    <row r="1434" spans="1:17" x14ac:dyDescent="0.3">
      <c r="A1434" t="s">
        <v>17</v>
      </c>
      <c r="B1434" t="str">
        <f>"603699"</f>
        <v>603699</v>
      </c>
      <c r="C1434" t="s">
        <v>2910</v>
      </c>
      <c r="D1434" t="s">
        <v>78</v>
      </c>
      <c r="F1434">
        <v>44556349</v>
      </c>
      <c r="G1434">
        <v>332895626</v>
      </c>
      <c r="H1434">
        <v>-256995029</v>
      </c>
      <c r="I1434">
        <v>6483044</v>
      </c>
      <c r="J1434">
        <v>156955387</v>
      </c>
      <c r="K1434">
        <v>159774054</v>
      </c>
      <c r="L1434">
        <v>108405523</v>
      </c>
      <c r="M1434">
        <v>177470489</v>
      </c>
      <c r="N1434">
        <v>98242438</v>
      </c>
      <c r="P1434">
        <v>272</v>
      </c>
      <c r="Q1434" t="s">
        <v>2911</v>
      </c>
    </row>
    <row r="1435" spans="1:17" x14ac:dyDescent="0.3">
      <c r="A1435" t="s">
        <v>17</v>
      </c>
      <c r="B1435" t="str">
        <f>"603700"</f>
        <v>603700</v>
      </c>
      <c r="C1435" t="s">
        <v>2912</v>
      </c>
      <c r="D1435" t="s">
        <v>78</v>
      </c>
      <c r="F1435">
        <v>-214933724</v>
      </c>
      <c r="G1435">
        <v>-208798057</v>
      </c>
      <c r="H1435">
        <v>-177501112</v>
      </c>
      <c r="I1435">
        <v>-36248400</v>
      </c>
      <c r="P1435">
        <v>395</v>
      </c>
      <c r="Q1435" t="s">
        <v>2913</v>
      </c>
    </row>
    <row r="1436" spans="1:17" x14ac:dyDescent="0.3">
      <c r="A1436" t="s">
        <v>17</v>
      </c>
      <c r="B1436" t="str">
        <f>"603701"</f>
        <v>603701</v>
      </c>
      <c r="C1436" t="s">
        <v>2914</v>
      </c>
      <c r="D1436" t="s">
        <v>27</v>
      </c>
      <c r="F1436">
        <v>14740484</v>
      </c>
      <c r="G1436">
        <v>-40321846</v>
      </c>
      <c r="H1436">
        <v>7315484</v>
      </c>
      <c r="I1436">
        <v>54055144</v>
      </c>
      <c r="J1436">
        <v>3071026</v>
      </c>
      <c r="K1436">
        <v>4515281</v>
      </c>
      <c r="L1436">
        <v>25627323</v>
      </c>
      <c r="P1436">
        <v>93</v>
      </c>
      <c r="Q1436" t="s">
        <v>2915</v>
      </c>
    </row>
    <row r="1437" spans="1:17" x14ac:dyDescent="0.3">
      <c r="A1437" t="s">
        <v>17</v>
      </c>
      <c r="B1437" t="str">
        <f>"603703"</f>
        <v>603703</v>
      </c>
      <c r="C1437" t="s">
        <v>2916</v>
      </c>
      <c r="D1437" t="s">
        <v>150</v>
      </c>
      <c r="F1437">
        <v>19805491</v>
      </c>
      <c r="G1437">
        <v>-44114128</v>
      </c>
      <c r="H1437">
        <v>-26339859</v>
      </c>
      <c r="I1437">
        <v>-73128633</v>
      </c>
      <c r="J1437">
        <v>94395275</v>
      </c>
      <c r="K1437">
        <v>-8887762</v>
      </c>
      <c r="L1437">
        <v>-77639219</v>
      </c>
      <c r="M1437">
        <v>-35328094</v>
      </c>
      <c r="P1437">
        <v>78</v>
      </c>
      <c r="Q1437" t="s">
        <v>2917</v>
      </c>
    </row>
    <row r="1438" spans="1:17" x14ac:dyDescent="0.3">
      <c r="A1438" t="s">
        <v>17</v>
      </c>
      <c r="B1438" t="str">
        <f>"603706"</f>
        <v>603706</v>
      </c>
      <c r="C1438" t="s">
        <v>2918</v>
      </c>
      <c r="D1438" t="s">
        <v>41</v>
      </c>
      <c r="F1438">
        <v>26363017</v>
      </c>
      <c r="G1438">
        <v>80743268</v>
      </c>
      <c r="H1438">
        <v>53443986</v>
      </c>
      <c r="I1438">
        <v>-5134759</v>
      </c>
      <c r="J1438">
        <v>-15764979</v>
      </c>
      <c r="P1438">
        <v>91</v>
      </c>
      <c r="Q1438" t="s">
        <v>2919</v>
      </c>
    </row>
    <row r="1439" spans="1:17" x14ac:dyDescent="0.3">
      <c r="A1439" t="s">
        <v>17</v>
      </c>
      <c r="B1439" t="str">
        <f>"603707"</f>
        <v>603707</v>
      </c>
      <c r="C1439" t="s">
        <v>2920</v>
      </c>
      <c r="D1439" t="s">
        <v>113</v>
      </c>
      <c r="F1439">
        <v>23921034</v>
      </c>
      <c r="G1439">
        <v>-672946786</v>
      </c>
      <c r="H1439">
        <v>-760955471</v>
      </c>
      <c r="I1439">
        <v>-70184505</v>
      </c>
      <c r="J1439">
        <v>-214590548</v>
      </c>
      <c r="K1439">
        <v>-257885175</v>
      </c>
      <c r="P1439">
        <v>775</v>
      </c>
      <c r="Q1439" t="s">
        <v>2921</v>
      </c>
    </row>
    <row r="1440" spans="1:17" x14ac:dyDescent="0.3">
      <c r="A1440" t="s">
        <v>17</v>
      </c>
      <c r="B1440" t="str">
        <f>"603708"</f>
        <v>603708</v>
      </c>
      <c r="C1440" t="s">
        <v>2922</v>
      </c>
      <c r="D1440" t="s">
        <v>120</v>
      </c>
      <c r="F1440">
        <v>854929137</v>
      </c>
      <c r="G1440">
        <v>348935794</v>
      </c>
      <c r="H1440">
        <v>218006559</v>
      </c>
      <c r="I1440">
        <v>149480010</v>
      </c>
      <c r="J1440">
        <v>558723303</v>
      </c>
      <c r="K1440">
        <v>673786845</v>
      </c>
      <c r="P1440">
        <v>702</v>
      </c>
      <c r="Q1440" t="s">
        <v>2923</v>
      </c>
    </row>
    <row r="1441" spans="1:17" x14ac:dyDescent="0.3">
      <c r="A1441" t="s">
        <v>17</v>
      </c>
      <c r="B1441" t="str">
        <f>"603709"</f>
        <v>603709</v>
      </c>
      <c r="C1441" t="s">
        <v>2924</v>
      </c>
      <c r="D1441" t="s">
        <v>161</v>
      </c>
      <c r="F1441">
        <v>-208396421</v>
      </c>
      <c r="G1441">
        <v>-76929511</v>
      </c>
      <c r="H1441">
        <v>-29421456</v>
      </c>
      <c r="I1441">
        <v>-20664734</v>
      </c>
      <c r="J1441">
        <v>50614546</v>
      </c>
      <c r="K1441">
        <v>74636300</v>
      </c>
      <c r="P1441">
        <v>99</v>
      </c>
      <c r="Q1441" t="s">
        <v>2925</v>
      </c>
    </row>
    <row r="1442" spans="1:17" x14ac:dyDescent="0.3">
      <c r="A1442" t="s">
        <v>17</v>
      </c>
      <c r="B1442" t="str">
        <f>"603711"</f>
        <v>603711</v>
      </c>
      <c r="C1442" t="s">
        <v>2926</v>
      </c>
      <c r="D1442" t="s">
        <v>123</v>
      </c>
      <c r="F1442">
        <v>-306609509</v>
      </c>
      <c r="G1442">
        <v>-451991984</v>
      </c>
      <c r="H1442">
        <v>-29924451</v>
      </c>
      <c r="I1442">
        <v>-94695230</v>
      </c>
      <c r="J1442">
        <v>-280239643</v>
      </c>
      <c r="P1442">
        <v>392</v>
      </c>
      <c r="Q1442" t="s">
        <v>2927</v>
      </c>
    </row>
    <row r="1443" spans="1:17" x14ac:dyDescent="0.3">
      <c r="A1443" t="s">
        <v>17</v>
      </c>
      <c r="B1443" t="str">
        <f>"603712"</f>
        <v>603712</v>
      </c>
      <c r="C1443" t="s">
        <v>2928</v>
      </c>
      <c r="D1443" t="s">
        <v>92</v>
      </c>
      <c r="F1443">
        <v>308003662</v>
      </c>
      <c r="G1443">
        <v>141885532</v>
      </c>
      <c r="H1443">
        <v>112911985</v>
      </c>
      <c r="I1443">
        <v>91315057</v>
      </c>
      <c r="J1443">
        <v>-98181538</v>
      </c>
      <c r="K1443">
        <v>-259206789</v>
      </c>
      <c r="P1443">
        <v>326</v>
      </c>
      <c r="Q1443" t="s">
        <v>2929</v>
      </c>
    </row>
    <row r="1444" spans="1:17" x14ac:dyDescent="0.3">
      <c r="A1444" t="s">
        <v>17</v>
      </c>
      <c r="B1444" t="str">
        <f>"603713"</f>
        <v>603713</v>
      </c>
      <c r="C1444" t="s">
        <v>2930</v>
      </c>
      <c r="D1444" t="s">
        <v>22</v>
      </c>
      <c r="F1444">
        <v>-196921052</v>
      </c>
      <c r="G1444">
        <v>203416759</v>
      </c>
      <c r="H1444">
        <v>-51252051</v>
      </c>
      <c r="I1444">
        <v>-76577187</v>
      </c>
      <c r="J1444">
        <v>-34304334</v>
      </c>
      <c r="P1444">
        <v>457</v>
      </c>
      <c r="Q1444" t="s">
        <v>2931</v>
      </c>
    </row>
    <row r="1445" spans="1:17" x14ac:dyDescent="0.3">
      <c r="A1445" t="s">
        <v>17</v>
      </c>
      <c r="B1445" t="str">
        <f>"603716"</f>
        <v>603716</v>
      </c>
      <c r="C1445" t="s">
        <v>2932</v>
      </c>
      <c r="D1445" t="s">
        <v>113</v>
      </c>
      <c r="F1445">
        <v>-271554591</v>
      </c>
      <c r="G1445">
        <v>-268325018</v>
      </c>
      <c r="H1445">
        <v>-113505849</v>
      </c>
      <c r="I1445">
        <v>-186218778</v>
      </c>
      <c r="J1445">
        <v>-115460293</v>
      </c>
      <c r="K1445">
        <v>-83953272</v>
      </c>
      <c r="L1445">
        <v>-39731417</v>
      </c>
      <c r="P1445">
        <v>137</v>
      </c>
      <c r="Q1445" t="s">
        <v>2933</v>
      </c>
    </row>
    <row r="1446" spans="1:17" x14ac:dyDescent="0.3">
      <c r="A1446" t="s">
        <v>17</v>
      </c>
      <c r="B1446" t="str">
        <f>"603717"</f>
        <v>603717</v>
      </c>
      <c r="C1446" t="s">
        <v>2934</v>
      </c>
      <c r="D1446" t="s">
        <v>95</v>
      </c>
      <c r="F1446">
        <v>-101024331</v>
      </c>
      <c r="G1446">
        <v>-195564307</v>
      </c>
      <c r="H1446">
        <v>-289207434</v>
      </c>
      <c r="I1446">
        <v>-80528695</v>
      </c>
      <c r="J1446">
        <v>-386510883</v>
      </c>
      <c r="K1446">
        <v>47236413</v>
      </c>
      <c r="P1446">
        <v>55</v>
      </c>
      <c r="Q1446" t="s">
        <v>2935</v>
      </c>
    </row>
    <row r="1447" spans="1:17" x14ac:dyDescent="0.3">
      <c r="A1447" t="s">
        <v>17</v>
      </c>
      <c r="B1447" t="str">
        <f>"603718"</f>
        <v>603718</v>
      </c>
      <c r="C1447" t="s">
        <v>2936</v>
      </c>
      <c r="D1447" t="s">
        <v>205</v>
      </c>
      <c r="F1447">
        <v>26700041</v>
      </c>
      <c r="G1447">
        <v>-15171351</v>
      </c>
      <c r="H1447">
        <v>107997844</v>
      </c>
      <c r="I1447">
        <v>-97306402</v>
      </c>
      <c r="J1447">
        <v>950296</v>
      </c>
      <c r="K1447">
        <v>-63133794</v>
      </c>
      <c r="L1447">
        <v>38674753</v>
      </c>
      <c r="M1447">
        <v>9608407</v>
      </c>
      <c r="P1447">
        <v>166</v>
      </c>
      <c r="Q1447" t="s">
        <v>2937</v>
      </c>
    </row>
    <row r="1448" spans="1:17" x14ac:dyDescent="0.3">
      <c r="A1448" t="s">
        <v>17</v>
      </c>
      <c r="B1448" t="str">
        <f>"603719"</f>
        <v>603719</v>
      </c>
      <c r="C1448" t="s">
        <v>2938</v>
      </c>
      <c r="D1448" t="s">
        <v>123</v>
      </c>
      <c r="F1448">
        <v>217739139</v>
      </c>
      <c r="G1448">
        <v>7709563</v>
      </c>
      <c r="H1448">
        <v>253276648</v>
      </c>
      <c r="I1448">
        <v>-221651615</v>
      </c>
      <c r="P1448">
        <v>716</v>
      </c>
      <c r="Q1448" t="s">
        <v>2939</v>
      </c>
    </row>
    <row r="1449" spans="1:17" x14ac:dyDescent="0.3">
      <c r="A1449" t="s">
        <v>17</v>
      </c>
      <c r="B1449" t="str">
        <f>"603721"</f>
        <v>603721</v>
      </c>
      <c r="C1449" t="s">
        <v>2940</v>
      </c>
      <c r="D1449" t="s">
        <v>89</v>
      </c>
      <c r="F1449">
        <v>-90729113</v>
      </c>
      <c r="G1449">
        <v>-33547876</v>
      </c>
      <c r="H1449">
        <v>-97320803</v>
      </c>
      <c r="I1449">
        <v>-61167773</v>
      </c>
      <c r="J1449">
        <v>56512041</v>
      </c>
      <c r="K1449">
        <v>-13849851</v>
      </c>
      <c r="P1449">
        <v>89</v>
      </c>
      <c r="Q1449" t="s">
        <v>2941</v>
      </c>
    </row>
    <row r="1450" spans="1:17" x14ac:dyDescent="0.3">
      <c r="A1450" t="s">
        <v>17</v>
      </c>
      <c r="B1450" t="str">
        <f>"603722"</f>
        <v>603722</v>
      </c>
      <c r="C1450" t="s">
        <v>2942</v>
      </c>
      <c r="D1450" t="s">
        <v>133</v>
      </c>
      <c r="F1450">
        <v>104237742</v>
      </c>
      <c r="G1450">
        <v>16074736</v>
      </c>
      <c r="H1450">
        <v>20709576</v>
      </c>
      <c r="I1450">
        <v>-32738565</v>
      </c>
      <c r="J1450">
        <v>606374</v>
      </c>
      <c r="K1450">
        <v>22352222</v>
      </c>
      <c r="P1450">
        <v>84</v>
      </c>
      <c r="Q1450" t="s">
        <v>2943</v>
      </c>
    </row>
    <row r="1451" spans="1:17" x14ac:dyDescent="0.3">
      <c r="A1451" t="s">
        <v>17</v>
      </c>
      <c r="B1451" t="str">
        <f>"603725"</f>
        <v>603725</v>
      </c>
      <c r="C1451" t="s">
        <v>2944</v>
      </c>
      <c r="D1451" t="s">
        <v>133</v>
      </c>
      <c r="F1451">
        <v>71714025</v>
      </c>
      <c r="G1451">
        <v>2209599</v>
      </c>
      <c r="H1451">
        <v>3555983</v>
      </c>
      <c r="I1451">
        <v>-83921857</v>
      </c>
      <c r="J1451">
        <v>-54112785</v>
      </c>
      <c r="K1451">
        <v>13517638</v>
      </c>
      <c r="P1451">
        <v>74</v>
      </c>
      <c r="Q1451" t="s">
        <v>2945</v>
      </c>
    </row>
    <row r="1452" spans="1:17" x14ac:dyDescent="0.3">
      <c r="A1452" t="s">
        <v>17</v>
      </c>
      <c r="B1452" t="str">
        <f>"603726"</f>
        <v>603726</v>
      </c>
      <c r="C1452" t="s">
        <v>2946</v>
      </c>
      <c r="D1452" t="s">
        <v>126</v>
      </c>
      <c r="F1452">
        <v>73796215</v>
      </c>
      <c r="G1452">
        <v>15550576</v>
      </c>
      <c r="H1452">
        <v>65960105</v>
      </c>
      <c r="I1452">
        <v>-141878309</v>
      </c>
      <c r="J1452">
        <v>-75195809</v>
      </c>
      <c r="K1452">
        <v>-7444273</v>
      </c>
      <c r="L1452">
        <v>34557937</v>
      </c>
      <c r="P1452">
        <v>123</v>
      </c>
      <c r="Q1452" t="s">
        <v>2947</v>
      </c>
    </row>
    <row r="1453" spans="1:17" x14ac:dyDescent="0.3">
      <c r="A1453" t="s">
        <v>17</v>
      </c>
      <c r="B1453" t="str">
        <f>"603727"</f>
        <v>603727</v>
      </c>
      <c r="C1453" t="s">
        <v>2948</v>
      </c>
      <c r="D1453" t="s">
        <v>70</v>
      </c>
      <c r="F1453">
        <v>-79115293</v>
      </c>
      <c r="G1453">
        <v>251386118</v>
      </c>
      <c r="H1453">
        <v>-165840615</v>
      </c>
      <c r="I1453">
        <v>-296241920</v>
      </c>
      <c r="J1453">
        <v>-46676388</v>
      </c>
      <c r="K1453">
        <v>415575967</v>
      </c>
      <c r="P1453">
        <v>123</v>
      </c>
      <c r="Q1453" t="s">
        <v>2949</v>
      </c>
    </row>
    <row r="1454" spans="1:17" x14ac:dyDescent="0.3">
      <c r="A1454" t="s">
        <v>17</v>
      </c>
      <c r="B1454" t="str">
        <f>"603728"</f>
        <v>603728</v>
      </c>
      <c r="C1454" t="s">
        <v>2950</v>
      </c>
      <c r="D1454" t="s">
        <v>188</v>
      </c>
      <c r="F1454">
        <v>-45564134</v>
      </c>
      <c r="G1454">
        <v>156741366</v>
      </c>
      <c r="H1454">
        <v>58846153</v>
      </c>
      <c r="I1454">
        <v>-33434978</v>
      </c>
      <c r="J1454">
        <v>29919577</v>
      </c>
      <c r="K1454">
        <v>44650581</v>
      </c>
      <c r="P1454">
        <v>311</v>
      </c>
      <c r="Q1454" t="s">
        <v>2951</v>
      </c>
    </row>
    <row r="1455" spans="1:17" x14ac:dyDescent="0.3">
      <c r="A1455" t="s">
        <v>17</v>
      </c>
      <c r="B1455" t="str">
        <f>"603729"</f>
        <v>603729</v>
      </c>
      <c r="C1455" t="s">
        <v>2952</v>
      </c>
      <c r="D1455" t="s">
        <v>89</v>
      </c>
      <c r="F1455">
        <v>29161783</v>
      </c>
      <c r="G1455">
        <v>69769394</v>
      </c>
      <c r="H1455">
        <v>173100719</v>
      </c>
      <c r="I1455">
        <v>-51142943</v>
      </c>
      <c r="J1455">
        <v>5800831</v>
      </c>
      <c r="K1455">
        <v>121211909</v>
      </c>
      <c r="L1455">
        <v>-265371668</v>
      </c>
      <c r="M1455">
        <v>-114534740</v>
      </c>
      <c r="P1455">
        <v>51</v>
      </c>
      <c r="Q1455" t="s">
        <v>2953</v>
      </c>
    </row>
    <row r="1456" spans="1:17" x14ac:dyDescent="0.3">
      <c r="A1456" t="s">
        <v>17</v>
      </c>
      <c r="B1456" t="str">
        <f>"603730"</f>
        <v>603730</v>
      </c>
      <c r="C1456" t="s">
        <v>2954</v>
      </c>
      <c r="D1456" t="s">
        <v>27</v>
      </c>
      <c r="F1456">
        <v>144089636</v>
      </c>
      <c r="G1456">
        <v>344538942</v>
      </c>
      <c r="H1456">
        <v>261323556</v>
      </c>
      <c r="I1456">
        <v>450238984</v>
      </c>
      <c r="J1456">
        <v>235641045</v>
      </c>
      <c r="K1456">
        <v>22271935</v>
      </c>
      <c r="P1456">
        <v>522</v>
      </c>
      <c r="Q1456" t="s">
        <v>2955</v>
      </c>
    </row>
    <row r="1457" spans="1:17" x14ac:dyDescent="0.3">
      <c r="A1457" t="s">
        <v>17</v>
      </c>
      <c r="B1457" t="str">
        <f>"603733"</f>
        <v>603733</v>
      </c>
      <c r="C1457" t="s">
        <v>2956</v>
      </c>
      <c r="D1457" t="s">
        <v>161</v>
      </c>
      <c r="F1457">
        <v>-114537910</v>
      </c>
      <c r="G1457">
        <v>-538040011</v>
      </c>
      <c r="H1457">
        <v>-1666128</v>
      </c>
      <c r="I1457">
        <v>-458638643</v>
      </c>
      <c r="J1457">
        <v>-265461560</v>
      </c>
      <c r="P1457">
        <v>233</v>
      </c>
      <c r="Q1457" t="s">
        <v>2957</v>
      </c>
    </row>
    <row r="1458" spans="1:17" x14ac:dyDescent="0.3">
      <c r="A1458" t="s">
        <v>17</v>
      </c>
      <c r="B1458" t="str">
        <f>"603737"</f>
        <v>603737</v>
      </c>
      <c r="C1458" t="s">
        <v>2958</v>
      </c>
      <c r="D1458" t="s">
        <v>350</v>
      </c>
      <c r="F1458">
        <v>-1537016668</v>
      </c>
      <c r="G1458">
        <v>-1495960635</v>
      </c>
      <c r="H1458">
        <v>-595439871</v>
      </c>
      <c r="I1458">
        <v>-247328214</v>
      </c>
      <c r="J1458">
        <v>-27702588</v>
      </c>
      <c r="K1458">
        <v>-122916211</v>
      </c>
      <c r="L1458">
        <v>46577405</v>
      </c>
      <c r="P1458">
        <v>1048</v>
      </c>
      <c r="Q1458" t="s">
        <v>2959</v>
      </c>
    </row>
    <row r="1459" spans="1:17" x14ac:dyDescent="0.3">
      <c r="A1459" t="s">
        <v>17</v>
      </c>
      <c r="B1459" t="str">
        <f>"603738"</f>
        <v>603738</v>
      </c>
      <c r="C1459" t="s">
        <v>2960</v>
      </c>
      <c r="D1459" t="s">
        <v>150</v>
      </c>
      <c r="F1459">
        <v>-4130253</v>
      </c>
      <c r="G1459">
        <v>-71232876</v>
      </c>
      <c r="H1459">
        <v>99706599</v>
      </c>
      <c r="I1459">
        <v>-158261228</v>
      </c>
      <c r="J1459">
        <v>-231099452</v>
      </c>
      <c r="K1459">
        <v>45273327</v>
      </c>
      <c r="L1459">
        <v>-23585583</v>
      </c>
      <c r="P1459">
        <v>248</v>
      </c>
      <c r="Q1459" t="s">
        <v>2961</v>
      </c>
    </row>
    <row r="1460" spans="1:17" x14ac:dyDescent="0.3">
      <c r="A1460" t="s">
        <v>17</v>
      </c>
      <c r="B1460" t="str">
        <f>"603739"</f>
        <v>603739</v>
      </c>
      <c r="C1460" t="s">
        <v>2962</v>
      </c>
      <c r="D1460" t="s">
        <v>205</v>
      </c>
      <c r="F1460">
        <v>-311802861</v>
      </c>
      <c r="G1460">
        <v>-62631073</v>
      </c>
      <c r="H1460">
        <v>-60350286</v>
      </c>
      <c r="I1460">
        <v>-12754719</v>
      </c>
      <c r="J1460">
        <v>14519953</v>
      </c>
      <c r="P1460">
        <v>123</v>
      </c>
      <c r="Q1460" t="s">
        <v>2963</v>
      </c>
    </row>
    <row r="1461" spans="1:17" x14ac:dyDescent="0.3">
      <c r="A1461" t="s">
        <v>17</v>
      </c>
      <c r="B1461" t="str">
        <f>"603755"</f>
        <v>603755</v>
      </c>
      <c r="C1461" t="s">
        <v>2964</v>
      </c>
      <c r="D1461" t="s">
        <v>123</v>
      </c>
      <c r="F1461">
        <v>-27779256</v>
      </c>
      <c r="G1461">
        <v>20840883</v>
      </c>
      <c r="H1461">
        <v>27106929</v>
      </c>
      <c r="I1461">
        <v>5918436</v>
      </c>
      <c r="P1461">
        <v>371</v>
      </c>
      <c r="Q1461" t="s">
        <v>2965</v>
      </c>
    </row>
    <row r="1462" spans="1:17" x14ac:dyDescent="0.3">
      <c r="A1462" t="s">
        <v>17</v>
      </c>
      <c r="B1462" t="str">
        <f>"603757"</f>
        <v>603757</v>
      </c>
      <c r="C1462" t="s">
        <v>2966</v>
      </c>
      <c r="D1462" t="s">
        <v>78</v>
      </c>
      <c r="F1462">
        <v>-90552387</v>
      </c>
      <c r="G1462">
        <v>149606575</v>
      </c>
      <c r="H1462">
        <v>166672572</v>
      </c>
      <c r="I1462">
        <v>-2433619</v>
      </c>
      <c r="J1462">
        <v>33804372</v>
      </c>
      <c r="K1462">
        <v>81334940</v>
      </c>
      <c r="P1462">
        <v>523</v>
      </c>
      <c r="Q1462" t="s">
        <v>2967</v>
      </c>
    </row>
    <row r="1463" spans="1:17" x14ac:dyDescent="0.3">
      <c r="A1463" t="s">
        <v>17</v>
      </c>
      <c r="B1463" t="str">
        <f>"603758"</f>
        <v>603758</v>
      </c>
      <c r="C1463" t="s">
        <v>2968</v>
      </c>
      <c r="D1463" t="s">
        <v>27</v>
      </c>
      <c r="F1463">
        <v>116804106</v>
      </c>
      <c r="G1463">
        <v>127818298</v>
      </c>
      <c r="H1463">
        <v>38563261</v>
      </c>
      <c r="I1463">
        <v>65616128</v>
      </c>
      <c r="J1463">
        <v>322240778</v>
      </c>
      <c r="K1463">
        <v>152980909</v>
      </c>
      <c r="P1463">
        <v>133</v>
      </c>
      <c r="Q1463" t="s">
        <v>2969</v>
      </c>
    </row>
    <row r="1464" spans="1:17" x14ac:dyDescent="0.3">
      <c r="A1464" t="s">
        <v>17</v>
      </c>
      <c r="B1464" t="str">
        <f>"603759"</f>
        <v>603759</v>
      </c>
      <c r="C1464" t="s">
        <v>2970</v>
      </c>
      <c r="D1464" t="s">
        <v>33</v>
      </c>
      <c r="F1464">
        <v>-200533978</v>
      </c>
      <c r="G1464">
        <v>-79708296</v>
      </c>
      <c r="P1464">
        <v>48</v>
      </c>
      <c r="Q1464" t="s">
        <v>2971</v>
      </c>
    </row>
    <row r="1465" spans="1:17" x14ac:dyDescent="0.3">
      <c r="A1465" t="s">
        <v>17</v>
      </c>
      <c r="B1465" t="str">
        <f>"603766"</f>
        <v>603766</v>
      </c>
      <c r="C1465" t="s">
        <v>2972</v>
      </c>
      <c r="D1465" t="s">
        <v>27</v>
      </c>
      <c r="F1465">
        <v>549870697</v>
      </c>
      <c r="G1465">
        <v>189748414</v>
      </c>
      <c r="H1465">
        <v>-3897777</v>
      </c>
      <c r="I1465">
        <v>79937309</v>
      </c>
      <c r="J1465">
        <v>40090991</v>
      </c>
      <c r="K1465">
        <v>357538969</v>
      </c>
      <c r="L1465">
        <v>222642243</v>
      </c>
      <c r="M1465">
        <v>343547106</v>
      </c>
      <c r="N1465">
        <v>300724783</v>
      </c>
      <c r="O1465">
        <v>59455091</v>
      </c>
      <c r="P1465">
        <v>460</v>
      </c>
      <c r="Q1465" t="s">
        <v>2973</v>
      </c>
    </row>
    <row r="1466" spans="1:17" x14ac:dyDescent="0.3">
      <c r="A1466" t="s">
        <v>17</v>
      </c>
      <c r="B1466" t="str">
        <f>"603767"</f>
        <v>603767</v>
      </c>
      <c r="C1466" t="s">
        <v>2974</v>
      </c>
      <c r="D1466" t="s">
        <v>27</v>
      </c>
      <c r="F1466">
        <v>116294075</v>
      </c>
      <c r="G1466">
        <v>-60617070</v>
      </c>
      <c r="H1466">
        <v>104770814</v>
      </c>
      <c r="I1466">
        <v>-46489529</v>
      </c>
      <c r="J1466">
        <v>77767501</v>
      </c>
      <c r="K1466">
        <v>115760364</v>
      </c>
      <c r="P1466">
        <v>80</v>
      </c>
      <c r="Q1466" t="s">
        <v>2975</v>
      </c>
    </row>
    <row r="1467" spans="1:17" x14ac:dyDescent="0.3">
      <c r="A1467" t="s">
        <v>17</v>
      </c>
      <c r="B1467" t="str">
        <f>"603768"</f>
        <v>603768</v>
      </c>
      <c r="C1467" t="s">
        <v>2976</v>
      </c>
      <c r="D1467" t="s">
        <v>27</v>
      </c>
      <c r="F1467">
        <v>-282132243</v>
      </c>
      <c r="G1467">
        <v>-83250384</v>
      </c>
      <c r="H1467">
        <v>-292702226</v>
      </c>
      <c r="I1467">
        <v>-203861973</v>
      </c>
      <c r="J1467">
        <v>-99207011</v>
      </c>
      <c r="K1467">
        <v>12396557</v>
      </c>
      <c r="P1467">
        <v>58</v>
      </c>
      <c r="Q1467" t="s">
        <v>2977</v>
      </c>
    </row>
    <row r="1468" spans="1:17" x14ac:dyDescent="0.3">
      <c r="A1468" t="s">
        <v>17</v>
      </c>
      <c r="B1468" t="str">
        <f>"603773"</f>
        <v>603773</v>
      </c>
      <c r="C1468" t="s">
        <v>2978</v>
      </c>
      <c r="D1468" t="s">
        <v>150</v>
      </c>
      <c r="F1468">
        <v>-174505937</v>
      </c>
      <c r="G1468">
        <v>-127366097</v>
      </c>
      <c r="H1468">
        <v>-59105123</v>
      </c>
      <c r="I1468">
        <v>51764356</v>
      </c>
      <c r="J1468">
        <v>88006636</v>
      </c>
      <c r="P1468">
        <v>141</v>
      </c>
      <c r="Q1468" t="s">
        <v>2979</v>
      </c>
    </row>
    <row r="1469" spans="1:17" x14ac:dyDescent="0.3">
      <c r="A1469" t="s">
        <v>17</v>
      </c>
      <c r="B1469" t="str">
        <f>"603776"</f>
        <v>603776</v>
      </c>
      <c r="C1469" t="s">
        <v>2980</v>
      </c>
      <c r="D1469" t="s">
        <v>27</v>
      </c>
      <c r="F1469">
        <v>-39712666</v>
      </c>
      <c r="G1469">
        <v>-61697692</v>
      </c>
      <c r="H1469">
        <v>-135097469</v>
      </c>
      <c r="I1469">
        <v>-11839542</v>
      </c>
      <c r="J1469">
        <v>-189083728</v>
      </c>
      <c r="K1469">
        <v>-154339090</v>
      </c>
      <c r="P1469">
        <v>189</v>
      </c>
      <c r="Q1469" t="s">
        <v>2981</v>
      </c>
    </row>
    <row r="1470" spans="1:17" x14ac:dyDescent="0.3">
      <c r="A1470" t="s">
        <v>17</v>
      </c>
      <c r="B1470" t="str">
        <f>"603777"</f>
        <v>603777</v>
      </c>
      <c r="C1470" t="s">
        <v>2982</v>
      </c>
      <c r="D1470" t="s">
        <v>123</v>
      </c>
      <c r="F1470">
        <v>375460487</v>
      </c>
      <c r="G1470">
        <v>24840056</v>
      </c>
      <c r="H1470">
        <v>-16181307</v>
      </c>
      <c r="I1470">
        <v>-121079557</v>
      </c>
      <c r="J1470">
        <v>40176656</v>
      </c>
      <c r="K1470">
        <v>67782163</v>
      </c>
      <c r="L1470">
        <v>-44027399</v>
      </c>
      <c r="P1470">
        <v>259</v>
      </c>
      <c r="Q1470" t="s">
        <v>2983</v>
      </c>
    </row>
    <row r="1471" spans="1:17" x14ac:dyDescent="0.3">
      <c r="A1471" t="s">
        <v>17</v>
      </c>
      <c r="B1471" t="str">
        <f>"603778"</f>
        <v>603778</v>
      </c>
      <c r="C1471" t="s">
        <v>2984</v>
      </c>
      <c r="D1471" t="s">
        <v>95</v>
      </c>
      <c r="F1471">
        <v>-146757223</v>
      </c>
      <c r="G1471">
        <v>-178672784</v>
      </c>
      <c r="H1471">
        <v>-45788576</v>
      </c>
      <c r="I1471">
        <v>-235436738</v>
      </c>
      <c r="J1471">
        <v>-121113992</v>
      </c>
      <c r="K1471">
        <v>17740666</v>
      </c>
      <c r="L1471">
        <v>-58074135</v>
      </c>
      <c r="M1471">
        <v>-195624104</v>
      </c>
      <c r="P1471">
        <v>72</v>
      </c>
      <c r="Q1471" t="s">
        <v>2985</v>
      </c>
    </row>
    <row r="1472" spans="1:17" x14ac:dyDescent="0.3">
      <c r="A1472" t="s">
        <v>17</v>
      </c>
      <c r="B1472" t="str">
        <f>"603779"</f>
        <v>603779</v>
      </c>
      <c r="C1472" t="s">
        <v>2986</v>
      </c>
      <c r="D1472" t="s">
        <v>123</v>
      </c>
      <c r="F1472">
        <v>-8081146</v>
      </c>
      <c r="G1472">
        <v>-8866201</v>
      </c>
      <c r="H1472">
        <v>-51677320</v>
      </c>
      <c r="I1472">
        <v>-178065588</v>
      </c>
      <c r="J1472">
        <v>-45441276</v>
      </c>
      <c r="K1472">
        <v>-20822979</v>
      </c>
      <c r="L1472">
        <v>59375250</v>
      </c>
      <c r="P1472">
        <v>101</v>
      </c>
      <c r="Q1472" t="s">
        <v>2987</v>
      </c>
    </row>
    <row r="1473" spans="1:17" x14ac:dyDescent="0.3">
      <c r="A1473" t="s">
        <v>17</v>
      </c>
      <c r="B1473" t="str">
        <f>"603786"</f>
        <v>603786</v>
      </c>
      <c r="C1473" t="s">
        <v>2988</v>
      </c>
      <c r="D1473" t="s">
        <v>27</v>
      </c>
      <c r="F1473">
        <v>168608190</v>
      </c>
      <c r="G1473">
        <v>270195110</v>
      </c>
      <c r="H1473">
        <v>331074141</v>
      </c>
      <c r="I1473">
        <v>97517838</v>
      </c>
      <c r="P1473">
        <v>346</v>
      </c>
      <c r="Q1473" t="s">
        <v>2989</v>
      </c>
    </row>
    <row r="1474" spans="1:17" x14ac:dyDescent="0.3">
      <c r="A1474" t="s">
        <v>17</v>
      </c>
      <c r="B1474" t="str">
        <f>"603787"</f>
        <v>603787</v>
      </c>
      <c r="C1474" t="s">
        <v>2990</v>
      </c>
      <c r="D1474" t="s">
        <v>27</v>
      </c>
      <c r="F1474">
        <v>506588600</v>
      </c>
      <c r="G1474">
        <v>856477433</v>
      </c>
      <c r="H1474">
        <v>-10720125</v>
      </c>
      <c r="I1474">
        <v>92480907</v>
      </c>
      <c r="J1474">
        <v>244267466</v>
      </c>
      <c r="K1474">
        <v>240123988</v>
      </c>
      <c r="P1474">
        <v>103</v>
      </c>
      <c r="Q1474" t="s">
        <v>2991</v>
      </c>
    </row>
    <row r="1475" spans="1:17" x14ac:dyDescent="0.3">
      <c r="A1475" t="s">
        <v>17</v>
      </c>
      <c r="B1475" t="str">
        <f>"603788"</f>
        <v>603788</v>
      </c>
      <c r="C1475" t="s">
        <v>2992</v>
      </c>
      <c r="D1475" t="s">
        <v>27</v>
      </c>
      <c r="F1475">
        <v>54915552</v>
      </c>
      <c r="G1475">
        <v>77761898</v>
      </c>
      <c r="H1475">
        <v>274037021</v>
      </c>
      <c r="I1475">
        <v>96257479</v>
      </c>
      <c r="J1475">
        <v>1635282</v>
      </c>
      <c r="K1475">
        <v>50960172</v>
      </c>
      <c r="L1475">
        <v>-26114128</v>
      </c>
      <c r="M1475">
        <v>39547503</v>
      </c>
      <c r="P1475">
        <v>330</v>
      </c>
      <c r="Q1475" t="s">
        <v>2993</v>
      </c>
    </row>
    <row r="1476" spans="1:17" x14ac:dyDescent="0.3">
      <c r="A1476" t="s">
        <v>17</v>
      </c>
      <c r="B1476" t="str">
        <f>"603789"</f>
        <v>603789</v>
      </c>
      <c r="C1476" t="s">
        <v>2994</v>
      </c>
      <c r="D1476" t="s">
        <v>78</v>
      </c>
      <c r="F1476">
        <v>22506096</v>
      </c>
      <c r="G1476">
        <v>-129653165</v>
      </c>
      <c r="H1476">
        <v>-182749063</v>
      </c>
      <c r="I1476">
        <v>-121345303</v>
      </c>
      <c r="J1476">
        <v>-85957837</v>
      </c>
      <c r="K1476">
        <v>97051064</v>
      </c>
      <c r="L1476">
        <v>-161254307</v>
      </c>
      <c r="M1476">
        <v>268233245</v>
      </c>
      <c r="P1476">
        <v>64</v>
      </c>
      <c r="Q1476" t="s">
        <v>2995</v>
      </c>
    </row>
    <row r="1477" spans="1:17" x14ac:dyDescent="0.3">
      <c r="A1477" t="s">
        <v>17</v>
      </c>
      <c r="B1477" t="str">
        <f>"603790"</f>
        <v>603790</v>
      </c>
      <c r="C1477" t="s">
        <v>2996</v>
      </c>
      <c r="D1477" t="s">
        <v>133</v>
      </c>
      <c r="F1477">
        <v>-73842112</v>
      </c>
      <c r="G1477">
        <v>-17942721</v>
      </c>
      <c r="H1477">
        <v>-113380126</v>
      </c>
      <c r="I1477">
        <v>-20434321</v>
      </c>
      <c r="J1477">
        <v>34164170</v>
      </c>
      <c r="P1477">
        <v>64</v>
      </c>
      <c r="Q1477" t="s">
        <v>2997</v>
      </c>
    </row>
    <row r="1478" spans="1:17" x14ac:dyDescent="0.3">
      <c r="A1478" t="s">
        <v>17</v>
      </c>
      <c r="B1478" t="str">
        <f>"603797"</f>
        <v>603797</v>
      </c>
      <c r="C1478" t="s">
        <v>2998</v>
      </c>
      <c r="D1478" t="s">
        <v>33</v>
      </c>
      <c r="F1478">
        <v>-1085190120</v>
      </c>
      <c r="G1478">
        <v>-1228250481</v>
      </c>
      <c r="H1478">
        <v>-618019937</v>
      </c>
      <c r="I1478">
        <v>-465216794</v>
      </c>
      <c r="J1478">
        <v>-149795225</v>
      </c>
      <c r="K1478">
        <v>-389061331</v>
      </c>
      <c r="P1478">
        <v>243</v>
      </c>
      <c r="Q1478" t="s">
        <v>2999</v>
      </c>
    </row>
    <row r="1479" spans="1:17" x14ac:dyDescent="0.3">
      <c r="A1479" t="s">
        <v>17</v>
      </c>
      <c r="B1479" t="str">
        <f>"603798"</f>
        <v>603798</v>
      </c>
      <c r="C1479" t="s">
        <v>3000</v>
      </c>
      <c r="D1479" t="s">
        <v>70</v>
      </c>
      <c r="F1479">
        <v>106687642</v>
      </c>
      <c r="G1479">
        <v>176764293</v>
      </c>
      <c r="H1479">
        <v>46694084</v>
      </c>
      <c r="I1479">
        <v>9333053</v>
      </c>
      <c r="J1479">
        <v>26863888</v>
      </c>
      <c r="K1479">
        <v>23560004</v>
      </c>
      <c r="L1479">
        <v>38423441</v>
      </c>
      <c r="P1479">
        <v>141</v>
      </c>
      <c r="Q1479" t="s">
        <v>3001</v>
      </c>
    </row>
    <row r="1480" spans="1:17" x14ac:dyDescent="0.3">
      <c r="A1480" t="s">
        <v>17</v>
      </c>
      <c r="B1480" t="str">
        <f>"603799"</f>
        <v>603799</v>
      </c>
      <c r="C1480" t="s">
        <v>3002</v>
      </c>
      <c r="D1480" t="s">
        <v>234</v>
      </c>
      <c r="F1480">
        <v>-2997027611</v>
      </c>
      <c r="G1480">
        <v>-1717236776</v>
      </c>
      <c r="H1480">
        <v>-539012261</v>
      </c>
      <c r="I1480">
        <v>-119936394</v>
      </c>
      <c r="J1480">
        <v>-1670768816</v>
      </c>
      <c r="K1480">
        <v>15014603</v>
      </c>
      <c r="L1480">
        <v>-1097431691</v>
      </c>
      <c r="M1480">
        <v>-1256371239</v>
      </c>
      <c r="P1480">
        <v>1518</v>
      </c>
      <c r="Q1480" t="s">
        <v>3003</v>
      </c>
    </row>
    <row r="1481" spans="1:17" x14ac:dyDescent="0.3">
      <c r="A1481" t="s">
        <v>17</v>
      </c>
      <c r="B1481" t="str">
        <f>"603800"</f>
        <v>603800</v>
      </c>
      <c r="C1481" t="s">
        <v>3004</v>
      </c>
      <c r="D1481" t="s">
        <v>78</v>
      </c>
      <c r="F1481">
        <v>-147290444</v>
      </c>
      <c r="G1481">
        <v>-86164126</v>
      </c>
      <c r="H1481">
        <v>-41722596</v>
      </c>
      <c r="I1481">
        <v>19345084</v>
      </c>
      <c r="J1481">
        <v>-95841424</v>
      </c>
      <c r="K1481">
        <v>-14377151</v>
      </c>
      <c r="L1481">
        <v>24658400</v>
      </c>
      <c r="M1481">
        <v>107540100</v>
      </c>
      <c r="P1481">
        <v>75</v>
      </c>
      <c r="Q1481" t="s">
        <v>3005</v>
      </c>
    </row>
    <row r="1482" spans="1:17" x14ac:dyDescent="0.3">
      <c r="A1482" t="s">
        <v>17</v>
      </c>
      <c r="B1482" t="str">
        <f>"603801"</f>
        <v>603801</v>
      </c>
      <c r="C1482" t="s">
        <v>3006</v>
      </c>
      <c r="D1482" t="s">
        <v>161</v>
      </c>
      <c r="F1482">
        <v>-22833278</v>
      </c>
      <c r="G1482">
        <v>-51793818</v>
      </c>
      <c r="H1482">
        <v>-3564286</v>
      </c>
      <c r="I1482">
        <v>-29607272</v>
      </c>
      <c r="J1482">
        <v>-55207670</v>
      </c>
      <c r="K1482">
        <v>44039616</v>
      </c>
      <c r="P1482">
        <v>770</v>
      </c>
      <c r="Q1482" t="s">
        <v>3007</v>
      </c>
    </row>
    <row r="1483" spans="1:17" x14ac:dyDescent="0.3">
      <c r="A1483" t="s">
        <v>17</v>
      </c>
      <c r="B1483" t="str">
        <f>"603803"</f>
        <v>603803</v>
      </c>
      <c r="C1483" t="s">
        <v>3008</v>
      </c>
      <c r="D1483" t="s">
        <v>100</v>
      </c>
      <c r="F1483">
        <v>-281066505</v>
      </c>
      <c r="G1483">
        <v>-108989298</v>
      </c>
      <c r="H1483">
        <v>-27880849</v>
      </c>
      <c r="I1483">
        <v>-8124448</v>
      </c>
      <c r="J1483">
        <v>-314038537</v>
      </c>
      <c r="K1483">
        <v>-124901038</v>
      </c>
      <c r="P1483">
        <v>153</v>
      </c>
      <c r="Q1483" t="s">
        <v>3009</v>
      </c>
    </row>
    <row r="1484" spans="1:17" x14ac:dyDescent="0.3">
      <c r="A1484" t="s">
        <v>17</v>
      </c>
      <c r="B1484" t="str">
        <f>"603806"</f>
        <v>603806</v>
      </c>
      <c r="C1484" t="s">
        <v>3010</v>
      </c>
      <c r="D1484" t="s">
        <v>188</v>
      </c>
      <c r="F1484">
        <v>-1078194883</v>
      </c>
      <c r="G1484">
        <v>53758894</v>
      </c>
      <c r="H1484">
        <v>191614889</v>
      </c>
      <c r="I1484">
        <v>-121886421</v>
      </c>
      <c r="J1484">
        <v>-256566383</v>
      </c>
      <c r="K1484">
        <v>-191449232</v>
      </c>
      <c r="L1484">
        <v>150354858</v>
      </c>
      <c r="M1484">
        <v>42094396</v>
      </c>
      <c r="N1484">
        <v>260898631</v>
      </c>
      <c r="P1484">
        <v>1030</v>
      </c>
      <c r="Q1484" t="s">
        <v>3011</v>
      </c>
    </row>
    <row r="1485" spans="1:17" x14ac:dyDescent="0.3">
      <c r="A1485" t="s">
        <v>17</v>
      </c>
      <c r="B1485" t="str">
        <f>"603808"</f>
        <v>603808</v>
      </c>
      <c r="C1485" t="s">
        <v>3012</v>
      </c>
      <c r="D1485" t="s">
        <v>227</v>
      </c>
      <c r="F1485">
        <v>29776957</v>
      </c>
      <c r="G1485">
        <v>74754008</v>
      </c>
      <c r="H1485">
        <v>271015964</v>
      </c>
      <c r="I1485">
        <v>206340490</v>
      </c>
      <c r="J1485">
        <v>195112850</v>
      </c>
      <c r="K1485">
        <v>102956735</v>
      </c>
      <c r="L1485">
        <v>68926527</v>
      </c>
      <c r="M1485">
        <v>71526668</v>
      </c>
      <c r="P1485">
        <v>479</v>
      </c>
      <c r="Q1485" t="s">
        <v>3013</v>
      </c>
    </row>
    <row r="1486" spans="1:17" x14ac:dyDescent="0.3">
      <c r="A1486" t="s">
        <v>17</v>
      </c>
      <c r="B1486" t="str">
        <f>"603809"</f>
        <v>603809</v>
      </c>
      <c r="C1486" t="s">
        <v>3014</v>
      </c>
      <c r="D1486" t="s">
        <v>27</v>
      </c>
      <c r="F1486">
        <v>-158425194</v>
      </c>
      <c r="G1486">
        <v>-160706718</v>
      </c>
      <c r="H1486">
        <v>-202478330</v>
      </c>
      <c r="I1486">
        <v>-157723812</v>
      </c>
      <c r="J1486">
        <v>-60901484</v>
      </c>
      <c r="K1486">
        <v>-20015226</v>
      </c>
      <c r="P1486">
        <v>138</v>
      </c>
      <c r="Q1486" t="s">
        <v>3015</v>
      </c>
    </row>
    <row r="1487" spans="1:17" x14ac:dyDescent="0.3">
      <c r="A1487" t="s">
        <v>17</v>
      </c>
      <c r="B1487" t="str">
        <f>"603810"</f>
        <v>603810</v>
      </c>
      <c r="C1487" t="s">
        <v>3016</v>
      </c>
      <c r="D1487" t="s">
        <v>133</v>
      </c>
      <c r="F1487">
        <v>-159849385</v>
      </c>
      <c r="G1487">
        <v>34372406</v>
      </c>
      <c r="H1487">
        <v>-39400841</v>
      </c>
      <c r="I1487">
        <v>9238081</v>
      </c>
      <c r="J1487">
        <v>488828</v>
      </c>
      <c r="P1487">
        <v>79</v>
      </c>
      <c r="Q1487" t="s">
        <v>3017</v>
      </c>
    </row>
    <row r="1488" spans="1:17" x14ac:dyDescent="0.3">
      <c r="A1488" t="s">
        <v>17</v>
      </c>
      <c r="B1488" t="str">
        <f>"603811"</f>
        <v>603811</v>
      </c>
      <c r="C1488" t="s">
        <v>3018</v>
      </c>
      <c r="D1488" t="s">
        <v>113</v>
      </c>
      <c r="F1488">
        <v>19206969</v>
      </c>
      <c r="G1488">
        <v>-11637584</v>
      </c>
      <c r="H1488">
        <v>27324755</v>
      </c>
      <c r="I1488">
        <v>-95310739</v>
      </c>
      <c r="J1488">
        <v>8434154</v>
      </c>
      <c r="K1488">
        <v>42095666</v>
      </c>
      <c r="P1488">
        <v>328</v>
      </c>
      <c r="Q1488" t="s">
        <v>3019</v>
      </c>
    </row>
    <row r="1489" spans="1:17" x14ac:dyDescent="0.3">
      <c r="A1489" t="s">
        <v>17</v>
      </c>
      <c r="B1489" t="str">
        <f>"603813"</f>
        <v>603813</v>
      </c>
      <c r="C1489" t="s">
        <v>3020</v>
      </c>
      <c r="D1489" t="s">
        <v>22</v>
      </c>
      <c r="F1489">
        <v>47843036</v>
      </c>
      <c r="G1489">
        <v>27443571</v>
      </c>
      <c r="H1489">
        <v>11793152</v>
      </c>
      <c r="I1489">
        <v>-144493869</v>
      </c>
      <c r="J1489">
        <v>20422558</v>
      </c>
      <c r="K1489">
        <v>-17143855</v>
      </c>
      <c r="P1489">
        <v>59</v>
      </c>
      <c r="Q1489" t="s">
        <v>3021</v>
      </c>
    </row>
    <row r="1490" spans="1:17" x14ac:dyDescent="0.3">
      <c r="A1490" t="s">
        <v>17</v>
      </c>
      <c r="B1490" t="str">
        <f>"603815"</f>
        <v>603815</v>
      </c>
      <c r="C1490" t="s">
        <v>3022</v>
      </c>
      <c r="D1490" t="s">
        <v>95</v>
      </c>
      <c r="F1490">
        <v>-514207676</v>
      </c>
      <c r="G1490">
        <v>-336560735</v>
      </c>
      <c r="H1490">
        <v>-897229787</v>
      </c>
      <c r="I1490">
        <v>-560278391</v>
      </c>
      <c r="P1490">
        <v>85</v>
      </c>
      <c r="Q1490" t="s">
        <v>3023</v>
      </c>
    </row>
    <row r="1491" spans="1:17" x14ac:dyDescent="0.3">
      <c r="A1491" t="s">
        <v>17</v>
      </c>
      <c r="B1491" t="str">
        <f>"603816"</f>
        <v>603816</v>
      </c>
      <c r="C1491" t="s">
        <v>3024</v>
      </c>
      <c r="D1491" t="s">
        <v>161</v>
      </c>
      <c r="F1491">
        <v>-178458545</v>
      </c>
      <c r="G1491">
        <v>476603986</v>
      </c>
      <c r="H1491">
        <v>929445036</v>
      </c>
      <c r="I1491">
        <v>-34167041</v>
      </c>
      <c r="J1491">
        <v>543509330</v>
      </c>
      <c r="K1491">
        <v>306461372</v>
      </c>
      <c r="L1491">
        <v>310389974</v>
      </c>
      <c r="P1491">
        <v>1964</v>
      </c>
      <c r="Q1491" t="s">
        <v>3025</v>
      </c>
    </row>
    <row r="1492" spans="1:17" x14ac:dyDescent="0.3">
      <c r="A1492" t="s">
        <v>17</v>
      </c>
      <c r="B1492" t="str">
        <f>"603817"</f>
        <v>603817</v>
      </c>
      <c r="C1492" t="s">
        <v>3026</v>
      </c>
      <c r="D1492" t="s">
        <v>33</v>
      </c>
      <c r="F1492">
        <v>-25575425</v>
      </c>
      <c r="G1492">
        <v>51237672</v>
      </c>
      <c r="H1492">
        <v>-251667093</v>
      </c>
      <c r="I1492">
        <v>-353401808</v>
      </c>
      <c r="J1492">
        <v>-135984693</v>
      </c>
      <c r="K1492">
        <v>51872400</v>
      </c>
      <c r="L1492">
        <v>-111437422</v>
      </c>
      <c r="P1492">
        <v>121</v>
      </c>
      <c r="Q1492" t="s">
        <v>3027</v>
      </c>
    </row>
    <row r="1493" spans="1:17" x14ac:dyDescent="0.3">
      <c r="A1493" t="s">
        <v>17</v>
      </c>
      <c r="B1493" t="str">
        <f>"603818"</f>
        <v>603818</v>
      </c>
      <c r="C1493" t="s">
        <v>3028</v>
      </c>
      <c r="D1493" t="s">
        <v>161</v>
      </c>
      <c r="F1493">
        <v>100295337</v>
      </c>
      <c r="G1493">
        <v>341007524</v>
      </c>
      <c r="H1493">
        <v>286349496</v>
      </c>
      <c r="I1493">
        <v>-29975577</v>
      </c>
      <c r="J1493">
        <v>12900270</v>
      </c>
      <c r="K1493">
        <v>121908337</v>
      </c>
      <c r="L1493">
        <v>70450363</v>
      </c>
      <c r="M1493">
        <v>11828051</v>
      </c>
      <c r="P1493">
        <v>203</v>
      </c>
      <c r="Q1493" t="s">
        <v>3029</v>
      </c>
    </row>
    <row r="1494" spans="1:17" x14ac:dyDescent="0.3">
      <c r="A1494" t="s">
        <v>17</v>
      </c>
      <c r="B1494" t="str">
        <f>"603819"</f>
        <v>603819</v>
      </c>
      <c r="C1494" t="s">
        <v>3030</v>
      </c>
      <c r="D1494" t="s">
        <v>188</v>
      </c>
      <c r="F1494">
        <v>-73771600</v>
      </c>
      <c r="G1494">
        <v>46142294</v>
      </c>
      <c r="H1494">
        <v>-55558399</v>
      </c>
      <c r="I1494">
        <v>-107308053</v>
      </c>
      <c r="J1494">
        <v>-113878428</v>
      </c>
      <c r="K1494">
        <v>-52946994</v>
      </c>
      <c r="L1494">
        <v>3949600</v>
      </c>
      <c r="P1494">
        <v>74</v>
      </c>
      <c r="Q1494" t="s">
        <v>3031</v>
      </c>
    </row>
    <row r="1495" spans="1:17" x14ac:dyDescent="0.3">
      <c r="A1495" t="s">
        <v>17</v>
      </c>
      <c r="B1495" t="str">
        <f>"603822"</f>
        <v>603822</v>
      </c>
      <c r="C1495" t="s">
        <v>3032</v>
      </c>
      <c r="D1495" t="s">
        <v>133</v>
      </c>
      <c r="F1495">
        <v>-185778202</v>
      </c>
      <c r="G1495">
        <v>-221625580</v>
      </c>
      <c r="H1495">
        <v>-8593800</v>
      </c>
      <c r="I1495">
        <v>-62060716</v>
      </c>
      <c r="J1495">
        <v>-5482993</v>
      </c>
      <c r="K1495">
        <v>5014549</v>
      </c>
      <c r="L1495">
        <v>-70888144</v>
      </c>
      <c r="P1495">
        <v>125</v>
      </c>
      <c r="Q1495" t="s">
        <v>3033</v>
      </c>
    </row>
    <row r="1496" spans="1:17" x14ac:dyDescent="0.3">
      <c r="A1496" t="s">
        <v>17</v>
      </c>
      <c r="B1496" t="str">
        <f>"603823"</f>
        <v>603823</v>
      </c>
      <c r="C1496" t="s">
        <v>3034</v>
      </c>
      <c r="D1496" t="s">
        <v>133</v>
      </c>
      <c r="F1496">
        <v>-9238663</v>
      </c>
      <c r="G1496">
        <v>81266646</v>
      </c>
      <c r="H1496">
        <v>24196947</v>
      </c>
      <c r="I1496">
        <v>35786480</v>
      </c>
      <c r="J1496">
        <v>-72183414</v>
      </c>
      <c r="K1496">
        <v>102035568</v>
      </c>
      <c r="L1496">
        <v>35236300</v>
      </c>
      <c r="P1496">
        <v>142</v>
      </c>
      <c r="Q1496" t="s">
        <v>3035</v>
      </c>
    </row>
    <row r="1497" spans="1:17" x14ac:dyDescent="0.3">
      <c r="A1497" t="s">
        <v>17</v>
      </c>
      <c r="B1497" t="str">
        <f>"603825"</f>
        <v>603825</v>
      </c>
      <c r="C1497" t="s">
        <v>3036</v>
      </c>
      <c r="D1497" t="s">
        <v>89</v>
      </c>
      <c r="F1497">
        <v>41347392</v>
      </c>
      <c r="G1497">
        <v>-392929691</v>
      </c>
      <c r="H1497">
        <v>450895206</v>
      </c>
      <c r="I1497">
        <v>-383772623</v>
      </c>
      <c r="J1497">
        <v>-275036405</v>
      </c>
      <c r="K1497">
        <v>707287</v>
      </c>
      <c r="P1497">
        <v>158</v>
      </c>
      <c r="Q1497" t="s">
        <v>3037</v>
      </c>
    </row>
    <row r="1498" spans="1:17" x14ac:dyDescent="0.3">
      <c r="A1498" t="s">
        <v>17</v>
      </c>
      <c r="B1498" t="str">
        <f>"603826"</f>
        <v>603826</v>
      </c>
      <c r="C1498" t="s">
        <v>3038</v>
      </c>
      <c r="D1498" t="s">
        <v>133</v>
      </c>
      <c r="F1498">
        <v>-237280650</v>
      </c>
      <c r="G1498">
        <v>-187324913</v>
      </c>
      <c r="H1498">
        <v>-186479188</v>
      </c>
      <c r="I1498">
        <v>-102908658</v>
      </c>
      <c r="J1498">
        <v>-41740027</v>
      </c>
      <c r="K1498">
        <v>-100842134</v>
      </c>
      <c r="P1498">
        <v>265</v>
      </c>
      <c r="Q1498" t="s">
        <v>3039</v>
      </c>
    </row>
    <row r="1499" spans="1:17" x14ac:dyDescent="0.3">
      <c r="A1499" t="s">
        <v>17</v>
      </c>
      <c r="B1499" t="str">
        <f>"603828"</f>
        <v>603828</v>
      </c>
      <c r="C1499" t="s">
        <v>3040</v>
      </c>
      <c r="D1499" t="s">
        <v>95</v>
      </c>
      <c r="F1499">
        <v>-451473169</v>
      </c>
      <c r="G1499">
        <v>-498813065</v>
      </c>
      <c r="H1499">
        <v>-374740664</v>
      </c>
      <c r="I1499">
        <v>-256882293</v>
      </c>
      <c r="J1499">
        <v>-200978594</v>
      </c>
      <c r="K1499">
        <v>-200129911</v>
      </c>
      <c r="L1499">
        <v>-268122060</v>
      </c>
      <c r="M1499">
        <v>-228958733</v>
      </c>
      <c r="P1499">
        <v>66</v>
      </c>
      <c r="Q1499" t="s">
        <v>3041</v>
      </c>
    </row>
    <row r="1500" spans="1:17" x14ac:dyDescent="0.3">
      <c r="A1500" t="s">
        <v>17</v>
      </c>
      <c r="B1500" t="str">
        <f>"603829"</f>
        <v>603829</v>
      </c>
      <c r="C1500" t="s">
        <v>3042</v>
      </c>
      <c r="D1500" t="s">
        <v>188</v>
      </c>
      <c r="F1500">
        <v>-76011781</v>
      </c>
      <c r="G1500">
        <v>-153824360</v>
      </c>
      <c r="H1500">
        <v>-54317753</v>
      </c>
      <c r="I1500">
        <v>-10849608</v>
      </c>
      <c r="J1500">
        <v>9918992</v>
      </c>
      <c r="K1500">
        <v>-4485827</v>
      </c>
      <c r="P1500">
        <v>50</v>
      </c>
      <c r="Q1500" t="s">
        <v>3043</v>
      </c>
    </row>
    <row r="1501" spans="1:17" x14ac:dyDescent="0.3">
      <c r="A1501" t="s">
        <v>17</v>
      </c>
      <c r="B1501" t="str">
        <f>"603833"</f>
        <v>603833</v>
      </c>
      <c r="C1501" t="s">
        <v>3044</v>
      </c>
      <c r="D1501" t="s">
        <v>161</v>
      </c>
      <c r="F1501">
        <v>2287503711</v>
      </c>
      <c r="G1501">
        <v>839698613</v>
      </c>
      <c r="H1501">
        <v>257081364</v>
      </c>
      <c r="I1501">
        <v>-619042736</v>
      </c>
      <c r="J1501">
        <v>-237783780</v>
      </c>
      <c r="K1501">
        <v>575225118</v>
      </c>
      <c r="P1501">
        <v>2567</v>
      </c>
      <c r="Q1501" t="s">
        <v>3045</v>
      </c>
    </row>
    <row r="1502" spans="1:17" x14ac:dyDescent="0.3">
      <c r="A1502" t="s">
        <v>17</v>
      </c>
      <c r="B1502" t="str">
        <f>"603836"</f>
        <v>603836</v>
      </c>
      <c r="C1502" t="s">
        <v>3046</v>
      </c>
      <c r="D1502" t="s">
        <v>22</v>
      </c>
      <c r="F1502">
        <v>13912085</v>
      </c>
      <c r="P1502">
        <v>29</v>
      </c>
      <c r="Q1502" t="s">
        <v>3047</v>
      </c>
    </row>
    <row r="1503" spans="1:17" x14ac:dyDescent="0.3">
      <c r="A1503" t="s">
        <v>17</v>
      </c>
      <c r="B1503" t="str">
        <f>"603838"</f>
        <v>603838</v>
      </c>
      <c r="C1503" t="s">
        <v>3048</v>
      </c>
      <c r="D1503" t="s">
        <v>161</v>
      </c>
      <c r="F1503">
        <v>11155087</v>
      </c>
      <c r="G1503">
        <v>-260819709</v>
      </c>
      <c r="H1503">
        <v>-303977</v>
      </c>
      <c r="I1503">
        <v>-33875010</v>
      </c>
      <c r="J1503">
        <v>10790758</v>
      </c>
      <c r="K1503">
        <v>23791854</v>
      </c>
      <c r="L1503">
        <v>-31106444</v>
      </c>
      <c r="M1503">
        <v>74414492</v>
      </c>
      <c r="P1503">
        <v>49</v>
      </c>
      <c r="Q1503" t="s">
        <v>3049</v>
      </c>
    </row>
    <row r="1504" spans="1:17" x14ac:dyDescent="0.3">
      <c r="A1504" t="s">
        <v>17</v>
      </c>
      <c r="B1504" t="str">
        <f>"603839"</f>
        <v>603839</v>
      </c>
      <c r="C1504" t="s">
        <v>3050</v>
      </c>
      <c r="D1504" t="s">
        <v>227</v>
      </c>
      <c r="F1504">
        <v>164130693</v>
      </c>
      <c r="G1504">
        <v>-192052381</v>
      </c>
      <c r="H1504">
        <v>6860779</v>
      </c>
      <c r="I1504">
        <v>-47005392</v>
      </c>
      <c r="J1504">
        <v>122881439</v>
      </c>
      <c r="K1504">
        <v>127905997</v>
      </c>
      <c r="L1504">
        <v>2569416</v>
      </c>
      <c r="P1504">
        <v>136</v>
      </c>
      <c r="Q1504" t="s">
        <v>3051</v>
      </c>
    </row>
    <row r="1505" spans="1:17" x14ac:dyDescent="0.3">
      <c r="A1505" t="s">
        <v>17</v>
      </c>
      <c r="B1505" t="str">
        <f>"603843"</f>
        <v>603843</v>
      </c>
      <c r="C1505" t="s">
        <v>3052</v>
      </c>
      <c r="D1505" t="s">
        <v>95</v>
      </c>
      <c r="F1505">
        <v>-597350437</v>
      </c>
      <c r="G1505">
        <v>-243130271</v>
      </c>
      <c r="H1505">
        <v>156906084</v>
      </c>
      <c r="I1505">
        <v>-238285020</v>
      </c>
      <c r="J1505">
        <v>-966900694</v>
      </c>
      <c r="K1505">
        <v>-573394727</v>
      </c>
      <c r="L1505">
        <v>-516591140</v>
      </c>
      <c r="P1505">
        <v>90</v>
      </c>
      <c r="Q1505" t="s">
        <v>3053</v>
      </c>
    </row>
    <row r="1506" spans="1:17" x14ac:dyDescent="0.3">
      <c r="A1506" t="s">
        <v>17</v>
      </c>
      <c r="B1506" t="str">
        <f>"603848"</f>
        <v>603848</v>
      </c>
      <c r="C1506" t="s">
        <v>3054</v>
      </c>
      <c r="D1506" t="s">
        <v>161</v>
      </c>
      <c r="F1506">
        <v>-3635074</v>
      </c>
      <c r="G1506">
        <v>-124925883</v>
      </c>
      <c r="H1506">
        <v>35569506</v>
      </c>
      <c r="I1506">
        <v>-199128230</v>
      </c>
      <c r="J1506">
        <v>144971423</v>
      </c>
      <c r="K1506">
        <v>109794400</v>
      </c>
      <c r="P1506">
        <v>416</v>
      </c>
      <c r="Q1506" t="s">
        <v>3055</v>
      </c>
    </row>
    <row r="1507" spans="1:17" x14ac:dyDescent="0.3">
      <c r="A1507" t="s">
        <v>17</v>
      </c>
      <c r="B1507" t="str">
        <f>"603855"</f>
        <v>603855</v>
      </c>
      <c r="C1507" t="s">
        <v>3056</v>
      </c>
      <c r="D1507" t="s">
        <v>78</v>
      </c>
      <c r="F1507">
        <v>154744837</v>
      </c>
      <c r="G1507">
        <v>-19923177</v>
      </c>
      <c r="H1507">
        <v>110721327</v>
      </c>
      <c r="I1507">
        <v>12327211</v>
      </c>
      <c r="J1507">
        <v>-17384439</v>
      </c>
      <c r="K1507">
        <v>-46767903</v>
      </c>
      <c r="P1507">
        <v>220</v>
      </c>
      <c r="Q1507" t="s">
        <v>3057</v>
      </c>
    </row>
    <row r="1508" spans="1:17" x14ac:dyDescent="0.3">
      <c r="A1508" t="s">
        <v>17</v>
      </c>
      <c r="B1508" t="str">
        <f>"603856"</f>
        <v>603856</v>
      </c>
      <c r="C1508" t="s">
        <v>3058</v>
      </c>
      <c r="D1508" t="s">
        <v>350</v>
      </c>
      <c r="F1508">
        <v>-385331506</v>
      </c>
      <c r="G1508">
        <v>-147128415</v>
      </c>
      <c r="H1508">
        <v>-83765908</v>
      </c>
      <c r="I1508">
        <v>-111196588</v>
      </c>
      <c r="J1508">
        <v>-127203475</v>
      </c>
      <c r="K1508">
        <v>191006965</v>
      </c>
      <c r="P1508">
        <v>138</v>
      </c>
      <c r="Q1508" t="s">
        <v>3059</v>
      </c>
    </row>
    <row r="1509" spans="1:17" x14ac:dyDescent="0.3">
      <c r="A1509" t="s">
        <v>17</v>
      </c>
      <c r="B1509" t="str">
        <f>"603858"</f>
        <v>603858</v>
      </c>
      <c r="C1509" t="s">
        <v>3060</v>
      </c>
      <c r="D1509" t="s">
        <v>113</v>
      </c>
      <c r="F1509">
        <v>341529721</v>
      </c>
      <c r="G1509">
        <v>1132866297</v>
      </c>
      <c r="H1509">
        <v>1475443877</v>
      </c>
      <c r="I1509">
        <v>1235139640</v>
      </c>
      <c r="J1509">
        <v>444971602</v>
      </c>
      <c r="K1509">
        <v>898362863</v>
      </c>
      <c r="L1509">
        <v>1206666040</v>
      </c>
      <c r="P1509">
        <v>828</v>
      </c>
      <c r="Q1509" t="s">
        <v>3061</v>
      </c>
    </row>
    <row r="1510" spans="1:17" x14ac:dyDescent="0.3">
      <c r="A1510" t="s">
        <v>17</v>
      </c>
      <c r="B1510" t="str">
        <f>"603859"</f>
        <v>603859</v>
      </c>
      <c r="C1510" t="s">
        <v>3062</v>
      </c>
      <c r="D1510" t="s">
        <v>78</v>
      </c>
      <c r="F1510">
        <v>-212929325</v>
      </c>
      <c r="G1510">
        <v>-150131184</v>
      </c>
      <c r="H1510">
        <v>-107516230</v>
      </c>
      <c r="I1510">
        <v>-124893548</v>
      </c>
      <c r="J1510">
        <v>-111722534</v>
      </c>
      <c r="K1510">
        <v>-60280814</v>
      </c>
      <c r="L1510">
        <v>-22396371</v>
      </c>
      <c r="P1510">
        <v>206</v>
      </c>
      <c r="Q1510" t="s">
        <v>3063</v>
      </c>
    </row>
    <row r="1511" spans="1:17" x14ac:dyDescent="0.3">
      <c r="A1511" t="s">
        <v>17</v>
      </c>
      <c r="B1511" t="str">
        <f>"603860"</f>
        <v>603860</v>
      </c>
      <c r="C1511" t="s">
        <v>3064</v>
      </c>
      <c r="D1511" t="s">
        <v>95</v>
      </c>
      <c r="F1511">
        <v>-101354360</v>
      </c>
      <c r="G1511">
        <v>-79607790</v>
      </c>
      <c r="H1511">
        <v>-41697573</v>
      </c>
      <c r="I1511">
        <v>-38092410</v>
      </c>
      <c r="J1511">
        <v>-42468056</v>
      </c>
      <c r="K1511">
        <v>-48016060</v>
      </c>
      <c r="P1511">
        <v>58</v>
      </c>
      <c r="Q1511" t="s">
        <v>3065</v>
      </c>
    </row>
    <row r="1512" spans="1:17" x14ac:dyDescent="0.3">
      <c r="A1512" t="s">
        <v>17</v>
      </c>
      <c r="B1512" t="str">
        <f>"603861"</f>
        <v>603861</v>
      </c>
      <c r="C1512" t="s">
        <v>3066</v>
      </c>
      <c r="D1512" t="s">
        <v>188</v>
      </c>
      <c r="F1512">
        <v>-201106554</v>
      </c>
      <c r="G1512">
        <v>-482730383</v>
      </c>
      <c r="H1512">
        <v>-194062501</v>
      </c>
      <c r="I1512">
        <v>-488659459</v>
      </c>
      <c r="J1512">
        <v>-53182246</v>
      </c>
      <c r="K1512">
        <v>-82351151</v>
      </c>
      <c r="L1512">
        <v>-64546398</v>
      </c>
      <c r="P1512">
        <v>109</v>
      </c>
      <c r="Q1512" t="s">
        <v>3067</v>
      </c>
    </row>
    <row r="1513" spans="1:17" x14ac:dyDescent="0.3">
      <c r="A1513" t="s">
        <v>17</v>
      </c>
      <c r="B1513" t="str">
        <f>"603863"</f>
        <v>603863</v>
      </c>
      <c r="C1513" t="s">
        <v>3068</v>
      </c>
      <c r="D1513" t="s">
        <v>161</v>
      </c>
      <c r="F1513">
        <v>-349404253</v>
      </c>
      <c r="G1513">
        <v>-445932510</v>
      </c>
      <c r="H1513">
        <v>-46728901</v>
      </c>
      <c r="I1513">
        <v>55657222</v>
      </c>
      <c r="P1513">
        <v>51</v>
      </c>
      <c r="Q1513" t="s">
        <v>3069</v>
      </c>
    </row>
    <row r="1514" spans="1:17" x14ac:dyDescent="0.3">
      <c r="A1514" t="s">
        <v>17</v>
      </c>
      <c r="B1514" t="str">
        <f>"603866"</f>
        <v>603866</v>
      </c>
      <c r="C1514" t="s">
        <v>3070</v>
      </c>
      <c r="D1514" t="s">
        <v>123</v>
      </c>
      <c r="F1514">
        <v>-206768037</v>
      </c>
      <c r="G1514">
        <v>210456796</v>
      </c>
      <c r="H1514">
        <v>-105465592</v>
      </c>
      <c r="I1514">
        <v>334736773</v>
      </c>
      <c r="J1514">
        <v>115186212</v>
      </c>
      <c r="K1514">
        <v>124972823</v>
      </c>
      <c r="L1514">
        <v>102986711</v>
      </c>
      <c r="M1514">
        <v>41544639</v>
      </c>
      <c r="P1514">
        <v>7674</v>
      </c>
      <c r="Q1514" t="s">
        <v>3071</v>
      </c>
    </row>
    <row r="1515" spans="1:17" x14ac:dyDescent="0.3">
      <c r="A1515" t="s">
        <v>17</v>
      </c>
      <c r="B1515" t="str">
        <f>"603867"</f>
        <v>603867</v>
      </c>
      <c r="C1515" t="s">
        <v>3072</v>
      </c>
      <c r="D1515" t="s">
        <v>133</v>
      </c>
      <c r="F1515">
        <v>-64175347</v>
      </c>
      <c r="G1515">
        <v>79102049</v>
      </c>
      <c r="H1515">
        <v>155266652</v>
      </c>
      <c r="I1515">
        <v>81036323</v>
      </c>
      <c r="P1515">
        <v>88</v>
      </c>
      <c r="Q1515" t="s">
        <v>3073</v>
      </c>
    </row>
    <row r="1516" spans="1:17" x14ac:dyDescent="0.3">
      <c r="A1516" t="s">
        <v>17</v>
      </c>
      <c r="B1516" t="str">
        <f>"603868"</f>
        <v>603868</v>
      </c>
      <c r="C1516" t="s">
        <v>3074</v>
      </c>
      <c r="D1516" t="s">
        <v>126</v>
      </c>
      <c r="F1516">
        <v>221467131</v>
      </c>
      <c r="G1516">
        <v>421251640</v>
      </c>
      <c r="H1516">
        <v>-28107045</v>
      </c>
      <c r="I1516">
        <v>115556600</v>
      </c>
      <c r="J1516">
        <v>453083122</v>
      </c>
      <c r="K1516">
        <v>429481674</v>
      </c>
      <c r="L1516">
        <v>120725479</v>
      </c>
      <c r="P1516">
        <v>4442</v>
      </c>
      <c r="Q1516" t="s">
        <v>3075</v>
      </c>
    </row>
    <row r="1517" spans="1:17" x14ac:dyDescent="0.3">
      <c r="A1517" t="s">
        <v>17</v>
      </c>
      <c r="B1517" t="str">
        <f>"603869"</f>
        <v>603869</v>
      </c>
      <c r="C1517" t="s">
        <v>3076</v>
      </c>
      <c r="D1517" t="s">
        <v>212</v>
      </c>
      <c r="F1517">
        <v>483262041</v>
      </c>
      <c r="G1517">
        <v>415225998</v>
      </c>
      <c r="H1517">
        <v>98614471</v>
      </c>
      <c r="I1517">
        <v>-432941370</v>
      </c>
      <c r="J1517">
        <v>-805298675</v>
      </c>
      <c r="K1517">
        <v>54100162</v>
      </c>
      <c r="L1517">
        <v>47678463</v>
      </c>
      <c r="M1517">
        <v>45265762</v>
      </c>
      <c r="P1517">
        <v>143</v>
      </c>
      <c r="Q1517" t="s">
        <v>3077</v>
      </c>
    </row>
    <row r="1518" spans="1:17" x14ac:dyDescent="0.3">
      <c r="A1518" t="s">
        <v>17</v>
      </c>
      <c r="B1518" t="str">
        <f>"603871"</f>
        <v>603871</v>
      </c>
      <c r="C1518" t="s">
        <v>3078</v>
      </c>
      <c r="D1518" t="s">
        <v>22</v>
      </c>
      <c r="F1518">
        <v>-955992127</v>
      </c>
      <c r="G1518">
        <v>20093542</v>
      </c>
      <c r="H1518">
        <v>205772004</v>
      </c>
      <c r="I1518">
        <v>22001819</v>
      </c>
      <c r="J1518">
        <v>-5483186</v>
      </c>
      <c r="K1518">
        <v>105917873</v>
      </c>
      <c r="P1518">
        <v>324</v>
      </c>
      <c r="Q1518" t="s">
        <v>3079</v>
      </c>
    </row>
    <row r="1519" spans="1:17" x14ac:dyDescent="0.3">
      <c r="A1519" t="s">
        <v>17</v>
      </c>
      <c r="B1519" t="str">
        <f>"603876"</f>
        <v>603876</v>
      </c>
      <c r="C1519" t="s">
        <v>3080</v>
      </c>
      <c r="D1519" t="s">
        <v>234</v>
      </c>
      <c r="F1519">
        <v>-326845271</v>
      </c>
      <c r="G1519">
        <v>-240261087</v>
      </c>
      <c r="H1519">
        <v>-519573829</v>
      </c>
      <c r="I1519">
        <v>-257440627</v>
      </c>
      <c r="J1519">
        <v>-349998732</v>
      </c>
      <c r="P1519">
        <v>143</v>
      </c>
      <c r="Q1519" t="s">
        <v>3081</v>
      </c>
    </row>
    <row r="1520" spans="1:17" x14ac:dyDescent="0.3">
      <c r="A1520" t="s">
        <v>17</v>
      </c>
      <c r="B1520" t="str">
        <f>"603877"</f>
        <v>603877</v>
      </c>
      <c r="C1520" t="s">
        <v>3082</v>
      </c>
      <c r="D1520" t="s">
        <v>227</v>
      </c>
      <c r="F1520">
        <v>-123754576</v>
      </c>
      <c r="G1520">
        <v>-272256259</v>
      </c>
      <c r="H1520">
        <v>-457178755</v>
      </c>
      <c r="I1520">
        <v>-579093746</v>
      </c>
      <c r="J1520">
        <v>-426020626</v>
      </c>
      <c r="K1520">
        <v>-191538177</v>
      </c>
      <c r="L1520">
        <v>-282615030</v>
      </c>
      <c r="P1520">
        <v>364</v>
      </c>
      <c r="Q1520" t="s">
        <v>3083</v>
      </c>
    </row>
    <row r="1521" spans="1:17" x14ac:dyDescent="0.3">
      <c r="A1521" t="s">
        <v>17</v>
      </c>
      <c r="B1521" t="str">
        <f>"603878"</f>
        <v>603878</v>
      </c>
      <c r="C1521" t="s">
        <v>3084</v>
      </c>
      <c r="D1521" t="s">
        <v>38</v>
      </c>
      <c r="F1521">
        <v>366394590</v>
      </c>
      <c r="G1521">
        <v>259599827</v>
      </c>
      <c r="H1521">
        <v>-1012977</v>
      </c>
      <c r="I1521">
        <v>40455707</v>
      </c>
      <c r="J1521">
        <v>-82110235</v>
      </c>
      <c r="K1521">
        <v>189891383</v>
      </c>
      <c r="P1521">
        <v>142</v>
      </c>
      <c r="Q1521" t="s">
        <v>3085</v>
      </c>
    </row>
    <row r="1522" spans="1:17" x14ac:dyDescent="0.3">
      <c r="A1522" t="s">
        <v>17</v>
      </c>
      <c r="B1522" t="str">
        <f>"603879"</f>
        <v>603879</v>
      </c>
      <c r="C1522" t="s">
        <v>3086</v>
      </c>
      <c r="D1522" t="s">
        <v>133</v>
      </c>
      <c r="F1522">
        <v>10196422</v>
      </c>
      <c r="G1522">
        <v>-19196882</v>
      </c>
      <c r="H1522">
        <v>-28684781</v>
      </c>
      <c r="I1522">
        <v>-46911495</v>
      </c>
      <c r="J1522">
        <v>-16380612</v>
      </c>
      <c r="K1522">
        <v>-49719</v>
      </c>
      <c r="P1522">
        <v>55</v>
      </c>
      <c r="Q1522" t="s">
        <v>3087</v>
      </c>
    </row>
    <row r="1523" spans="1:17" x14ac:dyDescent="0.3">
      <c r="A1523" t="s">
        <v>17</v>
      </c>
      <c r="B1523" t="str">
        <f>"603880"</f>
        <v>603880</v>
      </c>
      <c r="C1523" t="s">
        <v>3088</v>
      </c>
      <c r="D1523" t="s">
        <v>113</v>
      </c>
      <c r="F1523">
        <v>-272729978</v>
      </c>
      <c r="G1523">
        <v>96961802</v>
      </c>
      <c r="H1523">
        <v>25753216</v>
      </c>
      <c r="I1523">
        <v>-14506722</v>
      </c>
      <c r="J1523">
        <v>23274538</v>
      </c>
      <c r="K1523">
        <v>40069969</v>
      </c>
      <c r="P1523">
        <v>125</v>
      </c>
      <c r="Q1523" t="s">
        <v>3089</v>
      </c>
    </row>
    <row r="1524" spans="1:17" x14ac:dyDescent="0.3">
      <c r="A1524" t="s">
        <v>17</v>
      </c>
      <c r="B1524" t="str">
        <f>"603881"</f>
        <v>603881</v>
      </c>
      <c r="C1524" t="s">
        <v>3090</v>
      </c>
      <c r="D1524" t="s">
        <v>212</v>
      </c>
      <c r="F1524">
        <v>-730532491</v>
      </c>
      <c r="G1524">
        <v>-910398098</v>
      </c>
      <c r="H1524">
        <v>-875377548</v>
      </c>
      <c r="I1524">
        <v>-161903783</v>
      </c>
      <c r="J1524">
        <v>-64650786</v>
      </c>
      <c r="K1524">
        <v>-43248880</v>
      </c>
      <c r="L1524">
        <v>-154723782</v>
      </c>
      <c r="P1524">
        <v>486</v>
      </c>
      <c r="Q1524" t="s">
        <v>3091</v>
      </c>
    </row>
    <row r="1525" spans="1:17" x14ac:dyDescent="0.3">
      <c r="A1525" t="s">
        <v>17</v>
      </c>
      <c r="B1525" t="str">
        <f>"603882"</f>
        <v>603882</v>
      </c>
      <c r="C1525" t="s">
        <v>3092</v>
      </c>
      <c r="D1525" t="s">
        <v>113</v>
      </c>
      <c r="F1525">
        <v>389618753</v>
      </c>
      <c r="G1525">
        <v>577988344</v>
      </c>
      <c r="H1525">
        <v>150860463</v>
      </c>
      <c r="I1525">
        <v>11537016</v>
      </c>
      <c r="J1525">
        <v>-136174032</v>
      </c>
      <c r="K1525">
        <v>-193592105</v>
      </c>
      <c r="P1525">
        <v>1846</v>
      </c>
      <c r="Q1525" t="s">
        <v>3093</v>
      </c>
    </row>
    <row r="1526" spans="1:17" x14ac:dyDescent="0.3">
      <c r="A1526" t="s">
        <v>17</v>
      </c>
      <c r="B1526" t="str">
        <f>"603883"</f>
        <v>603883</v>
      </c>
      <c r="C1526" t="s">
        <v>3094</v>
      </c>
      <c r="D1526" t="s">
        <v>113</v>
      </c>
      <c r="F1526">
        <v>1328531532</v>
      </c>
      <c r="G1526">
        <v>722933989</v>
      </c>
      <c r="H1526">
        <v>407745000</v>
      </c>
      <c r="I1526">
        <v>25557661</v>
      </c>
      <c r="J1526">
        <v>250033440</v>
      </c>
      <c r="K1526">
        <v>143342940</v>
      </c>
      <c r="L1526">
        <v>74426625</v>
      </c>
      <c r="M1526">
        <v>115996310</v>
      </c>
      <c r="P1526">
        <v>868</v>
      </c>
      <c r="Q1526" t="s">
        <v>3095</v>
      </c>
    </row>
    <row r="1527" spans="1:17" x14ac:dyDescent="0.3">
      <c r="A1527" t="s">
        <v>17</v>
      </c>
      <c r="B1527" t="str">
        <f>"603885"</f>
        <v>603885</v>
      </c>
      <c r="C1527" t="s">
        <v>3096</v>
      </c>
      <c r="D1527" t="s">
        <v>22</v>
      </c>
      <c r="F1527">
        <v>1446609717</v>
      </c>
      <c r="G1527">
        <v>-488409289</v>
      </c>
      <c r="H1527">
        <v>-1066518719</v>
      </c>
      <c r="I1527">
        <v>483961588</v>
      </c>
      <c r="J1527">
        <v>-1309739503</v>
      </c>
      <c r="K1527">
        <v>-2520211093</v>
      </c>
      <c r="L1527">
        <v>-1661048813</v>
      </c>
      <c r="M1527">
        <v>-313251823</v>
      </c>
      <c r="P1527">
        <v>475</v>
      </c>
      <c r="Q1527" t="s">
        <v>3097</v>
      </c>
    </row>
    <row r="1528" spans="1:17" x14ac:dyDescent="0.3">
      <c r="A1528" t="s">
        <v>17</v>
      </c>
      <c r="B1528" t="str">
        <f>"603886"</f>
        <v>603886</v>
      </c>
      <c r="C1528" t="s">
        <v>3098</v>
      </c>
      <c r="D1528" t="s">
        <v>123</v>
      </c>
      <c r="F1528">
        <v>752895751</v>
      </c>
      <c r="G1528">
        <v>586578720</v>
      </c>
      <c r="H1528">
        <v>573746199</v>
      </c>
      <c r="I1528">
        <v>455491138</v>
      </c>
      <c r="J1528">
        <v>376240938</v>
      </c>
      <c r="K1528">
        <v>417300900</v>
      </c>
      <c r="L1528">
        <v>284302637</v>
      </c>
      <c r="P1528">
        <v>3079</v>
      </c>
      <c r="Q1528" t="s">
        <v>3099</v>
      </c>
    </row>
    <row r="1529" spans="1:17" x14ac:dyDescent="0.3">
      <c r="A1529" t="s">
        <v>17</v>
      </c>
      <c r="B1529" t="str">
        <f>"603887"</f>
        <v>603887</v>
      </c>
      <c r="C1529" t="s">
        <v>3100</v>
      </c>
      <c r="D1529" t="s">
        <v>212</v>
      </c>
      <c r="F1529">
        <v>-561130117</v>
      </c>
      <c r="G1529">
        <v>-434761401</v>
      </c>
      <c r="H1529">
        <v>-95549978</v>
      </c>
      <c r="I1529">
        <v>-161384154</v>
      </c>
      <c r="J1529">
        <v>-179804992</v>
      </c>
      <c r="K1529">
        <v>-22930509</v>
      </c>
      <c r="L1529">
        <v>-3426020</v>
      </c>
      <c r="P1529">
        <v>241</v>
      </c>
      <c r="Q1529" t="s">
        <v>3101</v>
      </c>
    </row>
    <row r="1530" spans="1:17" x14ac:dyDescent="0.3">
      <c r="A1530" t="s">
        <v>17</v>
      </c>
      <c r="B1530" t="str">
        <f>"603888"</f>
        <v>603888</v>
      </c>
      <c r="C1530" t="s">
        <v>3102</v>
      </c>
      <c r="D1530" t="s">
        <v>89</v>
      </c>
      <c r="F1530">
        <v>-22518260</v>
      </c>
      <c r="G1530">
        <v>-47934119</v>
      </c>
      <c r="H1530">
        <v>-134999706</v>
      </c>
      <c r="I1530">
        <v>-90585426</v>
      </c>
      <c r="J1530">
        <v>-73728606</v>
      </c>
      <c r="K1530">
        <v>79604700</v>
      </c>
      <c r="L1530">
        <v>14165976</v>
      </c>
      <c r="P1530">
        <v>227</v>
      </c>
      <c r="Q1530" t="s">
        <v>3103</v>
      </c>
    </row>
    <row r="1531" spans="1:17" x14ac:dyDescent="0.3">
      <c r="A1531" t="s">
        <v>17</v>
      </c>
      <c r="B1531" t="str">
        <f>"603889"</f>
        <v>603889</v>
      </c>
      <c r="C1531" t="s">
        <v>3104</v>
      </c>
      <c r="D1531" t="s">
        <v>227</v>
      </c>
      <c r="F1531">
        <v>-446614235</v>
      </c>
      <c r="G1531">
        <v>89861126</v>
      </c>
      <c r="H1531">
        <v>13753540</v>
      </c>
      <c r="I1531">
        <v>-197614059</v>
      </c>
      <c r="J1531">
        <v>-112413834</v>
      </c>
      <c r="K1531">
        <v>26053612</v>
      </c>
      <c r="L1531">
        <v>126295202</v>
      </c>
      <c r="M1531">
        <v>100973879</v>
      </c>
      <c r="P1531">
        <v>122</v>
      </c>
      <c r="Q1531" t="s">
        <v>3105</v>
      </c>
    </row>
    <row r="1532" spans="1:17" x14ac:dyDescent="0.3">
      <c r="A1532" t="s">
        <v>17</v>
      </c>
      <c r="B1532" t="str">
        <f>"603890"</f>
        <v>603890</v>
      </c>
      <c r="C1532" t="s">
        <v>3106</v>
      </c>
      <c r="D1532" t="s">
        <v>150</v>
      </c>
      <c r="F1532">
        <v>-202820910</v>
      </c>
      <c r="G1532">
        <v>-189201513</v>
      </c>
      <c r="H1532">
        <v>-88344131</v>
      </c>
      <c r="I1532">
        <v>-374556048</v>
      </c>
      <c r="J1532">
        <v>41883003</v>
      </c>
      <c r="K1532">
        <v>27774453</v>
      </c>
      <c r="P1532">
        <v>155</v>
      </c>
      <c r="Q1532" t="s">
        <v>3107</v>
      </c>
    </row>
    <row r="1533" spans="1:17" x14ac:dyDescent="0.3">
      <c r="A1533" t="s">
        <v>17</v>
      </c>
      <c r="B1533" t="str">
        <f>"603893"</f>
        <v>603893</v>
      </c>
      <c r="C1533" t="s">
        <v>3108</v>
      </c>
      <c r="D1533" t="s">
        <v>150</v>
      </c>
      <c r="F1533">
        <v>198998675</v>
      </c>
      <c r="G1533">
        <v>157511666</v>
      </c>
      <c r="H1533">
        <v>134285642</v>
      </c>
      <c r="I1533">
        <v>270691728</v>
      </c>
      <c r="P1533">
        <v>444</v>
      </c>
      <c r="Q1533" t="s">
        <v>3109</v>
      </c>
    </row>
    <row r="1534" spans="1:17" x14ac:dyDescent="0.3">
      <c r="A1534" t="s">
        <v>17</v>
      </c>
      <c r="B1534" t="str">
        <f>"603895"</f>
        <v>603895</v>
      </c>
      <c r="C1534" t="s">
        <v>3110</v>
      </c>
      <c r="D1534" t="s">
        <v>78</v>
      </c>
      <c r="F1534">
        <v>-162234004</v>
      </c>
      <c r="G1534">
        <v>72071528</v>
      </c>
      <c r="H1534">
        <v>-65589432</v>
      </c>
      <c r="I1534">
        <v>-79077655</v>
      </c>
      <c r="J1534">
        <v>-36678680</v>
      </c>
      <c r="K1534">
        <v>-78492000</v>
      </c>
      <c r="P1534">
        <v>65</v>
      </c>
      <c r="Q1534" t="s">
        <v>3111</v>
      </c>
    </row>
    <row r="1535" spans="1:17" x14ac:dyDescent="0.3">
      <c r="A1535" t="s">
        <v>17</v>
      </c>
      <c r="B1535" t="str">
        <f>"603896"</f>
        <v>603896</v>
      </c>
      <c r="C1535" t="s">
        <v>3112</v>
      </c>
      <c r="D1535" t="s">
        <v>113</v>
      </c>
      <c r="F1535">
        <v>70550489</v>
      </c>
      <c r="G1535">
        <v>109122235</v>
      </c>
      <c r="H1535">
        <v>53288116</v>
      </c>
      <c r="I1535">
        <v>-104180570</v>
      </c>
      <c r="J1535">
        <v>49807784</v>
      </c>
      <c r="K1535">
        <v>19391017</v>
      </c>
      <c r="P1535">
        <v>232</v>
      </c>
      <c r="Q1535" t="s">
        <v>3113</v>
      </c>
    </row>
    <row r="1536" spans="1:17" x14ac:dyDescent="0.3">
      <c r="A1536" t="s">
        <v>17</v>
      </c>
      <c r="B1536" t="str">
        <f>"603897"</f>
        <v>603897</v>
      </c>
      <c r="C1536" t="s">
        <v>3114</v>
      </c>
      <c r="D1536" t="s">
        <v>188</v>
      </c>
      <c r="F1536">
        <v>-682306698</v>
      </c>
      <c r="G1536">
        <v>360641504</v>
      </c>
      <c r="H1536">
        <v>59602544</v>
      </c>
      <c r="I1536">
        <v>-460734761</v>
      </c>
      <c r="J1536">
        <v>-453571725</v>
      </c>
      <c r="P1536">
        <v>138</v>
      </c>
      <c r="Q1536" t="s">
        <v>3115</v>
      </c>
    </row>
    <row r="1537" spans="1:17" x14ac:dyDescent="0.3">
      <c r="A1537" t="s">
        <v>17</v>
      </c>
      <c r="B1537" t="str">
        <f>"603898"</f>
        <v>603898</v>
      </c>
      <c r="C1537" t="s">
        <v>3116</v>
      </c>
      <c r="D1537" t="s">
        <v>161</v>
      </c>
      <c r="F1537">
        <v>-118151142</v>
      </c>
      <c r="G1537">
        <v>-1298632</v>
      </c>
      <c r="H1537">
        <v>-129902975</v>
      </c>
      <c r="I1537">
        <v>-121033598</v>
      </c>
      <c r="J1537">
        <v>34773027</v>
      </c>
      <c r="K1537">
        <v>115754548</v>
      </c>
      <c r="L1537">
        <v>-163385910</v>
      </c>
      <c r="M1537">
        <v>26483207</v>
      </c>
      <c r="P1537">
        <v>835</v>
      </c>
      <c r="Q1537" t="s">
        <v>3117</v>
      </c>
    </row>
    <row r="1538" spans="1:17" x14ac:dyDescent="0.3">
      <c r="A1538" t="s">
        <v>17</v>
      </c>
      <c r="B1538" t="str">
        <f>"603899"</f>
        <v>603899</v>
      </c>
      <c r="C1538" t="s">
        <v>3118</v>
      </c>
      <c r="D1538" t="s">
        <v>161</v>
      </c>
      <c r="F1538">
        <v>690767205</v>
      </c>
      <c r="G1538">
        <v>799433730</v>
      </c>
      <c r="H1538">
        <v>482318114</v>
      </c>
      <c r="I1538">
        <v>225207170</v>
      </c>
      <c r="J1538">
        <v>-52545549</v>
      </c>
      <c r="K1538">
        <v>259491818</v>
      </c>
      <c r="L1538">
        <v>188847884</v>
      </c>
      <c r="M1538">
        <v>90241093</v>
      </c>
      <c r="P1538">
        <v>25828</v>
      </c>
      <c r="Q1538" t="s">
        <v>3119</v>
      </c>
    </row>
    <row r="1539" spans="1:17" x14ac:dyDescent="0.3">
      <c r="A1539" t="s">
        <v>17</v>
      </c>
      <c r="B1539" t="str">
        <f>"603900"</f>
        <v>603900</v>
      </c>
      <c r="C1539" t="s">
        <v>3120</v>
      </c>
      <c r="D1539" t="s">
        <v>227</v>
      </c>
      <c r="F1539">
        <v>-171651210</v>
      </c>
      <c r="G1539">
        <v>233883801</v>
      </c>
      <c r="H1539">
        <v>-62194355</v>
      </c>
      <c r="I1539">
        <v>97022545</v>
      </c>
      <c r="J1539">
        <v>83860034</v>
      </c>
      <c r="K1539">
        <v>36229564</v>
      </c>
      <c r="L1539">
        <v>74586728</v>
      </c>
      <c r="P1539">
        <v>137</v>
      </c>
      <c r="Q1539" t="s">
        <v>3121</v>
      </c>
    </row>
    <row r="1540" spans="1:17" x14ac:dyDescent="0.3">
      <c r="A1540" t="s">
        <v>17</v>
      </c>
      <c r="B1540" t="str">
        <f>"603901"</f>
        <v>603901</v>
      </c>
      <c r="C1540" t="s">
        <v>3122</v>
      </c>
      <c r="D1540" t="s">
        <v>78</v>
      </c>
      <c r="F1540">
        <v>-152035180</v>
      </c>
      <c r="G1540">
        <v>31585787</v>
      </c>
      <c r="H1540">
        <v>-105282792</v>
      </c>
      <c r="I1540">
        <v>15694299</v>
      </c>
      <c r="J1540">
        <v>-59320254</v>
      </c>
      <c r="K1540">
        <v>-79868682</v>
      </c>
      <c r="L1540">
        <v>-72930217</v>
      </c>
      <c r="M1540">
        <v>-38113892</v>
      </c>
      <c r="P1540">
        <v>140</v>
      </c>
      <c r="Q1540" t="s">
        <v>3123</v>
      </c>
    </row>
    <row r="1541" spans="1:17" x14ac:dyDescent="0.3">
      <c r="A1541" t="s">
        <v>17</v>
      </c>
      <c r="B1541" t="str">
        <f>"603903"</f>
        <v>603903</v>
      </c>
      <c r="C1541" t="s">
        <v>3124</v>
      </c>
      <c r="D1541" t="s">
        <v>33</v>
      </c>
      <c r="F1541">
        <v>-275328650</v>
      </c>
      <c r="G1541">
        <v>18696256</v>
      </c>
      <c r="H1541">
        <v>-58818750</v>
      </c>
      <c r="I1541">
        <v>-306383193</v>
      </c>
      <c r="J1541">
        <v>-152247723</v>
      </c>
      <c r="K1541">
        <v>2005116</v>
      </c>
      <c r="P1541">
        <v>119</v>
      </c>
      <c r="Q1541" t="s">
        <v>3125</v>
      </c>
    </row>
    <row r="1542" spans="1:17" x14ac:dyDescent="0.3">
      <c r="A1542" t="s">
        <v>17</v>
      </c>
      <c r="B1542" t="str">
        <f>"603906"</f>
        <v>603906</v>
      </c>
      <c r="C1542" t="s">
        <v>3126</v>
      </c>
      <c r="D1542" t="s">
        <v>133</v>
      </c>
      <c r="F1542">
        <v>-265055415</v>
      </c>
      <c r="G1542">
        <v>97904216</v>
      </c>
      <c r="H1542">
        <v>184489535</v>
      </c>
      <c r="I1542">
        <v>94282888</v>
      </c>
      <c r="J1542">
        <v>-38048675</v>
      </c>
      <c r="K1542">
        <v>52577599</v>
      </c>
      <c r="P1542">
        <v>184</v>
      </c>
      <c r="Q1542" t="s">
        <v>3127</v>
      </c>
    </row>
    <row r="1543" spans="1:17" x14ac:dyDescent="0.3">
      <c r="A1543" t="s">
        <v>17</v>
      </c>
      <c r="B1543" t="str">
        <f>"603908"</f>
        <v>603908</v>
      </c>
      <c r="C1543" t="s">
        <v>3128</v>
      </c>
      <c r="D1543" t="s">
        <v>227</v>
      </c>
      <c r="F1543">
        <v>48112130</v>
      </c>
      <c r="G1543">
        <v>126473409</v>
      </c>
      <c r="H1543">
        <v>79299379</v>
      </c>
      <c r="I1543">
        <v>78066556</v>
      </c>
      <c r="J1543">
        <v>79916556</v>
      </c>
      <c r="K1543">
        <v>74446427</v>
      </c>
      <c r="P1543">
        <v>114</v>
      </c>
      <c r="Q1543" t="s">
        <v>3129</v>
      </c>
    </row>
    <row r="1544" spans="1:17" x14ac:dyDescent="0.3">
      <c r="A1544" t="s">
        <v>17</v>
      </c>
      <c r="B1544" t="str">
        <f>"603909"</f>
        <v>603909</v>
      </c>
      <c r="C1544" t="s">
        <v>3130</v>
      </c>
      <c r="D1544" t="s">
        <v>95</v>
      </c>
      <c r="F1544">
        <v>-54491399</v>
      </c>
      <c r="G1544">
        <v>-37814902</v>
      </c>
      <c r="H1544">
        <v>-31716429</v>
      </c>
      <c r="I1544">
        <v>-80603230</v>
      </c>
      <c r="J1544">
        <v>-44355178</v>
      </c>
      <c r="K1544">
        <v>-40868395</v>
      </c>
      <c r="L1544">
        <v>-3803998</v>
      </c>
      <c r="P1544">
        <v>65</v>
      </c>
      <c r="Q1544" t="s">
        <v>3131</v>
      </c>
    </row>
    <row r="1545" spans="1:17" x14ac:dyDescent="0.3">
      <c r="A1545" t="s">
        <v>17</v>
      </c>
      <c r="B1545" t="str">
        <f>"603912"</f>
        <v>603912</v>
      </c>
      <c r="C1545" t="s">
        <v>3132</v>
      </c>
      <c r="D1545" t="s">
        <v>78</v>
      </c>
      <c r="F1545">
        <v>-99357579</v>
      </c>
      <c r="G1545">
        <v>-124872220</v>
      </c>
      <c r="H1545">
        <v>-23192377</v>
      </c>
      <c r="I1545">
        <v>-50999795</v>
      </c>
      <c r="J1545">
        <v>-1186599</v>
      </c>
      <c r="K1545">
        <v>-7488346</v>
      </c>
      <c r="P1545">
        <v>287</v>
      </c>
      <c r="Q1545" t="s">
        <v>3133</v>
      </c>
    </row>
    <row r="1546" spans="1:17" x14ac:dyDescent="0.3">
      <c r="A1546" t="s">
        <v>17</v>
      </c>
      <c r="B1546" t="str">
        <f>"603915"</f>
        <v>603915</v>
      </c>
      <c r="C1546" t="s">
        <v>3134</v>
      </c>
      <c r="D1546" t="s">
        <v>78</v>
      </c>
      <c r="F1546">
        <v>-91996486</v>
      </c>
      <c r="G1546">
        <v>-16976720</v>
      </c>
      <c r="H1546">
        <v>12459239</v>
      </c>
      <c r="I1546">
        <v>-42895619</v>
      </c>
      <c r="P1546">
        <v>161</v>
      </c>
      <c r="Q1546" t="s">
        <v>3135</v>
      </c>
    </row>
    <row r="1547" spans="1:17" x14ac:dyDescent="0.3">
      <c r="A1547" t="s">
        <v>17</v>
      </c>
      <c r="B1547" t="str">
        <f>"603916"</f>
        <v>603916</v>
      </c>
      <c r="C1547" t="s">
        <v>3136</v>
      </c>
      <c r="D1547" t="s">
        <v>133</v>
      </c>
      <c r="F1547">
        <v>-91424955</v>
      </c>
      <c r="G1547">
        <v>167476812</v>
      </c>
      <c r="H1547">
        <v>90007832</v>
      </c>
      <c r="I1547">
        <v>-68482967</v>
      </c>
      <c r="J1547">
        <v>-19147197</v>
      </c>
      <c r="K1547">
        <v>-39656299</v>
      </c>
      <c r="P1547">
        <v>274</v>
      </c>
      <c r="Q1547" t="s">
        <v>3137</v>
      </c>
    </row>
    <row r="1548" spans="1:17" x14ac:dyDescent="0.3">
      <c r="A1548" t="s">
        <v>17</v>
      </c>
      <c r="B1548" t="str">
        <f>"603917"</f>
        <v>603917</v>
      </c>
      <c r="C1548" t="s">
        <v>3138</v>
      </c>
      <c r="D1548" t="s">
        <v>27</v>
      </c>
      <c r="F1548">
        <v>68072042</v>
      </c>
      <c r="G1548">
        <v>59161817</v>
      </c>
      <c r="H1548">
        <v>-81906273</v>
      </c>
      <c r="I1548">
        <v>-96007721</v>
      </c>
      <c r="J1548">
        <v>19188830</v>
      </c>
      <c r="K1548">
        <v>28514046</v>
      </c>
      <c r="P1548">
        <v>73</v>
      </c>
      <c r="Q1548" t="s">
        <v>3139</v>
      </c>
    </row>
    <row r="1549" spans="1:17" x14ac:dyDescent="0.3">
      <c r="A1549" t="s">
        <v>17</v>
      </c>
      <c r="B1549" t="str">
        <f>"603918"</f>
        <v>603918</v>
      </c>
      <c r="C1549" t="s">
        <v>3140</v>
      </c>
      <c r="D1549" t="s">
        <v>212</v>
      </c>
      <c r="F1549">
        <v>-65169115</v>
      </c>
      <c r="G1549">
        <v>-60059669</v>
      </c>
      <c r="H1549">
        <v>-184048301</v>
      </c>
      <c r="I1549">
        <v>-203250510</v>
      </c>
      <c r="J1549">
        <v>-94296028</v>
      </c>
      <c r="K1549">
        <v>-79599639</v>
      </c>
      <c r="L1549">
        <v>-108109908</v>
      </c>
      <c r="M1549">
        <v>-74489441</v>
      </c>
      <c r="P1549">
        <v>143</v>
      </c>
      <c r="Q1549" t="s">
        <v>3141</v>
      </c>
    </row>
    <row r="1550" spans="1:17" x14ac:dyDescent="0.3">
      <c r="A1550" t="s">
        <v>17</v>
      </c>
      <c r="B1550" t="str">
        <f>"603919"</f>
        <v>603919</v>
      </c>
      <c r="C1550" t="s">
        <v>3142</v>
      </c>
      <c r="D1550" t="s">
        <v>123</v>
      </c>
      <c r="F1550">
        <v>-125070254</v>
      </c>
      <c r="G1550">
        <v>-147400930</v>
      </c>
      <c r="H1550">
        <v>151841624</v>
      </c>
      <c r="I1550">
        <v>-229756253</v>
      </c>
      <c r="J1550">
        <v>-208344356</v>
      </c>
      <c r="K1550">
        <v>-7930585</v>
      </c>
      <c r="L1550">
        <v>-30003418</v>
      </c>
      <c r="P1550">
        <v>447</v>
      </c>
      <c r="Q1550" t="s">
        <v>3143</v>
      </c>
    </row>
    <row r="1551" spans="1:17" x14ac:dyDescent="0.3">
      <c r="A1551" t="s">
        <v>17</v>
      </c>
      <c r="B1551" t="str">
        <f>"603920"</f>
        <v>603920</v>
      </c>
      <c r="C1551" t="s">
        <v>3144</v>
      </c>
      <c r="D1551" t="s">
        <v>150</v>
      </c>
      <c r="F1551">
        <v>-120599237</v>
      </c>
      <c r="G1551">
        <v>-103425972</v>
      </c>
      <c r="H1551">
        <v>202848861</v>
      </c>
      <c r="I1551">
        <v>-187465301</v>
      </c>
      <c r="J1551">
        <v>82954952</v>
      </c>
      <c r="K1551">
        <v>118360498</v>
      </c>
      <c r="P1551">
        <v>267</v>
      </c>
      <c r="Q1551" t="s">
        <v>3145</v>
      </c>
    </row>
    <row r="1552" spans="1:17" x14ac:dyDescent="0.3">
      <c r="A1552" t="s">
        <v>17</v>
      </c>
      <c r="B1552" t="str">
        <f>"603922"</f>
        <v>603922</v>
      </c>
      <c r="C1552" t="s">
        <v>3146</v>
      </c>
      <c r="D1552" t="s">
        <v>27</v>
      </c>
      <c r="F1552">
        <v>75582756</v>
      </c>
      <c r="G1552">
        <v>84073665</v>
      </c>
      <c r="H1552">
        <v>42941802</v>
      </c>
      <c r="I1552">
        <v>-125386573</v>
      </c>
      <c r="J1552">
        <v>5927476</v>
      </c>
      <c r="K1552">
        <v>4511178</v>
      </c>
      <c r="P1552">
        <v>54</v>
      </c>
      <c r="Q1552" t="s">
        <v>3147</v>
      </c>
    </row>
    <row r="1553" spans="1:17" x14ac:dyDescent="0.3">
      <c r="A1553" t="s">
        <v>17</v>
      </c>
      <c r="B1553" t="str">
        <f>"603926"</f>
        <v>603926</v>
      </c>
      <c r="C1553" t="s">
        <v>3148</v>
      </c>
      <c r="D1553" t="s">
        <v>27</v>
      </c>
      <c r="F1553">
        <v>66487378</v>
      </c>
      <c r="G1553">
        <v>27682584</v>
      </c>
      <c r="H1553">
        <v>74511662</v>
      </c>
      <c r="I1553">
        <v>25247766</v>
      </c>
      <c r="J1553">
        <v>-1808239</v>
      </c>
      <c r="K1553">
        <v>-25119392</v>
      </c>
      <c r="P1553">
        <v>104</v>
      </c>
      <c r="Q1553" t="s">
        <v>3149</v>
      </c>
    </row>
    <row r="1554" spans="1:17" x14ac:dyDescent="0.3">
      <c r="A1554" t="s">
        <v>17</v>
      </c>
      <c r="B1554" t="str">
        <f>"603927"</f>
        <v>603927</v>
      </c>
      <c r="C1554" t="s">
        <v>3150</v>
      </c>
      <c r="D1554" t="s">
        <v>212</v>
      </c>
      <c r="F1554">
        <v>-1289097804</v>
      </c>
      <c r="G1554">
        <v>-982552356</v>
      </c>
      <c r="H1554">
        <v>-818475349</v>
      </c>
      <c r="I1554">
        <v>-691020541</v>
      </c>
      <c r="P1554">
        <v>823</v>
      </c>
      <c r="Q1554" t="s">
        <v>3151</v>
      </c>
    </row>
    <row r="1555" spans="1:17" x14ac:dyDescent="0.3">
      <c r="A1555" t="s">
        <v>17</v>
      </c>
      <c r="B1555" t="str">
        <f>"603928"</f>
        <v>603928</v>
      </c>
      <c r="C1555" t="s">
        <v>3152</v>
      </c>
      <c r="D1555" t="s">
        <v>133</v>
      </c>
      <c r="F1555">
        <v>-19325682</v>
      </c>
      <c r="G1555">
        <v>83801717</v>
      </c>
      <c r="H1555">
        <v>78826698</v>
      </c>
      <c r="I1555">
        <v>-129561672</v>
      </c>
      <c r="J1555">
        <v>-40989897</v>
      </c>
      <c r="K1555">
        <v>27722996</v>
      </c>
      <c r="L1555">
        <v>72122100</v>
      </c>
      <c r="P1555">
        <v>102</v>
      </c>
      <c r="Q1555" t="s">
        <v>3153</v>
      </c>
    </row>
    <row r="1556" spans="1:17" x14ac:dyDescent="0.3">
      <c r="A1556" t="s">
        <v>17</v>
      </c>
      <c r="B1556" t="str">
        <f>"603929"</f>
        <v>603929</v>
      </c>
      <c r="C1556" t="s">
        <v>3154</v>
      </c>
      <c r="D1556" t="s">
        <v>95</v>
      </c>
      <c r="F1556">
        <v>5397279</v>
      </c>
      <c r="G1556">
        <v>-138379876</v>
      </c>
      <c r="H1556">
        <v>-279365339</v>
      </c>
      <c r="I1556">
        <v>58629971</v>
      </c>
      <c r="J1556">
        <v>-128261576</v>
      </c>
      <c r="K1556">
        <v>257990564</v>
      </c>
      <c r="P1556">
        <v>109</v>
      </c>
      <c r="Q1556" t="s">
        <v>3155</v>
      </c>
    </row>
    <row r="1557" spans="1:17" x14ac:dyDescent="0.3">
      <c r="A1557" t="s">
        <v>17</v>
      </c>
      <c r="B1557" t="str">
        <f>"603931"</f>
        <v>603931</v>
      </c>
      <c r="C1557" t="s">
        <v>3156</v>
      </c>
      <c r="D1557" t="s">
        <v>150</v>
      </c>
      <c r="F1557">
        <v>74727581</v>
      </c>
      <c r="G1557">
        <v>81060586</v>
      </c>
      <c r="H1557">
        <v>33260754</v>
      </c>
      <c r="P1557">
        <v>89</v>
      </c>
      <c r="Q1557" t="s">
        <v>3157</v>
      </c>
    </row>
    <row r="1558" spans="1:17" x14ac:dyDescent="0.3">
      <c r="A1558" t="s">
        <v>17</v>
      </c>
      <c r="B1558" t="str">
        <f>"603933"</f>
        <v>603933</v>
      </c>
      <c r="C1558" t="s">
        <v>3158</v>
      </c>
      <c r="D1558" t="s">
        <v>150</v>
      </c>
      <c r="F1558">
        <v>36712905</v>
      </c>
      <c r="G1558">
        <v>7817555</v>
      </c>
      <c r="H1558">
        <v>43881007</v>
      </c>
      <c r="I1558">
        <v>-129952337</v>
      </c>
      <c r="J1558">
        <v>-53587347</v>
      </c>
      <c r="K1558">
        <v>-71185496</v>
      </c>
      <c r="P1558">
        <v>122</v>
      </c>
      <c r="Q1558" t="s">
        <v>3159</v>
      </c>
    </row>
    <row r="1559" spans="1:17" x14ac:dyDescent="0.3">
      <c r="A1559" t="s">
        <v>17</v>
      </c>
      <c r="B1559" t="str">
        <f>"603936"</f>
        <v>603936</v>
      </c>
      <c r="C1559" t="s">
        <v>3160</v>
      </c>
      <c r="D1559" t="s">
        <v>150</v>
      </c>
      <c r="F1559">
        <v>-347607737</v>
      </c>
      <c r="G1559">
        <v>-230710429</v>
      </c>
      <c r="H1559">
        <v>-115128375</v>
      </c>
      <c r="I1559">
        <v>1735564</v>
      </c>
      <c r="J1559">
        <v>-97721269</v>
      </c>
      <c r="K1559">
        <v>-153767073</v>
      </c>
      <c r="P1559">
        <v>222</v>
      </c>
      <c r="Q1559" t="s">
        <v>3161</v>
      </c>
    </row>
    <row r="1560" spans="1:17" x14ac:dyDescent="0.3">
      <c r="A1560" t="s">
        <v>17</v>
      </c>
      <c r="B1560" t="str">
        <f>"603937"</f>
        <v>603937</v>
      </c>
      <c r="C1560" t="s">
        <v>3162</v>
      </c>
      <c r="D1560" t="s">
        <v>234</v>
      </c>
      <c r="F1560">
        <v>-57049604</v>
      </c>
      <c r="G1560">
        <v>64731608</v>
      </c>
      <c r="H1560">
        <v>116814357</v>
      </c>
      <c r="I1560">
        <v>35156783</v>
      </c>
      <c r="J1560">
        <v>52907223</v>
      </c>
      <c r="K1560">
        <v>-21215324</v>
      </c>
      <c r="P1560">
        <v>61</v>
      </c>
      <c r="Q1560" t="s">
        <v>3163</v>
      </c>
    </row>
    <row r="1561" spans="1:17" x14ac:dyDescent="0.3">
      <c r="A1561" t="s">
        <v>17</v>
      </c>
      <c r="B1561" t="str">
        <f>"603938"</f>
        <v>603938</v>
      </c>
      <c r="C1561" t="s">
        <v>3164</v>
      </c>
      <c r="D1561" t="s">
        <v>133</v>
      </c>
      <c r="F1561">
        <v>-182370139</v>
      </c>
      <c r="G1561">
        <v>36614890</v>
      </c>
      <c r="H1561">
        <v>-36084915</v>
      </c>
      <c r="I1561">
        <v>75490466</v>
      </c>
      <c r="J1561">
        <v>-38105947</v>
      </c>
      <c r="K1561">
        <v>23421383</v>
      </c>
      <c r="P1561">
        <v>103</v>
      </c>
      <c r="Q1561" t="s">
        <v>3165</v>
      </c>
    </row>
    <row r="1562" spans="1:17" x14ac:dyDescent="0.3">
      <c r="A1562" t="s">
        <v>17</v>
      </c>
      <c r="B1562" t="str">
        <f>"603939"</f>
        <v>603939</v>
      </c>
      <c r="C1562" t="s">
        <v>3166</v>
      </c>
      <c r="D1562" t="s">
        <v>113</v>
      </c>
      <c r="F1562">
        <v>1194616037</v>
      </c>
      <c r="G1562">
        <v>564898189</v>
      </c>
      <c r="H1562">
        <v>286065936</v>
      </c>
      <c r="I1562">
        <v>153089421</v>
      </c>
      <c r="J1562">
        <v>91675553</v>
      </c>
      <c r="K1562">
        <v>-9482841</v>
      </c>
      <c r="L1562">
        <v>29969662</v>
      </c>
      <c r="M1562">
        <v>76794947</v>
      </c>
      <c r="P1562">
        <v>1483</v>
      </c>
      <c r="Q1562" t="s">
        <v>3167</v>
      </c>
    </row>
    <row r="1563" spans="1:17" x14ac:dyDescent="0.3">
      <c r="A1563" t="s">
        <v>17</v>
      </c>
      <c r="B1563" t="str">
        <f>"603948"</f>
        <v>603948</v>
      </c>
      <c r="C1563" t="s">
        <v>3168</v>
      </c>
      <c r="D1563" t="s">
        <v>133</v>
      </c>
      <c r="F1563">
        <v>-8987178</v>
      </c>
      <c r="G1563">
        <v>-32588941</v>
      </c>
      <c r="H1563">
        <v>62542594</v>
      </c>
      <c r="P1563">
        <v>60</v>
      </c>
      <c r="Q1563" t="s">
        <v>3169</v>
      </c>
    </row>
    <row r="1564" spans="1:17" x14ac:dyDescent="0.3">
      <c r="A1564" t="s">
        <v>17</v>
      </c>
      <c r="B1564" t="str">
        <f>"603949"</f>
        <v>603949</v>
      </c>
      <c r="C1564" t="s">
        <v>3170</v>
      </c>
      <c r="D1564" t="s">
        <v>27</v>
      </c>
      <c r="F1564">
        <v>56709222</v>
      </c>
      <c r="G1564">
        <v>-9669508</v>
      </c>
      <c r="H1564">
        <v>21886634</v>
      </c>
      <c r="I1564">
        <v>91440092</v>
      </c>
      <c r="P1564">
        <v>158</v>
      </c>
      <c r="Q1564" t="s">
        <v>3171</v>
      </c>
    </row>
    <row r="1565" spans="1:17" x14ac:dyDescent="0.3">
      <c r="A1565" t="s">
        <v>17</v>
      </c>
      <c r="B1565" t="str">
        <f>"603950"</f>
        <v>603950</v>
      </c>
      <c r="C1565" t="s">
        <v>3172</v>
      </c>
      <c r="D1565" t="s">
        <v>27</v>
      </c>
      <c r="F1565">
        <v>14288361</v>
      </c>
      <c r="G1565">
        <v>-8136354</v>
      </c>
      <c r="H1565">
        <v>-63734186</v>
      </c>
      <c r="P1565">
        <v>97</v>
      </c>
      <c r="Q1565" t="s">
        <v>3173</v>
      </c>
    </row>
    <row r="1566" spans="1:17" x14ac:dyDescent="0.3">
      <c r="A1566" t="s">
        <v>17</v>
      </c>
      <c r="B1566" t="str">
        <f>"603955"</f>
        <v>603955</v>
      </c>
      <c r="C1566" t="s">
        <v>3174</v>
      </c>
      <c r="D1566" t="s">
        <v>95</v>
      </c>
      <c r="F1566">
        <v>-162154213</v>
      </c>
      <c r="G1566">
        <v>-178099925</v>
      </c>
      <c r="H1566">
        <v>-166608557</v>
      </c>
      <c r="I1566">
        <v>-274466107</v>
      </c>
      <c r="J1566">
        <v>-294827463</v>
      </c>
      <c r="K1566">
        <v>-21549481</v>
      </c>
      <c r="L1566">
        <v>-70815948</v>
      </c>
      <c r="P1566">
        <v>60</v>
      </c>
      <c r="Q1566" t="s">
        <v>3175</v>
      </c>
    </row>
    <row r="1567" spans="1:17" x14ac:dyDescent="0.3">
      <c r="A1567" t="s">
        <v>17</v>
      </c>
      <c r="B1567" t="str">
        <f>"603956"</f>
        <v>603956</v>
      </c>
      <c r="C1567" t="s">
        <v>3176</v>
      </c>
      <c r="D1567" t="s">
        <v>78</v>
      </c>
      <c r="F1567">
        <v>-263601234</v>
      </c>
      <c r="G1567">
        <v>-79294932</v>
      </c>
      <c r="H1567">
        <v>-22110507</v>
      </c>
      <c r="I1567">
        <v>-29317600</v>
      </c>
      <c r="J1567">
        <v>-27298000</v>
      </c>
      <c r="P1567">
        <v>182</v>
      </c>
      <c r="Q1567" t="s">
        <v>3177</v>
      </c>
    </row>
    <row r="1568" spans="1:17" x14ac:dyDescent="0.3">
      <c r="A1568" t="s">
        <v>17</v>
      </c>
      <c r="B1568" t="str">
        <f>"603958"</f>
        <v>603958</v>
      </c>
      <c r="C1568" t="s">
        <v>3178</v>
      </c>
      <c r="D1568" t="s">
        <v>227</v>
      </c>
      <c r="F1568">
        <v>-21658674</v>
      </c>
      <c r="G1568">
        <v>-52212967</v>
      </c>
      <c r="H1568">
        <v>15186533</v>
      </c>
      <c r="I1568">
        <v>15181992</v>
      </c>
      <c r="J1568">
        <v>38890457</v>
      </c>
      <c r="K1568">
        <v>-99911896</v>
      </c>
      <c r="L1568">
        <v>-16584823</v>
      </c>
      <c r="P1568">
        <v>67</v>
      </c>
      <c r="Q1568" t="s">
        <v>3179</v>
      </c>
    </row>
    <row r="1569" spans="1:17" x14ac:dyDescent="0.3">
      <c r="A1569" t="s">
        <v>17</v>
      </c>
      <c r="B1569" t="str">
        <f>"603959"</f>
        <v>603959</v>
      </c>
      <c r="C1569" t="s">
        <v>3180</v>
      </c>
      <c r="D1569" t="s">
        <v>95</v>
      </c>
      <c r="F1569">
        <v>142759282</v>
      </c>
      <c r="G1569">
        <v>-374638289</v>
      </c>
      <c r="H1569">
        <v>-264980447</v>
      </c>
      <c r="I1569">
        <v>92818397</v>
      </c>
      <c r="J1569">
        <v>-231160130</v>
      </c>
      <c r="K1569">
        <v>-142489640</v>
      </c>
      <c r="L1569">
        <v>21132886</v>
      </c>
      <c r="P1569">
        <v>80</v>
      </c>
      <c r="Q1569" t="s">
        <v>3181</v>
      </c>
    </row>
    <row r="1570" spans="1:17" x14ac:dyDescent="0.3">
      <c r="A1570" t="s">
        <v>17</v>
      </c>
      <c r="B1570" t="str">
        <f>"603960"</f>
        <v>603960</v>
      </c>
      <c r="C1570" t="s">
        <v>3182</v>
      </c>
      <c r="D1570" t="s">
        <v>78</v>
      </c>
      <c r="F1570">
        <v>-128137543</v>
      </c>
      <c r="G1570">
        <v>70654514</v>
      </c>
      <c r="H1570">
        <v>67279569</v>
      </c>
      <c r="I1570">
        <v>-19150265</v>
      </c>
      <c r="J1570">
        <v>22586869</v>
      </c>
      <c r="K1570">
        <v>11374815</v>
      </c>
      <c r="P1570">
        <v>383</v>
      </c>
      <c r="Q1570" t="s">
        <v>3183</v>
      </c>
    </row>
    <row r="1571" spans="1:17" x14ac:dyDescent="0.3">
      <c r="A1571" t="s">
        <v>17</v>
      </c>
      <c r="B1571" t="str">
        <f>"603963"</f>
        <v>603963</v>
      </c>
      <c r="C1571" t="s">
        <v>3184</v>
      </c>
      <c r="D1571" t="s">
        <v>113</v>
      </c>
      <c r="F1571">
        <v>-22869570</v>
      </c>
      <c r="G1571">
        <v>-27785212</v>
      </c>
      <c r="H1571">
        <v>-31501092</v>
      </c>
      <c r="I1571">
        <v>69006801</v>
      </c>
      <c r="J1571">
        <v>3927857</v>
      </c>
      <c r="K1571">
        <v>53472247</v>
      </c>
      <c r="P1571">
        <v>109</v>
      </c>
      <c r="Q1571" t="s">
        <v>3185</v>
      </c>
    </row>
    <row r="1572" spans="1:17" x14ac:dyDescent="0.3">
      <c r="A1572" t="s">
        <v>17</v>
      </c>
      <c r="B1572" t="str">
        <f>"603966"</f>
        <v>603966</v>
      </c>
      <c r="C1572" t="s">
        <v>3186</v>
      </c>
      <c r="D1572" t="s">
        <v>78</v>
      </c>
      <c r="F1572">
        <v>-53401455</v>
      </c>
      <c r="G1572">
        <v>85602372</v>
      </c>
      <c r="H1572">
        <v>112625056</v>
      </c>
      <c r="I1572">
        <v>4364036</v>
      </c>
      <c r="J1572">
        <v>-9929392</v>
      </c>
      <c r="K1572">
        <v>-5538840</v>
      </c>
      <c r="L1572">
        <v>15660234</v>
      </c>
      <c r="P1572">
        <v>123</v>
      </c>
      <c r="Q1572" t="s">
        <v>3187</v>
      </c>
    </row>
    <row r="1573" spans="1:17" x14ac:dyDescent="0.3">
      <c r="A1573" t="s">
        <v>17</v>
      </c>
      <c r="B1573" t="str">
        <f>"603967"</f>
        <v>603967</v>
      </c>
      <c r="C1573" t="s">
        <v>3188</v>
      </c>
      <c r="D1573" t="s">
        <v>22</v>
      </c>
      <c r="F1573">
        <v>-370597271</v>
      </c>
      <c r="G1573">
        <v>-26120699</v>
      </c>
      <c r="H1573">
        <v>62062243</v>
      </c>
      <c r="I1573">
        <v>34751785</v>
      </c>
      <c r="P1573">
        <v>85</v>
      </c>
      <c r="Q1573" t="s">
        <v>3189</v>
      </c>
    </row>
    <row r="1574" spans="1:17" x14ac:dyDescent="0.3">
      <c r="A1574" t="s">
        <v>17</v>
      </c>
      <c r="B1574" t="str">
        <f>"603968"</f>
        <v>603968</v>
      </c>
      <c r="C1574" t="s">
        <v>3190</v>
      </c>
      <c r="D1574" t="s">
        <v>133</v>
      </c>
      <c r="F1574">
        <v>-74082219</v>
      </c>
      <c r="G1574">
        <v>205238236</v>
      </c>
      <c r="H1574">
        <v>130415894</v>
      </c>
      <c r="I1574">
        <v>116880399</v>
      </c>
      <c r="J1574">
        <v>-39534259</v>
      </c>
      <c r="K1574">
        <v>64425829</v>
      </c>
      <c r="L1574">
        <v>104657215</v>
      </c>
      <c r="M1574">
        <v>58137691</v>
      </c>
      <c r="P1574">
        <v>244</v>
      </c>
      <c r="Q1574" t="s">
        <v>3191</v>
      </c>
    </row>
    <row r="1575" spans="1:17" x14ac:dyDescent="0.3">
      <c r="A1575" t="s">
        <v>17</v>
      </c>
      <c r="B1575" t="str">
        <f>"603969"</f>
        <v>603969</v>
      </c>
      <c r="C1575" t="s">
        <v>3192</v>
      </c>
      <c r="D1575" t="s">
        <v>78</v>
      </c>
      <c r="F1575">
        <v>11048735</v>
      </c>
      <c r="G1575">
        <v>93332807</v>
      </c>
      <c r="H1575">
        <v>-159603794</v>
      </c>
      <c r="I1575">
        <v>19437953</v>
      </c>
      <c r="J1575">
        <v>-132677127</v>
      </c>
      <c r="K1575">
        <v>-205722166</v>
      </c>
      <c r="L1575">
        <v>-3991500</v>
      </c>
      <c r="M1575">
        <v>42921489</v>
      </c>
      <c r="P1575">
        <v>94</v>
      </c>
      <c r="Q1575" t="s">
        <v>3193</v>
      </c>
    </row>
    <row r="1576" spans="1:17" x14ac:dyDescent="0.3">
      <c r="A1576" t="s">
        <v>17</v>
      </c>
      <c r="B1576" t="str">
        <f>"603970"</f>
        <v>603970</v>
      </c>
      <c r="C1576" t="s">
        <v>3194</v>
      </c>
      <c r="D1576" t="s">
        <v>133</v>
      </c>
      <c r="F1576">
        <v>-988645717</v>
      </c>
      <c r="G1576">
        <v>-495816129</v>
      </c>
      <c r="H1576">
        <v>-506372018</v>
      </c>
      <c r="I1576">
        <v>-253085802</v>
      </c>
      <c r="J1576">
        <v>213828182</v>
      </c>
      <c r="K1576">
        <v>-165924217</v>
      </c>
      <c r="P1576">
        <v>89</v>
      </c>
      <c r="Q1576" t="s">
        <v>3195</v>
      </c>
    </row>
    <row r="1577" spans="1:17" x14ac:dyDescent="0.3">
      <c r="A1577" t="s">
        <v>17</v>
      </c>
      <c r="B1577" t="str">
        <f>"603976"</f>
        <v>603976</v>
      </c>
      <c r="C1577" t="s">
        <v>3196</v>
      </c>
      <c r="D1577" t="s">
        <v>113</v>
      </c>
      <c r="F1577">
        <v>28603641</v>
      </c>
      <c r="G1577">
        <v>846019</v>
      </c>
      <c r="H1577">
        <v>-97446621</v>
      </c>
      <c r="I1577">
        <v>-6339635</v>
      </c>
      <c r="J1577">
        <v>19056723</v>
      </c>
      <c r="K1577">
        <v>10475557</v>
      </c>
      <c r="P1577">
        <v>216</v>
      </c>
      <c r="Q1577" t="s">
        <v>3197</v>
      </c>
    </row>
    <row r="1578" spans="1:17" x14ac:dyDescent="0.3">
      <c r="A1578" t="s">
        <v>17</v>
      </c>
      <c r="B1578" t="str">
        <f>"603977"</f>
        <v>603977</v>
      </c>
      <c r="C1578" t="s">
        <v>3198</v>
      </c>
      <c r="D1578" t="s">
        <v>133</v>
      </c>
      <c r="F1578">
        <v>28517718</v>
      </c>
      <c r="G1578">
        <v>-120746250</v>
      </c>
      <c r="H1578">
        <v>10031747</v>
      </c>
      <c r="I1578">
        <v>-80709864</v>
      </c>
      <c r="J1578">
        <v>-195226299</v>
      </c>
      <c r="K1578">
        <v>16987491</v>
      </c>
      <c r="L1578">
        <v>-70684229</v>
      </c>
      <c r="P1578">
        <v>88</v>
      </c>
      <c r="Q1578" t="s">
        <v>3199</v>
      </c>
    </row>
    <row r="1579" spans="1:17" x14ac:dyDescent="0.3">
      <c r="A1579" t="s">
        <v>17</v>
      </c>
      <c r="B1579" t="str">
        <f>"603978"</f>
        <v>603978</v>
      </c>
      <c r="C1579" t="s">
        <v>3200</v>
      </c>
      <c r="D1579" t="s">
        <v>234</v>
      </c>
      <c r="F1579">
        <v>-177281825</v>
      </c>
      <c r="G1579">
        <v>-224780716</v>
      </c>
      <c r="H1579">
        <v>-105628439</v>
      </c>
      <c r="I1579">
        <v>5025431</v>
      </c>
      <c r="J1579">
        <v>-171245209</v>
      </c>
      <c r="K1579">
        <v>19836060</v>
      </c>
      <c r="P1579">
        <v>112</v>
      </c>
      <c r="Q1579" t="s">
        <v>3201</v>
      </c>
    </row>
    <row r="1580" spans="1:17" x14ac:dyDescent="0.3">
      <c r="A1580" t="s">
        <v>17</v>
      </c>
      <c r="B1580" t="str">
        <f>"603979"</f>
        <v>603979</v>
      </c>
      <c r="C1580" t="s">
        <v>3202</v>
      </c>
      <c r="D1580" t="s">
        <v>95</v>
      </c>
      <c r="F1580">
        <v>-224848372</v>
      </c>
      <c r="G1580">
        <v>-167532384</v>
      </c>
      <c r="H1580">
        <v>-204968981</v>
      </c>
      <c r="I1580">
        <v>-509036558</v>
      </c>
      <c r="J1580">
        <v>-296042670</v>
      </c>
      <c r="K1580">
        <v>-59319504</v>
      </c>
      <c r="L1580">
        <v>-315184717</v>
      </c>
      <c r="M1580">
        <v>-257907836</v>
      </c>
      <c r="P1580">
        <v>123</v>
      </c>
      <c r="Q1580" t="s">
        <v>3203</v>
      </c>
    </row>
    <row r="1581" spans="1:17" x14ac:dyDescent="0.3">
      <c r="A1581" t="s">
        <v>17</v>
      </c>
      <c r="B1581" t="str">
        <f>"603980"</f>
        <v>603980</v>
      </c>
      <c r="C1581" t="s">
        <v>3204</v>
      </c>
      <c r="D1581" t="s">
        <v>133</v>
      </c>
      <c r="F1581">
        <v>-86491299</v>
      </c>
      <c r="G1581">
        <v>85215217</v>
      </c>
      <c r="H1581">
        <v>508431798</v>
      </c>
      <c r="I1581">
        <v>239196303</v>
      </c>
      <c r="J1581">
        <v>213010595</v>
      </c>
      <c r="K1581">
        <v>456200893</v>
      </c>
      <c r="P1581">
        <v>195</v>
      </c>
      <c r="Q1581" t="s">
        <v>3205</v>
      </c>
    </row>
    <row r="1582" spans="1:17" x14ac:dyDescent="0.3">
      <c r="A1582" t="s">
        <v>17</v>
      </c>
      <c r="B1582" t="str">
        <f>"603982"</f>
        <v>603982</v>
      </c>
      <c r="C1582" t="s">
        <v>3206</v>
      </c>
      <c r="D1582" t="s">
        <v>27</v>
      </c>
      <c r="F1582">
        <v>-475557831</v>
      </c>
      <c r="G1582">
        <v>-20458206</v>
      </c>
      <c r="H1582">
        <v>51816469</v>
      </c>
      <c r="I1582">
        <v>-353466003</v>
      </c>
      <c r="P1582">
        <v>123</v>
      </c>
      <c r="Q1582" t="s">
        <v>3207</v>
      </c>
    </row>
    <row r="1583" spans="1:17" x14ac:dyDescent="0.3">
      <c r="A1583" t="s">
        <v>17</v>
      </c>
      <c r="B1583" t="str">
        <f>"603983"</f>
        <v>603983</v>
      </c>
      <c r="C1583" t="s">
        <v>3208</v>
      </c>
      <c r="D1583" t="s">
        <v>481</v>
      </c>
      <c r="F1583">
        <v>-265170215</v>
      </c>
      <c r="G1583">
        <v>-24821296</v>
      </c>
      <c r="H1583">
        <v>280707545</v>
      </c>
      <c r="I1583">
        <v>246306848</v>
      </c>
      <c r="P1583">
        <v>898</v>
      </c>
      <c r="Q1583" t="s">
        <v>3209</v>
      </c>
    </row>
    <row r="1584" spans="1:17" x14ac:dyDescent="0.3">
      <c r="A1584" t="s">
        <v>17</v>
      </c>
      <c r="B1584" t="str">
        <f>"603985"</f>
        <v>603985</v>
      </c>
      <c r="C1584" t="s">
        <v>3210</v>
      </c>
      <c r="D1584" t="s">
        <v>78</v>
      </c>
      <c r="F1584">
        <v>22200694</v>
      </c>
      <c r="G1584">
        <v>136712575</v>
      </c>
      <c r="H1584">
        <v>-157771614</v>
      </c>
      <c r="I1584">
        <v>-73659099</v>
      </c>
      <c r="J1584">
        <v>30029211</v>
      </c>
      <c r="K1584">
        <v>37185531</v>
      </c>
      <c r="P1584">
        <v>219</v>
      </c>
      <c r="Q1584" t="s">
        <v>3211</v>
      </c>
    </row>
    <row r="1585" spans="1:17" x14ac:dyDescent="0.3">
      <c r="A1585" t="s">
        <v>17</v>
      </c>
      <c r="B1585" t="str">
        <f>"603986"</f>
        <v>603986</v>
      </c>
      <c r="C1585" t="s">
        <v>3212</v>
      </c>
      <c r="D1585" t="s">
        <v>150</v>
      </c>
      <c r="F1585">
        <v>1307147018</v>
      </c>
      <c r="G1585">
        <v>368698631</v>
      </c>
      <c r="H1585">
        <v>561745911</v>
      </c>
      <c r="I1585">
        <v>70516363</v>
      </c>
      <c r="J1585">
        <v>156807773</v>
      </c>
      <c r="K1585">
        <v>-10999621</v>
      </c>
      <c r="L1585">
        <v>72764783</v>
      </c>
      <c r="P1585">
        <v>2706</v>
      </c>
      <c r="Q1585" t="s">
        <v>3213</v>
      </c>
    </row>
    <row r="1586" spans="1:17" x14ac:dyDescent="0.3">
      <c r="A1586" t="s">
        <v>17</v>
      </c>
      <c r="B1586" t="str">
        <f>"603987"</f>
        <v>603987</v>
      </c>
      <c r="C1586" t="s">
        <v>3214</v>
      </c>
      <c r="D1586" t="s">
        <v>113</v>
      </c>
      <c r="F1586">
        <v>-268725825</v>
      </c>
      <c r="G1586">
        <v>-25069504</v>
      </c>
      <c r="H1586">
        <v>-10317432</v>
      </c>
      <c r="I1586">
        <v>64771553</v>
      </c>
      <c r="J1586">
        <v>102525609</v>
      </c>
      <c r="K1586">
        <v>93630550</v>
      </c>
      <c r="L1586">
        <v>9338492</v>
      </c>
      <c r="P1586">
        <v>267</v>
      </c>
      <c r="Q1586" t="s">
        <v>3215</v>
      </c>
    </row>
    <row r="1587" spans="1:17" x14ac:dyDescent="0.3">
      <c r="A1587" t="s">
        <v>17</v>
      </c>
      <c r="B1587" t="str">
        <f>"603988"</f>
        <v>603988</v>
      </c>
      <c r="C1587" t="s">
        <v>3216</v>
      </c>
      <c r="D1587" t="s">
        <v>188</v>
      </c>
      <c r="F1587">
        <v>30478725</v>
      </c>
      <c r="G1587">
        <v>32760321</v>
      </c>
      <c r="H1587">
        <v>10714309</v>
      </c>
      <c r="I1587">
        <v>-15408435</v>
      </c>
      <c r="J1587">
        <v>6771836</v>
      </c>
      <c r="K1587">
        <v>19820080</v>
      </c>
      <c r="L1587">
        <v>-50165371</v>
      </c>
      <c r="M1587">
        <v>-12203811</v>
      </c>
      <c r="N1587">
        <v>24119817</v>
      </c>
      <c r="P1587">
        <v>192</v>
      </c>
      <c r="Q1587" t="s">
        <v>3217</v>
      </c>
    </row>
    <row r="1588" spans="1:17" x14ac:dyDescent="0.3">
      <c r="A1588" t="s">
        <v>17</v>
      </c>
      <c r="B1588" t="str">
        <f>"603989"</f>
        <v>603989</v>
      </c>
      <c r="C1588" t="s">
        <v>3218</v>
      </c>
      <c r="D1588" t="s">
        <v>150</v>
      </c>
      <c r="F1588">
        <v>236377743</v>
      </c>
      <c r="G1588">
        <v>181275899</v>
      </c>
      <c r="H1588">
        <v>34376779</v>
      </c>
      <c r="I1588">
        <v>67141844</v>
      </c>
      <c r="J1588">
        <v>-20033525</v>
      </c>
      <c r="K1588">
        <v>177149058</v>
      </c>
      <c r="L1588">
        <v>101673373</v>
      </c>
      <c r="M1588">
        <v>80553267</v>
      </c>
      <c r="P1588">
        <v>12179</v>
      </c>
      <c r="Q1588" t="s">
        <v>3219</v>
      </c>
    </row>
    <row r="1589" spans="1:17" x14ac:dyDescent="0.3">
      <c r="A1589" t="s">
        <v>17</v>
      </c>
      <c r="B1589" t="str">
        <f>"603990"</f>
        <v>603990</v>
      </c>
      <c r="C1589" t="s">
        <v>3220</v>
      </c>
      <c r="D1589" t="s">
        <v>212</v>
      </c>
      <c r="F1589">
        <v>-33013013</v>
      </c>
      <c r="G1589">
        <v>-5327311</v>
      </c>
      <c r="H1589">
        <v>-46383479</v>
      </c>
      <c r="I1589">
        <v>-15931977</v>
      </c>
      <c r="J1589">
        <v>-77621343</v>
      </c>
      <c r="K1589">
        <v>-48526454</v>
      </c>
      <c r="L1589">
        <v>-40610651</v>
      </c>
      <c r="P1589">
        <v>143</v>
      </c>
      <c r="Q1589" t="s">
        <v>3221</v>
      </c>
    </row>
    <row r="1590" spans="1:17" x14ac:dyDescent="0.3">
      <c r="A1590" t="s">
        <v>17</v>
      </c>
      <c r="B1590" t="str">
        <f>"603991"</f>
        <v>603991</v>
      </c>
      <c r="C1590" t="s">
        <v>3222</v>
      </c>
      <c r="D1590" t="s">
        <v>133</v>
      </c>
      <c r="F1590">
        <v>61439360</v>
      </c>
      <c r="G1590">
        <v>51139630</v>
      </c>
      <c r="H1590">
        <v>-10374026</v>
      </c>
      <c r="I1590">
        <v>-129593085</v>
      </c>
      <c r="J1590">
        <v>-73048884</v>
      </c>
      <c r="K1590">
        <v>-68196807</v>
      </c>
      <c r="P1590">
        <v>96</v>
      </c>
      <c r="Q1590" t="s">
        <v>3223</v>
      </c>
    </row>
    <row r="1591" spans="1:17" x14ac:dyDescent="0.3">
      <c r="A1591" t="s">
        <v>17</v>
      </c>
      <c r="B1591" t="str">
        <f>"603992"</f>
        <v>603992</v>
      </c>
      <c r="C1591" t="s">
        <v>3224</v>
      </c>
      <c r="D1591" t="s">
        <v>161</v>
      </c>
      <c r="F1591">
        <v>-153520187</v>
      </c>
      <c r="G1591">
        <v>-28765147</v>
      </c>
      <c r="H1591">
        <v>-50803200</v>
      </c>
      <c r="I1591">
        <v>178001249</v>
      </c>
      <c r="P1591">
        <v>120</v>
      </c>
      <c r="Q1591" t="s">
        <v>3225</v>
      </c>
    </row>
    <row r="1592" spans="1:17" x14ac:dyDescent="0.3">
      <c r="A1592" t="s">
        <v>17</v>
      </c>
      <c r="B1592" t="str">
        <f>"603993"</f>
        <v>603993</v>
      </c>
      <c r="C1592" t="s">
        <v>3226</v>
      </c>
      <c r="D1592" t="s">
        <v>234</v>
      </c>
      <c r="F1592">
        <v>28955750</v>
      </c>
      <c r="G1592">
        <v>8012650047</v>
      </c>
      <c r="H1592">
        <v>-302467260</v>
      </c>
      <c r="I1592">
        <v>6841721000</v>
      </c>
      <c r="J1592">
        <v>5132409100</v>
      </c>
      <c r="K1592">
        <v>666052682</v>
      </c>
      <c r="L1592">
        <v>1296987295</v>
      </c>
      <c r="M1592">
        <v>1537112928</v>
      </c>
      <c r="N1592">
        <v>847262565</v>
      </c>
      <c r="O1592">
        <v>662765345</v>
      </c>
      <c r="P1592">
        <v>1124</v>
      </c>
      <c r="Q1592" t="s">
        <v>3227</v>
      </c>
    </row>
    <row r="1593" spans="1:17" x14ac:dyDescent="0.3">
      <c r="A1593" t="s">
        <v>17</v>
      </c>
      <c r="B1593" t="str">
        <f>"603995"</f>
        <v>603995</v>
      </c>
      <c r="C1593" t="s">
        <v>3228</v>
      </c>
      <c r="D1593" t="s">
        <v>38</v>
      </c>
      <c r="F1593">
        <v>-933590487</v>
      </c>
      <c r="G1593">
        <v>-178379558</v>
      </c>
      <c r="H1593">
        <v>100295213</v>
      </c>
      <c r="I1593">
        <v>495688989</v>
      </c>
      <c r="P1593">
        <v>128</v>
      </c>
      <c r="Q1593" t="s">
        <v>3229</v>
      </c>
    </row>
    <row r="1594" spans="1:17" x14ac:dyDescent="0.3">
      <c r="A1594" t="s">
        <v>17</v>
      </c>
      <c r="B1594" t="str">
        <f>"603996"</f>
        <v>603996</v>
      </c>
      <c r="C1594" t="s">
        <v>3230</v>
      </c>
      <c r="D1594" t="s">
        <v>150</v>
      </c>
      <c r="F1594">
        <v>-710621</v>
      </c>
      <c r="G1594">
        <v>522098</v>
      </c>
      <c r="H1594">
        <v>-18949874</v>
      </c>
      <c r="I1594">
        <v>-280177357</v>
      </c>
      <c r="J1594">
        <v>-1043377530</v>
      </c>
      <c r="K1594">
        <v>-469404578</v>
      </c>
      <c r="L1594">
        <v>-453045800</v>
      </c>
      <c r="M1594">
        <v>-213425400</v>
      </c>
      <c r="P1594">
        <v>71</v>
      </c>
      <c r="Q1594" t="s">
        <v>3231</v>
      </c>
    </row>
    <row r="1595" spans="1:17" x14ac:dyDescent="0.3">
      <c r="A1595" t="s">
        <v>17</v>
      </c>
      <c r="B1595" t="str">
        <f>"603997"</f>
        <v>603997</v>
      </c>
      <c r="C1595" t="s">
        <v>3232</v>
      </c>
      <c r="D1595" t="s">
        <v>27</v>
      </c>
      <c r="F1595">
        <v>-315218349</v>
      </c>
      <c r="G1595">
        <v>-482309223</v>
      </c>
      <c r="H1595">
        <v>63616293</v>
      </c>
      <c r="I1595">
        <v>173394076</v>
      </c>
      <c r="J1595">
        <v>249935149</v>
      </c>
      <c r="K1595">
        <v>41848814</v>
      </c>
      <c r="L1595">
        <v>56456207</v>
      </c>
      <c r="M1595">
        <v>8512843</v>
      </c>
      <c r="P1595">
        <v>248</v>
      </c>
      <c r="Q1595" t="s">
        <v>3233</v>
      </c>
    </row>
    <row r="1596" spans="1:17" x14ac:dyDescent="0.3">
      <c r="A1596" t="s">
        <v>17</v>
      </c>
      <c r="B1596" t="str">
        <f>"603998"</f>
        <v>603998</v>
      </c>
      <c r="C1596" t="s">
        <v>3234</v>
      </c>
      <c r="D1596" t="s">
        <v>113</v>
      </c>
      <c r="F1596">
        <v>-87605503</v>
      </c>
      <c r="G1596">
        <v>46430792</v>
      </c>
      <c r="H1596">
        <v>-39398286</v>
      </c>
      <c r="I1596">
        <v>84180785</v>
      </c>
      <c r="J1596">
        <v>-166084353</v>
      </c>
      <c r="K1596">
        <v>-98894889</v>
      </c>
      <c r="L1596">
        <v>-10372989</v>
      </c>
      <c r="M1596">
        <v>-20603168</v>
      </c>
      <c r="N1596">
        <v>36689548</v>
      </c>
      <c r="P1596">
        <v>126</v>
      </c>
      <c r="Q1596" t="s">
        <v>3235</v>
      </c>
    </row>
    <row r="1597" spans="1:17" x14ac:dyDescent="0.3">
      <c r="A1597" t="s">
        <v>17</v>
      </c>
      <c r="B1597" t="str">
        <f>"603999"</f>
        <v>603999</v>
      </c>
      <c r="C1597" t="s">
        <v>3236</v>
      </c>
      <c r="D1597" t="s">
        <v>89</v>
      </c>
      <c r="F1597">
        <v>4298528</v>
      </c>
      <c r="G1597">
        <v>38621299</v>
      </c>
      <c r="H1597">
        <v>-35939155</v>
      </c>
      <c r="I1597">
        <v>-35938098</v>
      </c>
      <c r="J1597">
        <v>-120677559</v>
      </c>
      <c r="K1597">
        <v>-32831443</v>
      </c>
      <c r="L1597">
        <v>-26936400</v>
      </c>
      <c r="M1597">
        <v>-11909200</v>
      </c>
      <c r="P1597">
        <v>85</v>
      </c>
      <c r="Q1597" t="s">
        <v>3237</v>
      </c>
    </row>
    <row r="1598" spans="1:17" x14ac:dyDescent="0.3">
      <c r="A1598" t="s">
        <v>17</v>
      </c>
      <c r="B1598" t="str">
        <f>"605001"</f>
        <v>605001</v>
      </c>
      <c r="C1598" t="s">
        <v>3238</v>
      </c>
      <c r="D1598" t="s">
        <v>78</v>
      </c>
      <c r="F1598">
        <v>-40497668</v>
      </c>
      <c r="G1598">
        <v>-233645597</v>
      </c>
      <c r="H1598">
        <v>-332867268</v>
      </c>
      <c r="P1598">
        <v>48</v>
      </c>
      <c r="Q1598" t="s">
        <v>3239</v>
      </c>
    </row>
    <row r="1599" spans="1:17" x14ac:dyDescent="0.3">
      <c r="A1599" t="s">
        <v>17</v>
      </c>
      <c r="B1599" t="str">
        <f>"605003"</f>
        <v>605003</v>
      </c>
      <c r="C1599" t="s">
        <v>3240</v>
      </c>
      <c r="D1599" t="s">
        <v>227</v>
      </c>
      <c r="F1599">
        <v>-93598422</v>
      </c>
      <c r="G1599">
        <v>518876</v>
      </c>
      <c r="H1599">
        <v>33465024</v>
      </c>
      <c r="P1599">
        <v>76</v>
      </c>
      <c r="Q1599" t="s">
        <v>3241</v>
      </c>
    </row>
    <row r="1600" spans="1:17" x14ac:dyDescent="0.3">
      <c r="A1600" t="s">
        <v>17</v>
      </c>
      <c r="B1600" t="str">
        <f>"605005"</f>
        <v>605005</v>
      </c>
      <c r="C1600" t="s">
        <v>3242</v>
      </c>
      <c r="D1600" t="s">
        <v>27</v>
      </c>
      <c r="F1600">
        <v>-61960905</v>
      </c>
      <c r="G1600">
        <v>60243340</v>
      </c>
      <c r="H1600">
        <v>137715851</v>
      </c>
      <c r="P1600">
        <v>63</v>
      </c>
      <c r="Q1600" t="s">
        <v>3243</v>
      </c>
    </row>
    <row r="1601" spans="1:17" x14ac:dyDescent="0.3">
      <c r="A1601" t="s">
        <v>17</v>
      </c>
      <c r="B1601" t="str">
        <f>"605006"</f>
        <v>605006</v>
      </c>
      <c r="C1601" t="s">
        <v>3244</v>
      </c>
      <c r="D1601" t="s">
        <v>350</v>
      </c>
      <c r="F1601">
        <v>364089638</v>
      </c>
      <c r="G1601">
        <v>-226797286</v>
      </c>
      <c r="H1601">
        <v>-188328216</v>
      </c>
      <c r="P1601">
        <v>121</v>
      </c>
      <c r="Q1601" t="s">
        <v>3245</v>
      </c>
    </row>
    <row r="1602" spans="1:17" x14ac:dyDescent="0.3">
      <c r="A1602" t="s">
        <v>17</v>
      </c>
      <c r="B1602" t="str">
        <f>"605007"</f>
        <v>605007</v>
      </c>
      <c r="C1602" t="s">
        <v>3246</v>
      </c>
      <c r="D1602" t="s">
        <v>161</v>
      </c>
      <c r="F1602">
        <v>-176351732</v>
      </c>
      <c r="G1602">
        <v>29930014</v>
      </c>
      <c r="H1602">
        <v>-149689855</v>
      </c>
      <c r="P1602">
        <v>82</v>
      </c>
      <c r="Q1602" t="s">
        <v>3247</v>
      </c>
    </row>
    <row r="1603" spans="1:17" x14ac:dyDescent="0.3">
      <c r="A1603" t="s">
        <v>17</v>
      </c>
      <c r="B1603" t="str">
        <f>"605008"</f>
        <v>605008</v>
      </c>
      <c r="C1603" t="s">
        <v>3248</v>
      </c>
      <c r="D1603" t="s">
        <v>133</v>
      </c>
      <c r="F1603">
        <v>-657201746</v>
      </c>
      <c r="G1603">
        <v>-139275145</v>
      </c>
      <c r="H1603">
        <v>-116295167</v>
      </c>
      <c r="P1603">
        <v>66</v>
      </c>
      <c r="Q1603" t="s">
        <v>3249</v>
      </c>
    </row>
    <row r="1604" spans="1:17" x14ac:dyDescent="0.3">
      <c r="A1604" t="s">
        <v>17</v>
      </c>
      <c r="B1604" t="str">
        <f>"605009"</f>
        <v>605009</v>
      </c>
      <c r="C1604" t="s">
        <v>3250</v>
      </c>
      <c r="D1604" t="s">
        <v>481</v>
      </c>
      <c r="F1604">
        <v>204513867</v>
      </c>
      <c r="G1604">
        <v>213694927</v>
      </c>
      <c r="H1604">
        <v>240990693</v>
      </c>
      <c r="P1604">
        <v>355</v>
      </c>
      <c r="Q1604" t="s">
        <v>3251</v>
      </c>
    </row>
    <row r="1605" spans="1:17" x14ac:dyDescent="0.3">
      <c r="A1605" t="s">
        <v>17</v>
      </c>
      <c r="B1605" t="str">
        <f>"605011"</f>
        <v>605011</v>
      </c>
      <c r="C1605" t="s">
        <v>3252</v>
      </c>
      <c r="D1605" t="s">
        <v>41</v>
      </c>
      <c r="F1605">
        <v>228628459</v>
      </c>
      <c r="P1605">
        <v>27</v>
      </c>
      <c r="Q1605" t="s">
        <v>3253</v>
      </c>
    </row>
    <row r="1606" spans="1:17" x14ac:dyDescent="0.3">
      <c r="A1606" t="s">
        <v>17</v>
      </c>
      <c r="B1606" t="str">
        <f>"605016"</f>
        <v>605016</v>
      </c>
      <c r="C1606" t="s">
        <v>3254</v>
      </c>
      <c r="D1606" t="s">
        <v>133</v>
      </c>
      <c r="F1606">
        <v>27660895</v>
      </c>
      <c r="G1606">
        <v>79677938</v>
      </c>
      <c r="P1606">
        <v>66</v>
      </c>
      <c r="Q1606" t="s">
        <v>3255</v>
      </c>
    </row>
    <row r="1607" spans="1:17" x14ac:dyDescent="0.3">
      <c r="A1607" t="s">
        <v>17</v>
      </c>
      <c r="B1607" t="str">
        <f>"605018"</f>
        <v>605018</v>
      </c>
      <c r="C1607" t="s">
        <v>3256</v>
      </c>
      <c r="D1607" t="s">
        <v>27</v>
      </c>
      <c r="F1607">
        <v>-147454289</v>
      </c>
      <c r="G1607">
        <v>58751789</v>
      </c>
      <c r="H1607">
        <v>99381649</v>
      </c>
      <c r="P1607">
        <v>48</v>
      </c>
      <c r="Q1607" t="s">
        <v>3257</v>
      </c>
    </row>
    <row r="1608" spans="1:17" x14ac:dyDescent="0.3">
      <c r="A1608" t="s">
        <v>17</v>
      </c>
      <c r="B1608" t="str">
        <f>"605020"</f>
        <v>605020</v>
      </c>
      <c r="C1608" t="s">
        <v>3258</v>
      </c>
      <c r="D1608" t="s">
        <v>133</v>
      </c>
      <c r="F1608">
        <v>-228254063</v>
      </c>
      <c r="P1608">
        <v>33</v>
      </c>
      <c r="Q1608" t="s">
        <v>3259</v>
      </c>
    </row>
    <row r="1609" spans="1:17" x14ac:dyDescent="0.3">
      <c r="A1609" t="s">
        <v>17</v>
      </c>
      <c r="B1609" t="str">
        <f>"605028"</f>
        <v>605028</v>
      </c>
      <c r="C1609" t="s">
        <v>3260</v>
      </c>
      <c r="D1609" t="s">
        <v>41</v>
      </c>
      <c r="F1609">
        <v>108129313</v>
      </c>
      <c r="P1609">
        <v>46</v>
      </c>
      <c r="Q1609" t="s">
        <v>3261</v>
      </c>
    </row>
    <row r="1610" spans="1:17" x14ac:dyDescent="0.3">
      <c r="A1610" t="s">
        <v>17</v>
      </c>
      <c r="B1610" t="str">
        <f>"605033"</f>
        <v>605033</v>
      </c>
      <c r="C1610" t="s">
        <v>3262</v>
      </c>
      <c r="D1610" t="s">
        <v>133</v>
      </c>
      <c r="F1610">
        <v>-354575658</v>
      </c>
      <c r="P1610">
        <v>14</v>
      </c>
      <c r="Q1610" t="s">
        <v>3263</v>
      </c>
    </row>
    <row r="1611" spans="1:17" x14ac:dyDescent="0.3">
      <c r="A1611" t="s">
        <v>17</v>
      </c>
      <c r="B1611" t="str">
        <f>"605050"</f>
        <v>605050</v>
      </c>
      <c r="C1611" t="s">
        <v>3264</v>
      </c>
      <c r="D1611" t="s">
        <v>22</v>
      </c>
      <c r="F1611">
        <v>-287724282</v>
      </c>
      <c r="G1611">
        <v>-310101862</v>
      </c>
      <c r="H1611">
        <v>20721428</v>
      </c>
      <c r="P1611">
        <v>37</v>
      </c>
      <c r="Q1611" t="s">
        <v>3265</v>
      </c>
    </row>
    <row r="1612" spans="1:17" x14ac:dyDescent="0.3">
      <c r="A1612" t="s">
        <v>17</v>
      </c>
      <c r="B1612" t="str">
        <f>"605055"</f>
        <v>605055</v>
      </c>
      <c r="C1612" t="s">
        <v>3266</v>
      </c>
      <c r="D1612" t="s">
        <v>227</v>
      </c>
      <c r="F1612">
        <v>-66971277</v>
      </c>
      <c r="G1612">
        <v>-169894530</v>
      </c>
      <c r="H1612">
        <v>-36481276</v>
      </c>
      <c r="P1612">
        <v>38</v>
      </c>
      <c r="Q1612" t="s">
        <v>3267</v>
      </c>
    </row>
    <row r="1613" spans="1:17" x14ac:dyDescent="0.3">
      <c r="A1613" t="s">
        <v>17</v>
      </c>
      <c r="B1613" t="str">
        <f>"605056"</f>
        <v>605056</v>
      </c>
      <c r="C1613" t="s">
        <v>3268</v>
      </c>
      <c r="D1613" t="s">
        <v>78</v>
      </c>
      <c r="F1613">
        <v>-135085030</v>
      </c>
      <c r="G1613">
        <v>-11279201</v>
      </c>
      <c r="P1613">
        <v>21</v>
      </c>
      <c r="Q1613" t="s">
        <v>3269</v>
      </c>
    </row>
    <row r="1614" spans="1:17" x14ac:dyDescent="0.3">
      <c r="A1614" t="s">
        <v>17</v>
      </c>
      <c r="B1614" t="str">
        <f>"605058"</f>
        <v>605058</v>
      </c>
      <c r="C1614" t="s">
        <v>3270</v>
      </c>
      <c r="D1614" t="s">
        <v>150</v>
      </c>
      <c r="F1614">
        <v>40666496</v>
      </c>
      <c r="G1614">
        <v>50432892</v>
      </c>
      <c r="H1614">
        <v>34526427</v>
      </c>
      <c r="P1614">
        <v>48</v>
      </c>
      <c r="Q1614" t="s">
        <v>3271</v>
      </c>
    </row>
    <row r="1615" spans="1:17" x14ac:dyDescent="0.3">
      <c r="A1615" t="s">
        <v>17</v>
      </c>
      <c r="B1615" t="str">
        <f>"605060"</f>
        <v>605060</v>
      </c>
      <c r="C1615" t="s">
        <v>3272</v>
      </c>
      <c r="D1615" t="s">
        <v>78</v>
      </c>
      <c r="F1615">
        <v>9059132</v>
      </c>
      <c r="G1615">
        <v>88642856</v>
      </c>
      <c r="P1615">
        <v>43</v>
      </c>
      <c r="Q1615" t="s">
        <v>3273</v>
      </c>
    </row>
    <row r="1616" spans="1:17" x14ac:dyDescent="0.3">
      <c r="A1616" t="s">
        <v>17</v>
      </c>
      <c r="B1616" t="str">
        <f>"605066"</f>
        <v>605066</v>
      </c>
      <c r="C1616" t="s">
        <v>3274</v>
      </c>
      <c r="D1616" t="s">
        <v>188</v>
      </c>
      <c r="F1616">
        <v>-126058195</v>
      </c>
      <c r="G1616">
        <v>-49753215</v>
      </c>
      <c r="H1616">
        <v>-15134690</v>
      </c>
      <c r="P1616">
        <v>54</v>
      </c>
      <c r="Q1616" t="s">
        <v>3275</v>
      </c>
    </row>
    <row r="1617" spans="1:17" x14ac:dyDescent="0.3">
      <c r="A1617" t="s">
        <v>17</v>
      </c>
      <c r="B1617" t="str">
        <f>"605068"</f>
        <v>605068</v>
      </c>
      <c r="C1617" t="s">
        <v>3276</v>
      </c>
      <c r="D1617" t="s">
        <v>27</v>
      </c>
      <c r="F1617">
        <v>1930958</v>
      </c>
      <c r="G1617">
        <v>5798875</v>
      </c>
      <c r="H1617">
        <v>37187546</v>
      </c>
      <c r="P1617">
        <v>90</v>
      </c>
      <c r="Q1617" t="s">
        <v>3277</v>
      </c>
    </row>
    <row r="1618" spans="1:17" x14ac:dyDescent="0.3">
      <c r="A1618" t="s">
        <v>17</v>
      </c>
      <c r="B1618" t="str">
        <f>"605069"</f>
        <v>605069</v>
      </c>
      <c r="C1618" t="s">
        <v>3278</v>
      </c>
      <c r="D1618" t="s">
        <v>33</v>
      </c>
      <c r="F1618">
        <v>-390586260</v>
      </c>
      <c r="P1618">
        <v>16</v>
      </c>
      <c r="Q1618" t="s">
        <v>3279</v>
      </c>
    </row>
    <row r="1619" spans="1:17" x14ac:dyDescent="0.3">
      <c r="A1619" t="s">
        <v>17</v>
      </c>
      <c r="B1619" t="str">
        <f>"605077"</f>
        <v>605077</v>
      </c>
      <c r="C1619" t="s">
        <v>3280</v>
      </c>
      <c r="D1619" t="s">
        <v>133</v>
      </c>
      <c r="F1619">
        <v>-153047063</v>
      </c>
      <c r="G1619">
        <v>50078225</v>
      </c>
      <c r="H1619">
        <v>215299586</v>
      </c>
      <c r="P1619">
        <v>88</v>
      </c>
      <c r="Q1619" t="s">
        <v>3281</v>
      </c>
    </row>
    <row r="1620" spans="1:17" x14ac:dyDescent="0.3">
      <c r="A1620" t="s">
        <v>17</v>
      </c>
      <c r="B1620" t="str">
        <f>"605080"</f>
        <v>605080</v>
      </c>
      <c r="C1620" t="s">
        <v>3282</v>
      </c>
      <c r="D1620" t="s">
        <v>161</v>
      </c>
      <c r="F1620">
        <v>84523691</v>
      </c>
      <c r="G1620">
        <v>115703818</v>
      </c>
      <c r="P1620">
        <v>49</v>
      </c>
      <c r="Q1620" t="s">
        <v>3283</v>
      </c>
    </row>
    <row r="1621" spans="1:17" x14ac:dyDescent="0.3">
      <c r="A1621" t="s">
        <v>17</v>
      </c>
      <c r="B1621" t="str">
        <f>"605081"</f>
        <v>605081</v>
      </c>
      <c r="C1621" t="s">
        <v>3284</v>
      </c>
      <c r="D1621" t="s">
        <v>33</v>
      </c>
      <c r="F1621">
        <v>-227981123</v>
      </c>
      <c r="G1621">
        <v>-107410135</v>
      </c>
      <c r="H1621">
        <v>-97922985</v>
      </c>
      <c r="P1621">
        <v>30</v>
      </c>
      <c r="Q1621" t="s">
        <v>3285</v>
      </c>
    </row>
    <row r="1622" spans="1:17" x14ac:dyDescent="0.3">
      <c r="A1622" t="s">
        <v>17</v>
      </c>
      <c r="B1622" t="str">
        <f>"605086"</f>
        <v>605086</v>
      </c>
      <c r="C1622" t="s">
        <v>3286</v>
      </c>
      <c r="D1622" t="s">
        <v>133</v>
      </c>
      <c r="F1622">
        <v>66071705</v>
      </c>
      <c r="G1622">
        <v>2345218</v>
      </c>
      <c r="P1622">
        <v>29</v>
      </c>
      <c r="Q1622" t="s">
        <v>3287</v>
      </c>
    </row>
    <row r="1623" spans="1:17" x14ac:dyDescent="0.3">
      <c r="A1623" t="s">
        <v>17</v>
      </c>
      <c r="B1623" t="str">
        <f>"605088"</f>
        <v>605088</v>
      </c>
      <c r="C1623" t="s">
        <v>3288</v>
      </c>
      <c r="D1623" t="s">
        <v>27</v>
      </c>
      <c r="F1623">
        <v>-125026676</v>
      </c>
      <c r="G1623">
        <v>53423575</v>
      </c>
      <c r="H1623">
        <v>30991183</v>
      </c>
      <c r="P1623">
        <v>47</v>
      </c>
      <c r="Q1623" t="s">
        <v>3289</v>
      </c>
    </row>
    <row r="1624" spans="1:17" x14ac:dyDescent="0.3">
      <c r="A1624" t="s">
        <v>17</v>
      </c>
      <c r="B1624" t="str">
        <f>"605089"</f>
        <v>605089</v>
      </c>
      <c r="C1624" t="s">
        <v>3290</v>
      </c>
      <c r="D1624" t="s">
        <v>123</v>
      </c>
      <c r="F1624">
        <v>80009313</v>
      </c>
      <c r="G1624">
        <v>112488696</v>
      </c>
      <c r="P1624">
        <v>132</v>
      </c>
      <c r="Q1624" t="s">
        <v>3291</v>
      </c>
    </row>
    <row r="1625" spans="1:17" x14ac:dyDescent="0.3">
      <c r="A1625" t="s">
        <v>17</v>
      </c>
      <c r="B1625" t="str">
        <f>"605090"</f>
        <v>605090</v>
      </c>
      <c r="C1625" t="s">
        <v>3292</v>
      </c>
      <c r="D1625" t="s">
        <v>41</v>
      </c>
      <c r="F1625">
        <v>-520670449</v>
      </c>
      <c r="G1625">
        <v>330043726</v>
      </c>
      <c r="P1625">
        <v>51</v>
      </c>
      <c r="Q1625" t="s">
        <v>3293</v>
      </c>
    </row>
    <row r="1626" spans="1:17" x14ac:dyDescent="0.3">
      <c r="A1626" t="s">
        <v>17</v>
      </c>
      <c r="B1626" t="str">
        <f>"605098"</f>
        <v>605098</v>
      </c>
      <c r="C1626" t="s">
        <v>3294</v>
      </c>
      <c r="D1626" t="s">
        <v>110</v>
      </c>
      <c r="F1626">
        <v>156674756</v>
      </c>
      <c r="G1626">
        <v>83731390</v>
      </c>
      <c r="P1626">
        <v>53</v>
      </c>
      <c r="Q1626" t="s">
        <v>3295</v>
      </c>
    </row>
    <row r="1627" spans="1:17" x14ac:dyDescent="0.3">
      <c r="A1627" t="s">
        <v>17</v>
      </c>
      <c r="B1627" t="str">
        <f>"605099"</f>
        <v>605099</v>
      </c>
      <c r="C1627" t="s">
        <v>3296</v>
      </c>
      <c r="D1627" t="s">
        <v>161</v>
      </c>
      <c r="F1627">
        <v>-61611169</v>
      </c>
      <c r="G1627">
        <v>255836699</v>
      </c>
      <c r="H1627">
        <v>-22973571</v>
      </c>
      <c r="P1627">
        <v>167</v>
      </c>
      <c r="Q1627" t="s">
        <v>3297</v>
      </c>
    </row>
    <row r="1628" spans="1:17" x14ac:dyDescent="0.3">
      <c r="A1628" t="s">
        <v>17</v>
      </c>
      <c r="B1628" t="str">
        <f>"605100"</f>
        <v>605100</v>
      </c>
      <c r="C1628" t="s">
        <v>3298</v>
      </c>
      <c r="D1628" t="s">
        <v>78</v>
      </c>
      <c r="F1628">
        <v>46756206</v>
      </c>
      <c r="G1628">
        <v>132238085</v>
      </c>
      <c r="H1628">
        <v>-21051875</v>
      </c>
      <c r="P1628">
        <v>60</v>
      </c>
      <c r="Q1628" t="s">
        <v>3299</v>
      </c>
    </row>
    <row r="1629" spans="1:17" x14ac:dyDescent="0.3">
      <c r="A1629" t="s">
        <v>17</v>
      </c>
      <c r="B1629" t="str">
        <f>"605108"</f>
        <v>605108</v>
      </c>
      <c r="C1629" t="s">
        <v>3300</v>
      </c>
      <c r="D1629" t="s">
        <v>110</v>
      </c>
      <c r="F1629">
        <v>-74158844</v>
      </c>
      <c r="G1629">
        <v>13866582</v>
      </c>
      <c r="H1629">
        <v>-75413</v>
      </c>
      <c r="P1629">
        <v>104</v>
      </c>
      <c r="Q1629" t="s">
        <v>3301</v>
      </c>
    </row>
    <row r="1630" spans="1:17" x14ac:dyDescent="0.3">
      <c r="A1630" t="s">
        <v>17</v>
      </c>
      <c r="B1630" t="str">
        <f>"605111"</f>
        <v>605111</v>
      </c>
      <c r="C1630" t="s">
        <v>3302</v>
      </c>
      <c r="D1630" t="s">
        <v>150</v>
      </c>
      <c r="F1630">
        <v>286332822</v>
      </c>
      <c r="G1630">
        <v>27106207</v>
      </c>
      <c r="H1630">
        <v>-8428013</v>
      </c>
      <c r="J1630">
        <v>28020086</v>
      </c>
      <c r="P1630">
        <v>333</v>
      </c>
      <c r="Q1630" t="s">
        <v>3303</v>
      </c>
    </row>
    <row r="1631" spans="1:17" x14ac:dyDescent="0.3">
      <c r="A1631" t="s">
        <v>17</v>
      </c>
      <c r="B1631" t="str">
        <f>"605116"</f>
        <v>605116</v>
      </c>
      <c r="C1631" t="s">
        <v>3304</v>
      </c>
      <c r="D1631" t="s">
        <v>113</v>
      </c>
      <c r="F1631">
        <v>38587516</v>
      </c>
      <c r="G1631">
        <v>108940308</v>
      </c>
      <c r="H1631">
        <v>73038596</v>
      </c>
      <c r="P1631">
        <v>81</v>
      </c>
      <c r="Q1631" t="s">
        <v>3305</v>
      </c>
    </row>
    <row r="1632" spans="1:17" x14ac:dyDescent="0.3">
      <c r="A1632" t="s">
        <v>17</v>
      </c>
      <c r="B1632" t="str">
        <f>"605117"</f>
        <v>605117</v>
      </c>
      <c r="C1632" t="s">
        <v>3306</v>
      </c>
      <c r="D1632" t="s">
        <v>126</v>
      </c>
      <c r="F1632">
        <v>134753993</v>
      </c>
      <c r="G1632">
        <v>216541475</v>
      </c>
      <c r="P1632">
        <v>141</v>
      </c>
      <c r="Q1632" t="s">
        <v>3307</v>
      </c>
    </row>
    <row r="1633" spans="1:17" x14ac:dyDescent="0.3">
      <c r="A1633" t="s">
        <v>17</v>
      </c>
      <c r="B1633" t="str">
        <f>"605118"</f>
        <v>605118</v>
      </c>
      <c r="C1633" t="s">
        <v>3308</v>
      </c>
      <c r="D1633" t="s">
        <v>212</v>
      </c>
      <c r="F1633">
        <v>-17662140</v>
      </c>
      <c r="G1633">
        <v>49994210</v>
      </c>
      <c r="H1633">
        <v>68086474</v>
      </c>
      <c r="P1633">
        <v>114</v>
      </c>
      <c r="Q1633" t="s">
        <v>3309</v>
      </c>
    </row>
    <row r="1634" spans="1:17" x14ac:dyDescent="0.3">
      <c r="A1634" t="s">
        <v>17</v>
      </c>
      <c r="B1634" t="str">
        <f>"605122"</f>
        <v>605122</v>
      </c>
      <c r="C1634" t="s">
        <v>3310</v>
      </c>
      <c r="D1634" t="s">
        <v>350</v>
      </c>
      <c r="F1634">
        <v>-103888189</v>
      </c>
      <c r="G1634">
        <v>-70472856</v>
      </c>
      <c r="P1634">
        <v>36</v>
      </c>
      <c r="Q1634" t="s">
        <v>3311</v>
      </c>
    </row>
    <row r="1635" spans="1:17" x14ac:dyDescent="0.3">
      <c r="A1635" t="s">
        <v>17</v>
      </c>
      <c r="B1635" t="str">
        <f>"605123"</f>
        <v>605123</v>
      </c>
      <c r="C1635" t="s">
        <v>3312</v>
      </c>
      <c r="D1635" t="s">
        <v>92</v>
      </c>
      <c r="F1635">
        <v>-228525071</v>
      </c>
      <c r="G1635">
        <v>-51726443</v>
      </c>
      <c r="H1635">
        <v>-23417428</v>
      </c>
      <c r="P1635">
        <v>143</v>
      </c>
      <c r="Q1635" t="s">
        <v>3313</v>
      </c>
    </row>
    <row r="1636" spans="1:17" x14ac:dyDescent="0.3">
      <c r="A1636" t="s">
        <v>17</v>
      </c>
      <c r="B1636" t="str">
        <f>"605128"</f>
        <v>605128</v>
      </c>
      <c r="C1636" t="s">
        <v>3314</v>
      </c>
      <c r="D1636" t="s">
        <v>27</v>
      </c>
      <c r="F1636">
        <v>-51061525</v>
      </c>
      <c r="G1636">
        <v>-5351603</v>
      </c>
      <c r="H1636">
        <v>13939775</v>
      </c>
      <c r="P1636">
        <v>53</v>
      </c>
      <c r="Q1636" t="s">
        <v>3315</v>
      </c>
    </row>
    <row r="1637" spans="1:17" x14ac:dyDescent="0.3">
      <c r="A1637" t="s">
        <v>17</v>
      </c>
      <c r="B1637" t="str">
        <f>"605133"</f>
        <v>605133</v>
      </c>
      <c r="C1637" t="s">
        <v>3316</v>
      </c>
      <c r="D1637" t="s">
        <v>27</v>
      </c>
      <c r="F1637">
        <v>-74891218</v>
      </c>
      <c r="G1637">
        <v>101776315</v>
      </c>
      <c r="H1637">
        <v>52008714</v>
      </c>
      <c r="P1637">
        <v>36</v>
      </c>
      <c r="Q1637" t="s">
        <v>3317</v>
      </c>
    </row>
    <row r="1638" spans="1:17" x14ac:dyDescent="0.3">
      <c r="A1638" t="s">
        <v>17</v>
      </c>
      <c r="B1638" t="str">
        <f>"605136"</f>
        <v>605136</v>
      </c>
      <c r="C1638" t="s">
        <v>3318</v>
      </c>
      <c r="D1638" t="s">
        <v>120</v>
      </c>
      <c r="F1638">
        <v>-421513545</v>
      </c>
      <c r="G1638">
        <v>-275804888</v>
      </c>
      <c r="H1638">
        <v>-246808254</v>
      </c>
      <c r="P1638">
        <v>99</v>
      </c>
      <c r="Q1638" t="s">
        <v>3319</v>
      </c>
    </row>
    <row r="1639" spans="1:17" x14ac:dyDescent="0.3">
      <c r="A1639" t="s">
        <v>17</v>
      </c>
      <c r="B1639" t="str">
        <f>"605138"</f>
        <v>605138</v>
      </c>
      <c r="C1639" t="s">
        <v>3320</v>
      </c>
      <c r="D1639" t="s">
        <v>227</v>
      </c>
      <c r="F1639">
        <v>-239110499</v>
      </c>
      <c r="P1639">
        <v>27</v>
      </c>
      <c r="Q1639" t="s">
        <v>3321</v>
      </c>
    </row>
    <row r="1640" spans="1:17" x14ac:dyDescent="0.3">
      <c r="A1640" t="s">
        <v>17</v>
      </c>
      <c r="B1640" t="str">
        <f>"605151"</f>
        <v>605151</v>
      </c>
      <c r="C1640" t="s">
        <v>3322</v>
      </c>
      <c r="D1640" t="s">
        <v>27</v>
      </c>
      <c r="F1640">
        <v>54986318</v>
      </c>
      <c r="G1640">
        <v>87397333</v>
      </c>
      <c r="H1640">
        <v>57289093</v>
      </c>
      <c r="P1640">
        <v>55</v>
      </c>
      <c r="Q1640" t="s">
        <v>3323</v>
      </c>
    </row>
    <row r="1641" spans="1:17" x14ac:dyDescent="0.3">
      <c r="A1641" t="s">
        <v>17</v>
      </c>
      <c r="B1641" t="str">
        <f>"605155"</f>
        <v>605155</v>
      </c>
      <c r="C1641" t="s">
        <v>3324</v>
      </c>
      <c r="D1641" t="s">
        <v>161</v>
      </c>
      <c r="F1641">
        <v>-78609849</v>
      </c>
      <c r="G1641">
        <v>42372292</v>
      </c>
      <c r="H1641">
        <v>25585082</v>
      </c>
      <c r="P1641">
        <v>46</v>
      </c>
      <c r="Q1641" t="s">
        <v>3325</v>
      </c>
    </row>
    <row r="1642" spans="1:17" x14ac:dyDescent="0.3">
      <c r="A1642" t="s">
        <v>17</v>
      </c>
      <c r="B1642" t="str">
        <f>"605158"</f>
        <v>605158</v>
      </c>
      <c r="C1642" t="s">
        <v>3326</v>
      </c>
      <c r="D1642" t="s">
        <v>38</v>
      </c>
      <c r="F1642">
        <v>-258662776</v>
      </c>
      <c r="G1642">
        <v>113004704</v>
      </c>
      <c r="H1642">
        <v>62858485</v>
      </c>
      <c r="P1642">
        <v>91</v>
      </c>
      <c r="Q1642" t="s">
        <v>3327</v>
      </c>
    </row>
    <row r="1643" spans="1:17" x14ac:dyDescent="0.3">
      <c r="A1643" t="s">
        <v>17</v>
      </c>
      <c r="B1643" t="str">
        <f>"605162"</f>
        <v>605162</v>
      </c>
      <c r="C1643" t="s">
        <v>3328</v>
      </c>
      <c r="D1643" t="s">
        <v>41</v>
      </c>
      <c r="F1643">
        <v>-200300421</v>
      </c>
      <c r="G1643">
        <v>-15498275</v>
      </c>
      <c r="P1643">
        <v>27</v>
      </c>
      <c r="Q1643" t="s">
        <v>3329</v>
      </c>
    </row>
    <row r="1644" spans="1:17" x14ac:dyDescent="0.3">
      <c r="A1644" t="s">
        <v>17</v>
      </c>
      <c r="B1644" t="str">
        <f>"605166"</f>
        <v>605166</v>
      </c>
      <c r="C1644" t="s">
        <v>3330</v>
      </c>
      <c r="D1644" t="s">
        <v>133</v>
      </c>
      <c r="F1644">
        <v>89162373</v>
      </c>
      <c r="G1644">
        <v>-21234972</v>
      </c>
      <c r="H1644">
        <v>6515765</v>
      </c>
      <c r="P1644">
        <v>70</v>
      </c>
      <c r="Q1644" t="s">
        <v>3331</v>
      </c>
    </row>
    <row r="1645" spans="1:17" x14ac:dyDescent="0.3">
      <c r="A1645" t="s">
        <v>17</v>
      </c>
      <c r="B1645" t="str">
        <f>"605167"</f>
        <v>605167</v>
      </c>
      <c r="C1645" t="s">
        <v>3332</v>
      </c>
      <c r="D1645" t="s">
        <v>95</v>
      </c>
      <c r="F1645">
        <v>-95168126</v>
      </c>
      <c r="G1645">
        <v>44214864</v>
      </c>
      <c r="P1645">
        <v>22</v>
      </c>
      <c r="Q1645" t="s">
        <v>3333</v>
      </c>
    </row>
    <row r="1646" spans="1:17" x14ac:dyDescent="0.3">
      <c r="A1646" t="s">
        <v>17</v>
      </c>
      <c r="B1646" t="str">
        <f>"605168"</f>
        <v>605168</v>
      </c>
      <c r="C1646" t="s">
        <v>3334</v>
      </c>
      <c r="D1646" t="s">
        <v>89</v>
      </c>
      <c r="F1646">
        <v>-288455860</v>
      </c>
      <c r="G1646">
        <v>-321275677</v>
      </c>
      <c r="H1646">
        <v>-215823038</v>
      </c>
      <c r="P1646">
        <v>317</v>
      </c>
      <c r="Q1646" t="s">
        <v>3335</v>
      </c>
    </row>
    <row r="1647" spans="1:17" x14ac:dyDescent="0.3">
      <c r="A1647" t="s">
        <v>17</v>
      </c>
      <c r="B1647" t="str">
        <f>"605169"</f>
        <v>605169</v>
      </c>
      <c r="C1647" t="s">
        <v>3336</v>
      </c>
      <c r="D1647" t="s">
        <v>41</v>
      </c>
      <c r="F1647">
        <v>-70845338</v>
      </c>
      <c r="G1647">
        <v>-29737773</v>
      </c>
      <c r="H1647">
        <v>21896775</v>
      </c>
      <c r="P1647">
        <v>62</v>
      </c>
      <c r="Q1647" t="s">
        <v>3337</v>
      </c>
    </row>
    <row r="1648" spans="1:17" x14ac:dyDescent="0.3">
      <c r="A1648" t="s">
        <v>17</v>
      </c>
      <c r="B1648" t="str">
        <f>"605177"</f>
        <v>605177</v>
      </c>
      <c r="C1648" t="s">
        <v>3338</v>
      </c>
      <c r="D1648" t="s">
        <v>113</v>
      </c>
      <c r="F1648">
        <v>-119305471</v>
      </c>
      <c r="G1648">
        <v>75305975</v>
      </c>
      <c r="H1648">
        <v>128938488</v>
      </c>
      <c r="P1648">
        <v>38</v>
      </c>
      <c r="Q1648" t="s">
        <v>3339</v>
      </c>
    </row>
    <row r="1649" spans="1:17" x14ac:dyDescent="0.3">
      <c r="A1649" t="s">
        <v>17</v>
      </c>
      <c r="B1649" t="str">
        <f>"605178"</f>
        <v>605178</v>
      </c>
      <c r="C1649" t="s">
        <v>3340</v>
      </c>
      <c r="D1649" t="s">
        <v>95</v>
      </c>
      <c r="F1649">
        <v>-332598598</v>
      </c>
      <c r="G1649">
        <v>-128972094</v>
      </c>
      <c r="H1649">
        <v>-327356361</v>
      </c>
      <c r="P1649">
        <v>49</v>
      </c>
      <c r="Q1649" t="s">
        <v>3341</v>
      </c>
    </row>
    <row r="1650" spans="1:17" x14ac:dyDescent="0.3">
      <c r="A1650" t="s">
        <v>17</v>
      </c>
      <c r="B1650" t="str">
        <f>"605179"</f>
        <v>605179</v>
      </c>
      <c r="C1650" t="s">
        <v>3342</v>
      </c>
      <c r="D1650" t="s">
        <v>123</v>
      </c>
      <c r="F1650">
        <v>-151719027</v>
      </c>
      <c r="G1650">
        <v>-233785575</v>
      </c>
      <c r="H1650">
        <v>-32943480</v>
      </c>
      <c r="P1650">
        <v>84</v>
      </c>
      <c r="Q1650" t="s">
        <v>3343</v>
      </c>
    </row>
    <row r="1651" spans="1:17" x14ac:dyDescent="0.3">
      <c r="A1651" t="s">
        <v>17</v>
      </c>
      <c r="B1651" t="str">
        <f>"605180"</f>
        <v>605180</v>
      </c>
      <c r="C1651" t="s">
        <v>3344</v>
      </c>
      <c r="D1651" t="s">
        <v>227</v>
      </c>
      <c r="F1651">
        <v>-53816798</v>
      </c>
      <c r="G1651">
        <v>-10541209</v>
      </c>
      <c r="P1651">
        <v>40</v>
      </c>
      <c r="Q1651" t="s">
        <v>3345</v>
      </c>
    </row>
    <row r="1652" spans="1:17" x14ac:dyDescent="0.3">
      <c r="A1652" t="s">
        <v>17</v>
      </c>
      <c r="B1652" t="str">
        <f>"605183"</f>
        <v>605183</v>
      </c>
      <c r="C1652" t="s">
        <v>3346</v>
      </c>
      <c r="D1652" t="s">
        <v>133</v>
      </c>
      <c r="F1652">
        <v>169135126</v>
      </c>
      <c r="G1652">
        <v>36914526</v>
      </c>
      <c r="H1652">
        <v>167358306</v>
      </c>
      <c r="I1652">
        <v>-41095427</v>
      </c>
      <c r="P1652">
        <v>63</v>
      </c>
      <c r="Q1652" t="s">
        <v>3347</v>
      </c>
    </row>
    <row r="1653" spans="1:17" x14ac:dyDescent="0.3">
      <c r="A1653" t="s">
        <v>17</v>
      </c>
      <c r="B1653" t="str">
        <f>"605186"</f>
        <v>605186</v>
      </c>
      <c r="C1653" t="s">
        <v>3348</v>
      </c>
      <c r="D1653" t="s">
        <v>78</v>
      </c>
      <c r="F1653">
        <v>-31594598</v>
      </c>
      <c r="G1653">
        <v>-25305497</v>
      </c>
      <c r="H1653">
        <v>-54020079</v>
      </c>
      <c r="P1653">
        <v>47</v>
      </c>
      <c r="Q1653" t="s">
        <v>3349</v>
      </c>
    </row>
    <row r="1654" spans="1:17" x14ac:dyDescent="0.3">
      <c r="A1654" t="s">
        <v>17</v>
      </c>
      <c r="B1654" t="str">
        <f>"605188"</f>
        <v>605188</v>
      </c>
      <c r="C1654" t="s">
        <v>3350</v>
      </c>
      <c r="D1654" t="s">
        <v>120</v>
      </c>
      <c r="F1654">
        <v>104151396</v>
      </c>
      <c r="G1654">
        <v>153578386</v>
      </c>
      <c r="H1654">
        <v>150645438</v>
      </c>
      <c r="P1654">
        <v>43</v>
      </c>
      <c r="Q1654" t="s">
        <v>3351</v>
      </c>
    </row>
    <row r="1655" spans="1:17" x14ac:dyDescent="0.3">
      <c r="A1655" t="s">
        <v>17</v>
      </c>
      <c r="B1655" t="str">
        <f>"605189"</f>
        <v>605189</v>
      </c>
      <c r="C1655" t="s">
        <v>3352</v>
      </c>
      <c r="D1655" t="s">
        <v>227</v>
      </c>
      <c r="F1655">
        <v>-22880953</v>
      </c>
      <c r="P1655">
        <v>44</v>
      </c>
      <c r="Q1655" t="s">
        <v>3353</v>
      </c>
    </row>
    <row r="1656" spans="1:17" x14ac:dyDescent="0.3">
      <c r="A1656" t="s">
        <v>17</v>
      </c>
      <c r="B1656" t="str">
        <f>"605196"</f>
        <v>605196</v>
      </c>
      <c r="C1656" t="s">
        <v>3354</v>
      </c>
      <c r="D1656" t="s">
        <v>188</v>
      </c>
      <c r="F1656">
        <v>-874580317</v>
      </c>
      <c r="P1656">
        <v>27</v>
      </c>
      <c r="Q1656" t="s">
        <v>3355</v>
      </c>
    </row>
    <row r="1657" spans="1:17" x14ac:dyDescent="0.3">
      <c r="A1657" t="s">
        <v>17</v>
      </c>
      <c r="B1657" t="str">
        <f>"605198"</f>
        <v>605198</v>
      </c>
      <c r="C1657" t="s">
        <v>3356</v>
      </c>
      <c r="D1657" t="s">
        <v>205</v>
      </c>
      <c r="F1657">
        <v>332925230</v>
      </c>
      <c r="G1657">
        <v>403987237</v>
      </c>
      <c r="H1657">
        <v>228234675</v>
      </c>
      <c r="P1657">
        <v>47</v>
      </c>
      <c r="Q1657" t="s">
        <v>3357</v>
      </c>
    </row>
    <row r="1658" spans="1:17" x14ac:dyDescent="0.3">
      <c r="A1658" t="s">
        <v>17</v>
      </c>
      <c r="B1658" t="str">
        <f>"605199"</f>
        <v>605199</v>
      </c>
      <c r="C1658" t="s">
        <v>3358</v>
      </c>
      <c r="D1658" t="s">
        <v>113</v>
      </c>
      <c r="F1658">
        <v>-137881228</v>
      </c>
      <c r="G1658">
        <v>-202813048</v>
      </c>
      <c r="H1658">
        <v>-99021152</v>
      </c>
      <c r="P1658">
        <v>136</v>
      </c>
      <c r="Q1658" t="s">
        <v>3359</v>
      </c>
    </row>
    <row r="1659" spans="1:17" x14ac:dyDescent="0.3">
      <c r="A1659" t="s">
        <v>17</v>
      </c>
      <c r="B1659" t="str">
        <f>"605208"</f>
        <v>605208</v>
      </c>
      <c r="C1659" t="s">
        <v>3360</v>
      </c>
      <c r="D1659" t="s">
        <v>234</v>
      </c>
      <c r="F1659">
        <v>-327199802</v>
      </c>
      <c r="G1659">
        <v>-103862227</v>
      </c>
      <c r="P1659">
        <v>40</v>
      </c>
      <c r="Q1659" t="s">
        <v>3361</v>
      </c>
    </row>
    <row r="1660" spans="1:17" x14ac:dyDescent="0.3">
      <c r="A1660" t="s">
        <v>17</v>
      </c>
      <c r="B1660" t="str">
        <f>"605218"</f>
        <v>605218</v>
      </c>
      <c r="C1660" t="s">
        <v>3362</v>
      </c>
      <c r="D1660" t="s">
        <v>150</v>
      </c>
      <c r="F1660">
        <v>-40288014</v>
      </c>
      <c r="G1660">
        <v>5740421</v>
      </c>
      <c r="H1660">
        <v>47881420</v>
      </c>
      <c r="P1660">
        <v>56</v>
      </c>
      <c r="Q1660" t="s">
        <v>3363</v>
      </c>
    </row>
    <row r="1661" spans="1:17" x14ac:dyDescent="0.3">
      <c r="A1661" t="s">
        <v>17</v>
      </c>
      <c r="B1661" t="str">
        <f>"605222"</f>
        <v>605222</v>
      </c>
      <c r="C1661" t="s">
        <v>3364</v>
      </c>
      <c r="D1661" t="s">
        <v>188</v>
      </c>
      <c r="F1661">
        <v>-1952457407</v>
      </c>
      <c r="G1661">
        <v>-1920026142</v>
      </c>
      <c r="H1661">
        <v>-393754258</v>
      </c>
      <c r="P1661">
        <v>110</v>
      </c>
      <c r="Q1661" t="s">
        <v>3365</v>
      </c>
    </row>
    <row r="1662" spans="1:17" x14ac:dyDescent="0.3">
      <c r="A1662" t="s">
        <v>17</v>
      </c>
      <c r="B1662" t="str">
        <f>"605228"</f>
        <v>605228</v>
      </c>
      <c r="C1662" t="s">
        <v>3366</v>
      </c>
      <c r="D1662" t="s">
        <v>27</v>
      </c>
      <c r="F1662">
        <v>-42934761</v>
      </c>
      <c r="G1662">
        <v>-8441967</v>
      </c>
      <c r="H1662">
        <v>16674315</v>
      </c>
      <c r="P1662">
        <v>30</v>
      </c>
      <c r="Q1662" t="s">
        <v>3367</v>
      </c>
    </row>
    <row r="1663" spans="1:17" x14ac:dyDescent="0.3">
      <c r="A1663" t="s">
        <v>17</v>
      </c>
      <c r="B1663" t="str">
        <f>"605255"</f>
        <v>605255</v>
      </c>
      <c r="C1663" t="s">
        <v>3368</v>
      </c>
      <c r="D1663" t="s">
        <v>27</v>
      </c>
      <c r="F1663">
        <v>-55274625</v>
      </c>
      <c r="G1663">
        <v>-26067311</v>
      </c>
      <c r="H1663">
        <v>13082764</v>
      </c>
      <c r="P1663">
        <v>51</v>
      </c>
      <c r="Q1663" t="s">
        <v>3369</v>
      </c>
    </row>
    <row r="1664" spans="1:17" x14ac:dyDescent="0.3">
      <c r="A1664" t="s">
        <v>17</v>
      </c>
      <c r="B1664" t="str">
        <f>"605258"</f>
        <v>605258</v>
      </c>
      <c r="C1664" t="s">
        <v>3370</v>
      </c>
      <c r="D1664" t="s">
        <v>150</v>
      </c>
      <c r="F1664">
        <v>-92581570</v>
      </c>
      <c r="G1664">
        <v>-44801737</v>
      </c>
      <c r="H1664">
        <v>8863535</v>
      </c>
      <c r="P1664">
        <v>51</v>
      </c>
      <c r="Q1664" t="s">
        <v>3371</v>
      </c>
    </row>
    <row r="1665" spans="1:17" x14ac:dyDescent="0.3">
      <c r="A1665" t="s">
        <v>17</v>
      </c>
      <c r="B1665" t="str">
        <f>"605259"</f>
        <v>605259</v>
      </c>
      <c r="C1665" t="s">
        <v>3372</v>
      </c>
      <c r="D1665" t="s">
        <v>78</v>
      </c>
      <c r="F1665">
        <v>-77556451</v>
      </c>
      <c r="P1665">
        <v>17</v>
      </c>
      <c r="Q1665" t="s">
        <v>3373</v>
      </c>
    </row>
    <row r="1666" spans="1:17" x14ac:dyDescent="0.3">
      <c r="A1666" t="s">
        <v>17</v>
      </c>
      <c r="B1666" t="str">
        <f>"605266"</f>
        <v>605266</v>
      </c>
      <c r="C1666" t="s">
        <v>3374</v>
      </c>
      <c r="D1666" t="s">
        <v>113</v>
      </c>
      <c r="F1666">
        <v>380812532</v>
      </c>
      <c r="G1666">
        <v>58666084</v>
      </c>
      <c r="H1666">
        <v>163696069</v>
      </c>
      <c r="P1666">
        <v>105</v>
      </c>
      <c r="Q1666" t="s">
        <v>3375</v>
      </c>
    </row>
    <row r="1667" spans="1:17" x14ac:dyDescent="0.3">
      <c r="A1667" t="s">
        <v>17</v>
      </c>
      <c r="B1667" t="str">
        <f>"605268"</f>
        <v>605268</v>
      </c>
      <c r="C1667" t="s">
        <v>3376</v>
      </c>
      <c r="D1667" t="s">
        <v>161</v>
      </c>
      <c r="F1667">
        <v>-659426830</v>
      </c>
      <c r="G1667">
        <v>124838557</v>
      </c>
      <c r="H1667">
        <v>220694572</v>
      </c>
      <c r="P1667">
        <v>61</v>
      </c>
      <c r="Q1667" t="s">
        <v>3377</v>
      </c>
    </row>
    <row r="1668" spans="1:17" x14ac:dyDescent="0.3">
      <c r="A1668" t="s">
        <v>17</v>
      </c>
      <c r="B1668" t="str">
        <f>"605277"</f>
        <v>605277</v>
      </c>
      <c r="C1668" t="s">
        <v>3378</v>
      </c>
      <c r="D1668" t="s">
        <v>150</v>
      </c>
      <c r="F1668">
        <v>-108353802</v>
      </c>
      <c r="G1668">
        <v>16267876</v>
      </c>
      <c r="H1668">
        <v>19570893</v>
      </c>
      <c r="P1668">
        <v>68</v>
      </c>
      <c r="Q1668" t="s">
        <v>3379</v>
      </c>
    </row>
    <row r="1669" spans="1:17" x14ac:dyDescent="0.3">
      <c r="A1669" t="s">
        <v>17</v>
      </c>
      <c r="B1669" t="str">
        <f>"605286"</f>
        <v>605286</v>
      </c>
      <c r="C1669" t="s">
        <v>3380</v>
      </c>
      <c r="D1669" t="s">
        <v>78</v>
      </c>
      <c r="F1669">
        <v>-283150351</v>
      </c>
      <c r="P1669">
        <v>27</v>
      </c>
      <c r="Q1669" t="s">
        <v>3381</v>
      </c>
    </row>
    <row r="1670" spans="1:17" x14ac:dyDescent="0.3">
      <c r="A1670" t="s">
        <v>17</v>
      </c>
      <c r="B1670" t="str">
        <f>"605287"</f>
        <v>605287</v>
      </c>
      <c r="C1670" t="s">
        <v>3382</v>
      </c>
      <c r="D1670" t="s">
        <v>95</v>
      </c>
      <c r="F1670">
        <v>-65779497</v>
      </c>
      <c r="G1670">
        <v>248715389</v>
      </c>
      <c r="P1670">
        <v>21</v>
      </c>
      <c r="Q1670" t="s">
        <v>3383</v>
      </c>
    </row>
    <row r="1671" spans="1:17" x14ac:dyDescent="0.3">
      <c r="A1671" t="s">
        <v>17</v>
      </c>
      <c r="B1671" t="str">
        <f>"605288"</f>
        <v>605288</v>
      </c>
      <c r="C1671" t="s">
        <v>3384</v>
      </c>
      <c r="D1671" t="s">
        <v>78</v>
      </c>
      <c r="F1671">
        <v>-197382607</v>
      </c>
      <c r="G1671">
        <v>-71990626</v>
      </c>
      <c r="H1671">
        <v>-4451053</v>
      </c>
      <c r="P1671">
        <v>86</v>
      </c>
      <c r="Q1671" t="s">
        <v>3385</v>
      </c>
    </row>
    <row r="1672" spans="1:17" x14ac:dyDescent="0.3">
      <c r="A1672" t="s">
        <v>17</v>
      </c>
      <c r="B1672" t="str">
        <f>"605289"</f>
        <v>605289</v>
      </c>
      <c r="C1672" t="s">
        <v>3386</v>
      </c>
      <c r="D1672" t="s">
        <v>95</v>
      </c>
      <c r="F1672">
        <v>-194603387</v>
      </c>
      <c r="G1672">
        <v>17159052</v>
      </c>
      <c r="P1672">
        <v>29</v>
      </c>
      <c r="Q1672" t="s">
        <v>3387</v>
      </c>
    </row>
    <row r="1673" spans="1:17" x14ac:dyDescent="0.3">
      <c r="A1673" t="s">
        <v>17</v>
      </c>
      <c r="B1673" t="str">
        <f>"605296"</f>
        <v>605296</v>
      </c>
      <c r="C1673" t="s">
        <v>3388</v>
      </c>
      <c r="D1673" t="s">
        <v>205</v>
      </c>
      <c r="F1673">
        <v>-563461825</v>
      </c>
      <c r="P1673">
        <v>59</v>
      </c>
      <c r="Q1673" t="s">
        <v>3389</v>
      </c>
    </row>
    <row r="1674" spans="1:17" x14ac:dyDescent="0.3">
      <c r="A1674" t="s">
        <v>17</v>
      </c>
      <c r="B1674" t="str">
        <f>"605298"</f>
        <v>605298</v>
      </c>
      <c r="C1674" t="s">
        <v>3390</v>
      </c>
      <c r="D1674" t="s">
        <v>78</v>
      </c>
      <c r="F1674">
        <v>-50542456</v>
      </c>
      <c r="G1674">
        <v>-44986161</v>
      </c>
      <c r="P1674">
        <v>46</v>
      </c>
      <c r="Q1674" t="s">
        <v>3391</v>
      </c>
    </row>
    <row r="1675" spans="1:17" x14ac:dyDescent="0.3">
      <c r="A1675" t="s">
        <v>17</v>
      </c>
      <c r="B1675" t="str">
        <f>"605299"</f>
        <v>605299</v>
      </c>
      <c r="C1675" t="s">
        <v>3392</v>
      </c>
      <c r="D1675" t="s">
        <v>161</v>
      </c>
      <c r="F1675">
        <v>-136344309</v>
      </c>
      <c r="G1675">
        <v>-59847450</v>
      </c>
      <c r="H1675">
        <v>-34206734</v>
      </c>
      <c r="P1675">
        <v>58</v>
      </c>
      <c r="Q1675" t="s">
        <v>3393</v>
      </c>
    </row>
    <row r="1676" spans="1:17" x14ac:dyDescent="0.3">
      <c r="A1676" t="s">
        <v>17</v>
      </c>
      <c r="B1676" t="str">
        <f>"605300"</f>
        <v>605300</v>
      </c>
      <c r="C1676" t="s">
        <v>3394</v>
      </c>
      <c r="D1676" t="s">
        <v>123</v>
      </c>
      <c r="F1676">
        <v>-123560212</v>
      </c>
      <c r="G1676">
        <v>-22725892</v>
      </c>
      <c r="P1676">
        <v>56</v>
      </c>
      <c r="Q1676" t="s">
        <v>3395</v>
      </c>
    </row>
    <row r="1677" spans="1:17" x14ac:dyDescent="0.3">
      <c r="A1677" t="s">
        <v>17</v>
      </c>
      <c r="B1677" t="str">
        <f>"605303"</f>
        <v>605303</v>
      </c>
      <c r="C1677" t="s">
        <v>3396</v>
      </c>
      <c r="D1677" t="s">
        <v>95</v>
      </c>
      <c r="F1677">
        <v>-293098612</v>
      </c>
      <c r="G1677">
        <v>-139802348</v>
      </c>
      <c r="H1677">
        <v>-309267273</v>
      </c>
      <c r="P1677">
        <v>28</v>
      </c>
      <c r="Q1677" t="s">
        <v>3397</v>
      </c>
    </row>
    <row r="1678" spans="1:17" x14ac:dyDescent="0.3">
      <c r="A1678" t="s">
        <v>17</v>
      </c>
      <c r="B1678" t="str">
        <f>"605305"</f>
        <v>605305</v>
      </c>
      <c r="C1678" t="s">
        <v>3398</v>
      </c>
      <c r="D1678" t="s">
        <v>78</v>
      </c>
      <c r="F1678">
        <v>95326726</v>
      </c>
      <c r="G1678">
        <v>138690148</v>
      </c>
      <c r="P1678">
        <v>81</v>
      </c>
      <c r="Q1678" t="s">
        <v>3399</v>
      </c>
    </row>
    <row r="1679" spans="1:17" x14ac:dyDescent="0.3">
      <c r="A1679" t="s">
        <v>17</v>
      </c>
      <c r="B1679" t="str">
        <f>"605318"</f>
        <v>605318</v>
      </c>
      <c r="C1679" t="s">
        <v>3400</v>
      </c>
      <c r="D1679" t="s">
        <v>350</v>
      </c>
      <c r="F1679">
        <v>-33549778</v>
      </c>
      <c r="G1679">
        <v>-5359812</v>
      </c>
      <c r="H1679">
        <v>-41065196</v>
      </c>
      <c r="P1679">
        <v>58</v>
      </c>
      <c r="Q1679" t="s">
        <v>3401</v>
      </c>
    </row>
    <row r="1680" spans="1:17" x14ac:dyDescent="0.3">
      <c r="A1680" t="s">
        <v>17</v>
      </c>
      <c r="B1680" t="str">
        <f>"605319"</f>
        <v>605319</v>
      </c>
      <c r="C1680" t="s">
        <v>3402</v>
      </c>
      <c r="D1680" t="s">
        <v>27</v>
      </c>
      <c r="F1680">
        <v>-259524245</v>
      </c>
      <c r="P1680">
        <v>22</v>
      </c>
      <c r="Q1680" t="s">
        <v>3403</v>
      </c>
    </row>
    <row r="1681" spans="1:17" x14ac:dyDescent="0.3">
      <c r="A1681" t="s">
        <v>17</v>
      </c>
      <c r="B1681" t="str">
        <f>"605333"</f>
        <v>605333</v>
      </c>
      <c r="C1681" t="s">
        <v>3404</v>
      </c>
      <c r="D1681" t="s">
        <v>27</v>
      </c>
      <c r="F1681">
        <v>-188538055</v>
      </c>
      <c r="G1681">
        <v>41011274</v>
      </c>
      <c r="H1681">
        <v>-210526451</v>
      </c>
      <c r="P1681">
        <v>85</v>
      </c>
      <c r="Q1681" t="s">
        <v>3405</v>
      </c>
    </row>
    <row r="1682" spans="1:17" x14ac:dyDescent="0.3">
      <c r="A1682" t="s">
        <v>17</v>
      </c>
      <c r="B1682" t="str">
        <f>"605336"</f>
        <v>605336</v>
      </c>
      <c r="C1682" t="s">
        <v>3406</v>
      </c>
      <c r="D1682" t="s">
        <v>126</v>
      </c>
      <c r="F1682">
        <v>66884058</v>
      </c>
      <c r="G1682">
        <v>7241611</v>
      </c>
      <c r="H1682">
        <v>61009220</v>
      </c>
      <c r="P1682">
        <v>142</v>
      </c>
      <c r="Q1682" t="s">
        <v>3407</v>
      </c>
    </row>
    <row r="1683" spans="1:17" x14ac:dyDescent="0.3">
      <c r="A1683" t="s">
        <v>17</v>
      </c>
      <c r="B1683" t="str">
        <f>"605337"</f>
        <v>605337</v>
      </c>
      <c r="C1683" t="s">
        <v>3408</v>
      </c>
      <c r="D1683" t="s">
        <v>123</v>
      </c>
      <c r="F1683">
        <v>-28782198</v>
      </c>
      <c r="G1683">
        <v>79540224</v>
      </c>
      <c r="H1683">
        <v>85626721</v>
      </c>
      <c r="P1683">
        <v>147</v>
      </c>
      <c r="Q1683" t="s">
        <v>3409</v>
      </c>
    </row>
    <row r="1684" spans="1:17" x14ac:dyDescent="0.3">
      <c r="A1684" t="s">
        <v>17</v>
      </c>
      <c r="B1684" t="str">
        <f>"605338"</f>
        <v>605338</v>
      </c>
      <c r="C1684" t="s">
        <v>3410</v>
      </c>
      <c r="D1684" t="s">
        <v>123</v>
      </c>
      <c r="F1684">
        <v>-46097140</v>
      </c>
      <c r="G1684">
        <v>72162378</v>
      </c>
      <c r="H1684">
        <v>31186806</v>
      </c>
      <c r="P1684">
        <v>198</v>
      </c>
      <c r="Q1684" t="s">
        <v>3411</v>
      </c>
    </row>
    <row r="1685" spans="1:17" x14ac:dyDescent="0.3">
      <c r="A1685" t="s">
        <v>17</v>
      </c>
      <c r="B1685" t="str">
        <f>"605339"</f>
        <v>605339</v>
      </c>
      <c r="C1685" t="s">
        <v>3412</v>
      </c>
      <c r="D1685" t="s">
        <v>123</v>
      </c>
      <c r="F1685">
        <v>75226302</v>
      </c>
      <c r="P1685">
        <v>65</v>
      </c>
      <c r="Q1685" t="s">
        <v>3413</v>
      </c>
    </row>
    <row r="1686" spans="1:17" x14ac:dyDescent="0.3">
      <c r="A1686" t="s">
        <v>17</v>
      </c>
      <c r="B1686" t="str">
        <f>"605358"</f>
        <v>605358</v>
      </c>
      <c r="C1686" t="s">
        <v>3414</v>
      </c>
      <c r="D1686" t="s">
        <v>150</v>
      </c>
      <c r="F1686">
        <v>-1396731844</v>
      </c>
      <c r="G1686">
        <v>-201837381</v>
      </c>
      <c r="H1686">
        <v>-860870348</v>
      </c>
      <c r="P1686">
        <v>289</v>
      </c>
      <c r="Q1686" t="s">
        <v>3415</v>
      </c>
    </row>
    <row r="1687" spans="1:17" x14ac:dyDescent="0.3">
      <c r="A1687" t="s">
        <v>17</v>
      </c>
      <c r="B1687" t="str">
        <f>"605365"</f>
        <v>605365</v>
      </c>
      <c r="C1687" t="s">
        <v>3416</v>
      </c>
      <c r="D1687" t="s">
        <v>126</v>
      </c>
      <c r="F1687">
        <v>18220038</v>
      </c>
      <c r="G1687">
        <v>98428156</v>
      </c>
      <c r="P1687">
        <v>28</v>
      </c>
      <c r="Q1687" t="s">
        <v>3417</v>
      </c>
    </row>
    <row r="1688" spans="1:17" x14ac:dyDescent="0.3">
      <c r="A1688" t="s">
        <v>17</v>
      </c>
      <c r="B1688" t="str">
        <f>"605366"</f>
        <v>605366</v>
      </c>
      <c r="C1688" t="s">
        <v>3418</v>
      </c>
      <c r="D1688" t="s">
        <v>133</v>
      </c>
      <c r="F1688">
        <v>-135790807</v>
      </c>
      <c r="G1688">
        <v>-37289499</v>
      </c>
      <c r="H1688">
        <v>59021846</v>
      </c>
      <c r="P1688">
        <v>60</v>
      </c>
      <c r="Q1688" t="s">
        <v>3419</v>
      </c>
    </row>
    <row r="1689" spans="1:17" x14ac:dyDescent="0.3">
      <c r="A1689" t="s">
        <v>17</v>
      </c>
      <c r="B1689" t="str">
        <f>"605368"</f>
        <v>605368</v>
      </c>
      <c r="C1689" t="s">
        <v>3420</v>
      </c>
      <c r="D1689" t="s">
        <v>41</v>
      </c>
      <c r="F1689">
        <v>79932279</v>
      </c>
      <c r="G1689">
        <v>164360074</v>
      </c>
      <c r="H1689">
        <v>221853108</v>
      </c>
      <c r="I1689">
        <v>221853108</v>
      </c>
      <c r="P1689">
        <v>60</v>
      </c>
      <c r="Q1689" t="s">
        <v>3421</v>
      </c>
    </row>
    <row r="1690" spans="1:17" x14ac:dyDescent="0.3">
      <c r="A1690" t="s">
        <v>17</v>
      </c>
      <c r="B1690" t="str">
        <f>"605369"</f>
        <v>605369</v>
      </c>
      <c r="C1690" t="s">
        <v>3422</v>
      </c>
      <c r="D1690" t="s">
        <v>113</v>
      </c>
      <c r="F1690">
        <v>21866240</v>
      </c>
      <c r="G1690">
        <v>85185178</v>
      </c>
      <c r="H1690">
        <v>-2395671</v>
      </c>
      <c r="P1690">
        <v>178</v>
      </c>
      <c r="Q1690" t="s">
        <v>3423</v>
      </c>
    </row>
    <row r="1691" spans="1:17" x14ac:dyDescent="0.3">
      <c r="A1691" t="s">
        <v>17</v>
      </c>
      <c r="B1691" t="str">
        <f>"605376"</f>
        <v>605376</v>
      </c>
      <c r="C1691" t="s">
        <v>3424</v>
      </c>
      <c r="D1691" t="s">
        <v>234</v>
      </c>
      <c r="F1691">
        <v>-258654131</v>
      </c>
      <c r="G1691">
        <v>-51379405</v>
      </c>
      <c r="H1691">
        <v>27115322</v>
      </c>
      <c r="P1691">
        <v>110</v>
      </c>
      <c r="Q1691" t="s">
        <v>3425</v>
      </c>
    </row>
    <row r="1692" spans="1:17" x14ac:dyDescent="0.3">
      <c r="A1692" t="s">
        <v>17</v>
      </c>
      <c r="B1692" t="str">
        <f>"605377"</f>
        <v>605377</v>
      </c>
      <c r="C1692" t="s">
        <v>3426</v>
      </c>
      <c r="D1692" t="s">
        <v>161</v>
      </c>
      <c r="F1692">
        <v>-16184028</v>
      </c>
      <c r="G1692">
        <v>-170387219</v>
      </c>
      <c r="H1692">
        <v>121588851</v>
      </c>
      <c r="P1692">
        <v>59</v>
      </c>
      <c r="Q1692" t="s">
        <v>3427</v>
      </c>
    </row>
    <row r="1693" spans="1:17" x14ac:dyDescent="0.3">
      <c r="A1693" t="s">
        <v>17</v>
      </c>
      <c r="B1693" t="str">
        <f>"605378"</f>
        <v>605378</v>
      </c>
      <c r="C1693" t="s">
        <v>3428</v>
      </c>
      <c r="D1693" t="s">
        <v>188</v>
      </c>
      <c r="F1693">
        <v>-54442620</v>
      </c>
      <c r="G1693">
        <v>74955880</v>
      </c>
      <c r="P1693">
        <v>32</v>
      </c>
      <c r="Q1693" t="s">
        <v>3429</v>
      </c>
    </row>
    <row r="1694" spans="1:17" x14ac:dyDescent="0.3">
      <c r="A1694" t="s">
        <v>17</v>
      </c>
      <c r="B1694" t="str">
        <f>"605388"</f>
        <v>605388</v>
      </c>
      <c r="C1694" t="s">
        <v>3430</v>
      </c>
      <c r="D1694" t="s">
        <v>123</v>
      </c>
      <c r="F1694">
        <v>-236495137</v>
      </c>
      <c r="G1694">
        <v>10520549</v>
      </c>
      <c r="H1694">
        <v>191770533</v>
      </c>
      <c r="P1694">
        <v>103</v>
      </c>
      <c r="Q1694" t="s">
        <v>3431</v>
      </c>
    </row>
    <row r="1695" spans="1:17" x14ac:dyDescent="0.3">
      <c r="A1695" t="s">
        <v>17</v>
      </c>
      <c r="B1695" t="str">
        <f>"605389"</f>
        <v>605389</v>
      </c>
      <c r="C1695" t="s">
        <v>3432</v>
      </c>
      <c r="D1695" t="s">
        <v>78</v>
      </c>
      <c r="F1695">
        <v>59576441</v>
      </c>
      <c r="G1695">
        <v>79927310</v>
      </c>
      <c r="P1695">
        <v>64</v>
      </c>
      <c r="Q1695" t="s">
        <v>3433</v>
      </c>
    </row>
    <row r="1696" spans="1:17" x14ac:dyDescent="0.3">
      <c r="A1696" t="s">
        <v>17</v>
      </c>
      <c r="B1696" t="str">
        <f>"605398"</f>
        <v>605398</v>
      </c>
      <c r="C1696" t="s">
        <v>3434</v>
      </c>
      <c r="D1696" t="s">
        <v>212</v>
      </c>
      <c r="F1696">
        <v>-38526496</v>
      </c>
      <c r="G1696">
        <v>-74930158</v>
      </c>
      <c r="H1696">
        <v>-35653400</v>
      </c>
      <c r="P1696">
        <v>39</v>
      </c>
      <c r="Q1696" t="s">
        <v>3435</v>
      </c>
    </row>
    <row r="1697" spans="1:17" x14ac:dyDescent="0.3">
      <c r="A1697" t="s">
        <v>17</v>
      </c>
      <c r="B1697" t="str">
        <f>"605399"</f>
        <v>605399</v>
      </c>
      <c r="C1697" t="s">
        <v>3436</v>
      </c>
      <c r="D1697" t="s">
        <v>133</v>
      </c>
      <c r="F1697">
        <v>200223957</v>
      </c>
      <c r="G1697">
        <v>9286110</v>
      </c>
      <c r="H1697">
        <v>-3968443</v>
      </c>
      <c r="P1697">
        <v>126</v>
      </c>
      <c r="Q1697" t="s">
        <v>3437</v>
      </c>
    </row>
    <row r="1698" spans="1:17" x14ac:dyDescent="0.3">
      <c r="A1698" t="s">
        <v>17</v>
      </c>
      <c r="B1698" t="str">
        <f>"605488"</f>
        <v>605488</v>
      </c>
      <c r="C1698" t="s">
        <v>3438</v>
      </c>
      <c r="D1698" t="s">
        <v>133</v>
      </c>
      <c r="F1698">
        <v>-61197263</v>
      </c>
      <c r="P1698">
        <v>28</v>
      </c>
      <c r="Q1698" t="s">
        <v>3439</v>
      </c>
    </row>
    <row r="1699" spans="1:17" x14ac:dyDescent="0.3">
      <c r="A1699" t="s">
        <v>17</v>
      </c>
      <c r="B1699" t="str">
        <f>"605499"</f>
        <v>605499</v>
      </c>
      <c r="C1699" t="s">
        <v>3440</v>
      </c>
      <c r="D1699" t="s">
        <v>123</v>
      </c>
      <c r="F1699">
        <v>1112779421</v>
      </c>
      <c r="P1699">
        <v>284</v>
      </c>
      <c r="Q1699" t="s">
        <v>3441</v>
      </c>
    </row>
    <row r="1700" spans="1:17" x14ac:dyDescent="0.3">
      <c r="A1700" t="s">
        <v>17</v>
      </c>
      <c r="B1700" t="str">
        <f>"605500"</f>
        <v>605500</v>
      </c>
      <c r="C1700" t="s">
        <v>3442</v>
      </c>
      <c r="D1700" t="s">
        <v>161</v>
      </c>
      <c r="F1700">
        <v>-173169649</v>
      </c>
      <c r="G1700">
        <v>160243800</v>
      </c>
      <c r="P1700">
        <v>37</v>
      </c>
      <c r="Q1700" t="s">
        <v>3443</v>
      </c>
    </row>
    <row r="1701" spans="1:17" x14ac:dyDescent="0.3">
      <c r="A1701" t="s">
        <v>17</v>
      </c>
      <c r="B1701" t="str">
        <f>"605507"</f>
        <v>605507</v>
      </c>
      <c r="C1701" t="s">
        <v>3444</v>
      </c>
      <c r="D1701" t="s">
        <v>113</v>
      </c>
      <c r="F1701">
        <v>-419725545</v>
      </c>
      <c r="G1701">
        <v>302776892</v>
      </c>
      <c r="P1701">
        <v>25</v>
      </c>
      <c r="Q1701" t="s">
        <v>3445</v>
      </c>
    </row>
    <row r="1702" spans="1:17" x14ac:dyDescent="0.3">
      <c r="A1702" t="s">
        <v>17</v>
      </c>
      <c r="B1702" t="str">
        <f>"605555"</f>
        <v>605555</v>
      </c>
      <c r="C1702" t="s">
        <v>3446</v>
      </c>
      <c r="D1702" t="s">
        <v>126</v>
      </c>
      <c r="F1702">
        <v>-19382725</v>
      </c>
      <c r="P1702">
        <v>35</v>
      </c>
      <c r="Q1702" t="s">
        <v>3447</v>
      </c>
    </row>
    <row r="1703" spans="1:17" x14ac:dyDescent="0.3">
      <c r="A1703" t="s">
        <v>17</v>
      </c>
      <c r="B1703" t="str">
        <f>"605566"</f>
        <v>605566</v>
      </c>
      <c r="C1703" t="s">
        <v>3448</v>
      </c>
      <c r="D1703" t="s">
        <v>133</v>
      </c>
      <c r="F1703">
        <v>161256976</v>
      </c>
      <c r="P1703">
        <v>22</v>
      </c>
      <c r="Q1703" t="s">
        <v>3449</v>
      </c>
    </row>
    <row r="1704" spans="1:17" x14ac:dyDescent="0.3">
      <c r="A1704" t="s">
        <v>17</v>
      </c>
      <c r="B1704" t="str">
        <f>"605567"</f>
        <v>605567</v>
      </c>
      <c r="C1704" t="s">
        <v>3450</v>
      </c>
      <c r="D1704" t="s">
        <v>123</v>
      </c>
      <c r="F1704">
        <v>-24407824</v>
      </c>
      <c r="G1704">
        <v>96766024</v>
      </c>
      <c r="P1704">
        <v>33</v>
      </c>
      <c r="Q1704" t="s">
        <v>3451</v>
      </c>
    </row>
    <row r="1705" spans="1:17" x14ac:dyDescent="0.3">
      <c r="A1705" t="s">
        <v>17</v>
      </c>
      <c r="B1705" t="str">
        <f>"605577"</f>
        <v>605577</v>
      </c>
      <c r="C1705" t="s">
        <v>3452</v>
      </c>
      <c r="D1705" t="s">
        <v>89</v>
      </c>
      <c r="F1705">
        <v>95679574</v>
      </c>
      <c r="G1705">
        <v>-43789962</v>
      </c>
      <c r="P1705">
        <v>19</v>
      </c>
      <c r="Q1705" t="s">
        <v>3453</v>
      </c>
    </row>
    <row r="1706" spans="1:17" x14ac:dyDescent="0.3">
      <c r="A1706" t="s">
        <v>17</v>
      </c>
      <c r="B1706" t="str">
        <f>"605580"</f>
        <v>605580</v>
      </c>
      <c r="C1706" t="s">
        <v>3454</v>
      </c>
      <c r="D1706" t="s">
        <v>41</v>
      </c>
      <c r="F1706">
        <v>66328693</v>
      </c>
      <c r="P1706">
        <v>30</v>
      </c>
      <c r="Q1706" t="s">
        <v>3455</v>
      </c>
    </row>
    <row r="1707" spans="1:17" x14ac:dyDescent="0.3">
      <c r="A1707" t="s">
        <v>17</v>
      </c>
      <c r="B1707" t="str">
        <f>"605588"</f>
        <v>605588</v>
      </c>
      <c r="C1707" t="s">
        <v>3456</v>
      </c>
      <c r="D1707" t="s">
        <v>150</v>
      </c>
      <c r="F1707">
        <v>-142951907</v>
      </c>
      <c r="G1707">
        <v>-38779010</v>
      </c>
      <c r="P1707">
        <v>16</v>
      </c>
      <c r="Q1707" t="s">
        <v>3457</v>
      </c>
    </row>
    <row r="1708" spans="1:17" x14ac:dyDescent="0.3">
      <c r="A1708" t="s">
        <v>17</v>
      </c>
      <c r="B1708" t="str">
        <f>"605589"</f>
        <v>605589</v>
      </c>
      <c r="C1708" t="s">
        <v>3458</v>
      </c>
      <c r="D1708" t="s">
        <v>133</v>
      </c>
      <c r="F1708">
        <v>-2681522310</v>
      </c>
      <c r="G1708">
        <v>-826000650</v>
      </c>
      <c r="P1708">
        <v>40</v>
      </c>
      <c r="Q1708" t="s">
        <v>3459</v>
      </c>
    </row>
    <row r="1709" spans="1:17" x14ac:dyDescent="0.3">
      <c r="A1709" t="s">
        <v>17</v>
      </c>
      <c r="B1709" t="str">
        <f>"605598"</f>
        <v>605598</v>
      </c>
      <c r="C1709" t="s">
        <v>3460</v>
      </c>
      <c r="D1709" t="s">
        <v>95</v>
      </c>
      <c r="F1709">
        <v>24883037</v>
      </c>
      <c r="P1709">
        <v>18</v>
      </c>
      <c r="Q1709" t="s">
        <v>3461</v>
      </c>
    </row>
    <row r="1710" spans="1:17" x14ac:dyDescent="0.3">
      <c r="A1710" t="s">
        <v>17</v>
      </c>
      <c r="B1710" t="str">
        <f>"605599"</f>
        <v>605599</v>
      </c>
      <c r="C1710" t="s">
        <v>3462</v>
      </c>
      <c r="D1710" t="s">
        <v>227</v>
      </c>
      <c r="F1710">
        <v>82204292</v>
      </c>
      <c r="G1710">
        <v>748894523</v>
      </c>
      <c r="P1710">
        <v>21</v>
      </c>
      <c r="Q1710" t="s">
        <v>3463</v>
      </c>
    </row>
    <row r="1711" spans="1:17" x14ac:dyDescent="0.3">
      <c r="A1711" t="s">
        <v>17</v>
      </c>
      <c r="B1711" t="str">
        <f>"688001"</f>
        <v>688001</v>
      </c>
      <c r="C1711" t="s">
        <v>3464</v>
      </c>
      <c r="D1711" t="s">
        <v>78</v>
      </c>
      <c r="F1711">
        <v>-204719716</v>
      </c>
      <c r="G1711">
        <v>-118238938</v>
      </c>
      <c r="H1711">
        <v>-304658315</v>
      </c>
      <c r="I1711">
        <v>-52562030</v>
      </c>
      <c r="P1711">
        <v>170</v>
      </c>
      <c r="Q1711" t="s">
        <v>3465</v>
      </c>
    </row>
    <row r="1712" spans="1:17" x14ac:dyDescent="0.3">
      <c r="A1712" t="s">
        <v>17</v>
      </c>
      <c r="B1712" t="str">
        <f>"688002"</f>
        <v>688002</v>
      </c>
      <c r="C1712" t="s">
        <v>3466</v>
      </c>
      <c r="D1712" t="s">
        <v>92</v>
      </c>
      <c r="F1712">
        <v>-437093740</v>
      </c>
      <c r="G1712">
        <v>-286830861</v>
      </c>
      <c r="H1712">
        <v>-72587187</v>
      </c>
      <c r="I1712">
        <v>-109800109</v>
      </c>
      <c r="P1712">
        <v>407</v>
      </c>
      <c r="Q1712" t="s">
        <v>3467</v>
      </c>
    </row>
    <row r="1713" spans="1:17" x14ac:dyDescent="0.3">
      <c r="A1713" t="s">
        <v>17</v>
      </c>
      <c r="B1713" t="str">
        <f>"688003"</f>
        <v>688003</v>
      </c>
      <c r="C1713" t="s">
        <v>3468</v>
      </c>
      <c r="D1713" t="s">
        <v>78</v>
      </c>
      <c r="F1713">
        <v>-390706622</v>
      </c>
      <c r="G1713">
        <v>-216471522</v>
      </c>
      <c r="H1713">
        <v>-123959486</v>
      </c>
      <c r="I1713">
        <v>-99835740</v>
      </c>
      <c r="P1713">
        <v>142</v>
      </c>
      <c r="Q1713" t="s">
        <v>3469</v>
      </c>
    </row>
    <row r="1714" spans="1:17" x14ac:dyDescent="0.3">
      <c r="A1714" t="s">
        <v>17</v>
      </c>
      <c r="B1714" t="str">
        <f>"688004"</f>
        <v>688004</v>
      </c>
      <c r="C1714" t="s">
        <v>3470</v>
      </c>
      <c r="D1714" t="s">
        <v>212</v>
      </c>
      <c r="F1714">
        <v>-270911699</v>
      </c>
      <c r="G1714">
        <v>-72899656</v>
      </c>
      <c r="H1714">
        <v>-41478143</v>
      </c>
      <c r="P1714">
        <v>37</v>
      </c>
      <c r="Q1714" t="s">
        <v>3471</v>
      </c>
    </row>
    <row r="1715" spans="1:17" x14ac:dyDescent="0.3">
      <c r="A1715" t="s">
        <v>17</v>
      </c>
      <c r="B1715" t="str">
        <f>"688005"</f>
        <v>688005</v>
      </c>
      <c r="C1715" t="s">
        <v>3472</v>
      </c>
      <c r="D1715" t="s">
        <v>188</v>
      </c>
      <c r="F1715">
        <v>-512119732</v>
      </c>
      <c r="G1715">
        <v>284061055</v>
      </c>
      <c r="H1715">
        <v>-205409367</v>
      </c>
      <c r="I1715">
        <v>-1348784578</v>
      </c>
      <c r="P1715">
        <v>318</v>
      </c>
      <c r="Q1715" t="s">
        <v>3473</v>
      </c>
    </row>
    <row r="1716" spans="1:17" x14ac:dyDescent="0.3">
      <c r="A1716" t="s">
        <v>17</v>
      </c>
      <c r="B1716" t="str">
        <f>"688006"</f>
        <v>688006</v>
      </c>
      <c r="C1716" t="s">
        <v>3474</v>
      </c>
      <c r="D1716" t="s">
        <v>188</v>
      </c>
      <c r="F1716">
        <v>9926554</v>
      </c>
      <c r="G1716">
        <v>67369960</v>
      </c>
      <c r="H1716">
        <v>-92501578</v>
      </c>
      <c r="I1716">
        <v>40137690</v>
      </c>
      <c r="P1716">
        <v>255</v>
      </c>
      <c r="Q1716" t="s">
        <v>3475</v>
      </c>
    </row>
    <row r="1717" spans="1:17" x14ac:dyDescent="0.3">
      <c r="A1717" t="s">
        <v>17</v>
      </c>
      <c r="B1717" t="str">
        <f>"688007"</f>
        <v>688007</v>
      </c>
      <c r="C1717" t="s">
        <v>3476</v>
      </c>
      <c r="D1717" t="s">
        <v>150</v>
      </c>
      <c r="F1717">
        <v>-92800626</v>
      </c>
      <c r="G1717">
        <v>68421711</v>
      </c>
      <c r="H1717">
        <v>-160558322</v>
      </c>
      <c r="I1717">
        <v>-141548478</v>
      </c>
      <c r="P1717">
        <v>124</v>
      </c>
      <c r="Q1717" t="s">
        <v>3477</v>
      </c>
    </row>
    <row r="1718" spans="1:17" x14ac:dyDescent="0.3">
      <c r="A1718" t="s">
        <v>17</v>
      </c>
      <c r="B1718" t="str">
        <f>"688008"</f>
        <v>688008</v>
      </c>
      <c r="C1718" t="s">
        <v>3478</v>
      </c>
      <c r="D1718" t="s">
        <v>150</v>
      </c>
      <c r="F1718">
        <v>280518482</v>
      </c>
      <c r="G1718">
        <v>694957183</v>
      </c>
      <c r="H1718">
        <v>645845874</v>
      </c>
      <c r="I1718">
        <v>746197458</v>
      </c>
      <c r="P1718">
        <v>523</v>
      </c>
      <c r="Q1718" t="s">
        <v>3479</v>
      </c>
    </row>
    <row r="1719" spans="1:17" x14ac:dyDescent="0.3">
      <c r="A1719" t="s">
        <v>17</v>
      </c>
      <c r="B1719" t="str">
        <f>"688009"</f>
        <v>688009</v>
      </c>
      <c r="C1719" t="s">
        <v>3480</v>
      </c>
      <c r="D1719" t="s">
        <v>78</v>
      </c>
      <c r="F1719">
        <v>123461201</v>
      </c>
      <c r="G1719">
        <v>-1988043890</v>
      </c>
      <c r="H1719">
        <v>-63258580</v>
      </c>
      <c r="I1719">
        <v>-2336931658</v>
      </c>
      <c r="P1719">
        <v>201</v>
      </c>
      <c r="Q1719" t="s">
        <v>3481</v>
      </c>
    </row>
    <row r="1720" spans="1:17" x14ac:dyDescent="0.3">
      <c r="A1720" t="s">
        <v>17</v>
      </c>
      <c r="B1720" t="str">
        <f>"688010"</f>
        <v>688010</v>
      </c>
      <c r="C1720" t="s">
        <v>3482</v>
      </c>
      <c r="D1720" t="s">
        <v>150</v>
      </c>
      <c r="F1720">
        <v>-206099293</v>
      </c>
      <c r="G1720">
        <v>-230691895</v>
      </c>
      <c r="H1720">
        <v>-179508268</v>
      </c>
      <c r="I1720">
        <v>-88889108</v>
      </c>
      <c r="P1720">
        <v>125</v>
      </c>
      <c r="Q1720" t="s">
        <v>3483</v>
      </c>
    </row>
    <row r="1721" spans="1:17" x14ac:dyDescent="0.3">
      <c r="A1721" t="s">
        <v>17</v>
      </c>
      <c r="B1721" t="str">
        <f>"688011"</f>
        <v>688011</v>
      </c>
      <c r="C1721" t="s">
        <v>3484</v>
      </c>
      <c r="D1721" t="s">
        <v>92</v>
      </c>
      <c r="F1721">
        <v>-79541587</v>
      </c>
      <c r="G1721">
        <v>-37298872</v>
      </c>
      <c r="H1721">
        <v>-46780335</v>
      </c>
      <c r="I1721">
        <v>32229943</v>
      </c>
      <c r="P1721">
        <v>88</v>
      </c>
      <c r="Q1721" t="s">
        <v>3485</v>
      </c>
    </row>
    <row r="1722" spans="1:17" x14ac:dyDescent="0.3">
      <c r="A1722" t="s">
        <v>17</v>
      </c>
      <c r="B1722" t="str">
        <f>"688012"</f>
        <v>688012</v>
      </c>
      <c r="C1722" t="s">
        <v>3486</v>
      </c>
      <c r="D1722" t="s">
        <v>150</v>
      </c>
      <c r="F1722">
        <v>131582593</v>
      </c>
      <c r="G1722">
        <v>340669236</v>
      </c>
      <c r="H1722">
        <v>-173966567</v>
      </c>
      <c r="I1722">
        <v>-350018896</v>
      </c>
      <c r="P1722">
        <v>620</v>
      </c>
      <c r="Q1722" t="s">
        <v>3487</v>
      </c>
    </row>
    <row r="1723" spans="1:17" x14ac:dyDescent="0.3">
      <c r="A1723" t="s">
        <v>17</v>
      </c>
      <c r="B1723" t="str">
        <f>"688013"</f>
        <v>688013</v>
      </c>
      <c r="C1723" t="s">
        <v>3488</v>
      </c>
      <c r="D1723" t="s">
        <v>113</v>
      </c>
      <c r="F1723">
        <v>38379418</v>
      </c>
      <c r="G1723">
        <v>24389572</v>
      </c>
      <c r="H1723">
        <v>19347734</v>
      </c>
      <c r="P1723">
        <v>64</v>
      </c>
      <c r="Q1723" t="s">
        <v>3489</v>
      </c>
    </row>
    <row r="1724" spans="1:17" x14ac:dyDescent="0.3">
      <c r="A1724" t="s">
        <v>17</v>
      </c>
      <c r="B1724" t="str">
        <f>"688015"</f>
        <v>688015</v>
      </c>
      <c r="C1724" t="s">
        <v>3490</v>
      </c>
      <c r="D1724" t="s">
        <v>78</v>
      </c>
      <c r="F1724">
        <v>-219003283</v>
      </c>
      <c r="G1724">
        <v>251546948</v>
      </c>
      <c r="H1724">
        <v>132889293</v>
      </c>
      <c r="I1724">
        <v>-137179211</v>
      </c>
      <c r="P1724">
        <v>279</v>
      </c>
      <c r="Q1724" t="s">
        <v>3491</v>
      </c>
    </row>
    <row r="1725" spans="1:17" x14ac:dyDescent="0.3">
      <c r="A1725" t="s">
        <v>17</v>
      </c>
      <c r="B1725" t="str">
        <f>"688016"</f>
        <v>688016</v>
      </c>
      <c r="C1725" t="s">
        <v>3492</v>
      </c>
      <c r="D1725" t="s">
        <v>113</v>
      </c>
      <c r="F1725">
        <v>181618481</v>
      </c>
      <c r="G1725">
        <v>124410525</v>
      </c>
      <c r="H1725">
        <v>98295780</v>
      </c>
      <c r="I1725">
        <v>63504967</v>
      </c>
      <c r="P1725">
        <v>553</v>
      </c>
      <c r="Q1725" t="s">
        <v>3493</v>
      </c>
    </row>
    <row r="1726" spans="1:17" x14ac:dyDescent="0.3">
      <c r="A1726" t="s">
        <v>17</v>
      </c>
      <c r="B1726" t="str">
        <f>"688017"</f>
        <v>688017</v>
      </c>
      <c r="C1726" t="s">
        <v>3494</v>
      </c>
      <c r="D1726" t="s">
        <v>78</v>
      </c>
      <c r="F1726">
        <v>-45045547</v>
      </c>
      <c r="G1726">
        <v>57823022</v>
      </c>
      <c r="H1726">
        <v>-21643591</v>
      </c>
      <c r="P1726">
        <v>152</v>
      </c>
      <c r="Q1726" t="s">
        <v>3495</v>
      </c>
    </row>
    <row r="1727" spans="1:17" x14ac:dyDescent="0.3">
      <c r="A1727" t="s">
        <v>17</v>
      </c>
      <c r="B1727" t="str">
        <f>"688018"</f>
        <v>688018</v>
      </c>
      <c r="C1727" t="s">
        <v>3496</v>
      </c>
      <c r="D1727" t="s">
        <v>150</v>
      </c>
      <c r="F1727">
        <v>22184536</v>
      </c>
      <c r="G1727">
        <v>3985190</v>
      </c>
      <c r="H1727">
        <v>14135136</v>
      </c>
      <c r="I1727">
        <v>-29343777</v>
      </c>
      <c r="P1727">
        <v>317</v>
      </c>
      <c r="Q1727" t="s">
        <v>3497</v>
      </c>
    </row>
    <row r="1728" spans="1:17" x14ac:dyDescent="0.3">
      <c r="A1728" t="s">
        <v>17</v>
      </c>
      <c r="B1728" t="str">
        <f>"688019"</f>
        <v>688019</v>
      </c>
      <c r="C1728" t="s">
        <v>3498</v>
      </c>
      <c r="D1728" t="s">
        <v>150</v>
      </c>
      <c r="F1728">
        <v>-106177444</v>
      </c>
      <c r="G1728">
        <v>-45618049</v>
      </c>
      <c r="H1728">
        <v>21238917</v>
      </c>
      <c r="I1728">
        <v>29601677</v>
      </c>
      <c r="P1728">
        <v>286</v>
      </c>
      <c r="Q1728" t="s">
        <v>3499</v>
      </c>
    </row>
    <row r="1729" spans="1:17" x14ac:dyDescent="0.3">
      <c r="A1729" t="s">
        <v>17</v>
      </c>
      <c r="B1729" t="str">
        <f>"688020"</f>
        <v>688020</v>
      </c>
      <c r="C1729" t="s">
        <v>3500</v>
      </c>
      <c r="D1729" t="s">
        <v>150</v>
      </c>
      <c r="F1729">
        <v>-242734750</v>
      </c>
      <c r="G1729">
        <v>-114483738</v>
      </c>
      <c r="H1729">
        <v>61507010</v>
      </c>
      <c r="I1729">
        <v>71451012</v>
      </c>
      <c r="P1729">
        <v>253</v>
      </c>
      <c r="Q1729" t="s">
        <v>3501</v>
      </c>
    </row>
    <row r="1730" spans="1:17" x14ac:dyDescent="0.3">
      <c r="A1730" t="s">
        <v>17</v>
      </c>
      <c r="B1730" t="str">
        <f>"688021"</f>
        <v>688021</v>
      </c>
      <c r="C1730" t="s">
        <v>3502</v>
      </c>
      <c r="D1730" t="s">
        <v>27</v>
      </c>
      <c r="F1730">
        <v>-123082778</v>
      </c>
      <c r="G1730">
        <v>-51037993</v>
      </c>
      <c r="H1730">
        <v>-2825012</v>
      </c>
      <c r="I1730">
        <v>-46412496</v>
      </c>
      <c r="P1730">
        <v>80</v>
      </c>
      <c r="Q1730" t="s">
        <v>3503</v>
      </c>
    </row>
    <row r="1731" spans="1:17" x14ac:dyDescent="0.3">
      <c r="A1731" t="s">
        <v>17</v>
      </c>
      <c r="B1731" t="str">
        <f>"688022"</f>
        <v>688022</v>
      </c>
      <c r="C1731" t="s">
        <v>3504</v>
      </c>
      <c r="D1731" t="s">
        <v>78</v>
      </c>
      <c r="F1731">
        <v>-446919875</v>
      </c>
      <c r="G1731">
        <v>-96945787</v>
      </c>
      <c r="H1731">
        <v>-81152635</v>
      </c>
      <c r="I1731">
        <v>-23108317</v>
      </c>
      <c r="P1731">
        <v>164</v>
      </c>
      <c r="Q1731" t="s">
        <v>3505</v>
      </c>
    </row>
    <row r="1732" spans="1:17" x14ac:dyDescent="0.3">
      <c r="A1732" t="s">
        <v>17</v>
      </c>
      <c r="B1732" t="str">
        <f>"688023"</f>
        <v>688023</v>
      </c>
      <c r="C1732" t="s">
        <v>3506</v>
      </c>
      <c r="D1732" t="s">
        <v>212</v>
      </c>
      <c r="F1732">
        <v>-528262872</v>
      </c>
      <c r="G1732">
        <v>-241394337</v>
      </c>
      <c r="H1732">
        <v>-199883469</v>
      </c>
      <c r="I1732">
        <v>-146754611</v>
      </c>
      <c r="P1732">
        <v>249</v>
      </c>
      <c r="Q1732" t="s">
        <v>3507</v>
      </c>
    </row>
    <row r="1733" spans="1:17" x14ac:dyDescent="0.3">
      <c r="A1733" t="s">
        <v>17</v>
      </c>
      <c r="B1733" t="str">
        <f>"688025"</f>
        <v>688025</v>
      </c>
      <c r="C1733" t="s">
        <v>3508</v>
      </c>
      <c r="D1733" t="s">
        <v>78</v>
      </c>
      <c r="F1733">
        <v>-358034558</v>
      </c>
      <c r="G1733">
        <v>-98878357</v>
      </c>
      <c r="H1733">
        <v>-28994314</v>
      </c>
      <c r="I1733">
        <v>-19544927</v>
      </c>
      <c r="P1733">
        <v>159</v>
      </c>
      <c r="Q1733" t="s">
        <v>3509</v>
      </c>
    </row>
    <row r="1734" spans="1:17" x14ac:dyDescent="0.3">
      <c r="A1734" t="s">
        <v>17</v>
      </c>
      <c r="B1734" t="str">
        <f>"688026"</f>
        <v>688026</v>
      </c>
      <c r="C1734" t="s">
        <v>3510</v>
      </c>
      <c r="D1734" t="s">
        <v>133</v>
      </c>
      <c r="F1734">
        <v>-73349602</v>
      </c>
      <c r="G1734">
        <v>5443592</v>
      </c>
      <c r="H1734">
        <v>-10493527</v>
      </c>
      <c r="I1734">
        <v>15602159</v>
      </c>
      <c r="P1734">
        <v>211</v>
      </c>
      <c r="Q1734" t="s">
        <v>3511</v>
      </c>
    </row>
    <row r="1735" spans="1:17" x14ac:dyDescent="0.3">
      <c r="A1735" t="s">
        <v>17</v>
      </c>
      <c r="B1735" t="str">
        <f>"688027"</f>
        <v>688027</v>
      </c>
      <c r="C1735" t="s">
        <v>3512</v>
      </c>
      <c r="D1735" t="s">
        <v>100</v>
      </c>
      <c r="F1735">
        <v>-166560359</v>
      </c>
      <c r="G1735">
        <v>-84902203</v>
      </c>
      <c r="H1735">
        <v>25352034</v>
      </c>
      <c r="P1735">
        <v>98</v>
      </c>
      <c r="Q1735" t="s">
        <v>3513</v>
      </c>
    </row>
    <row r="1736" spans="1:17" x14ac:dyDescent="0.3">
      <c r="A1736" t="s">
        <v>17</v>
      </c>
      <c r="B1736" t="str">
        <f>"688028"</f>
        <v>688028</v>
      </c>
      <c r="C1736" t="s">
        <v>3514</v>
      </c>
      <c r="D1736" t="s">
        <v>78</v>
      </c>
      <c r="F1736">
        <v>-51650951</v>
      </c>
      <c r="G1736">
        <v>-45726179</v>
      </c>
      <c r="H1736">
        <v>29177106</v>
      </c>
      <c r="I1736">
        <v>-1583813</v>
      </c>
      <c r="P1736">
        <v>77</v>
      </c>
      <c r="Q1736" t="s">
        <v>3515</v>
      </c>
    </row>
    <row r="1737" spans="1:17" x14ac:dyDescent="0.3">
      <c r="A1737" t="s">
        <v>17</v>
      </c>
      <c r="B1737" t="str">
        <f>"688029"</f>
        <v>688029</v>
      </c>
      <c r="C1737" t="s">
        <v>3516</v>
      </c>
      <c r="D1737" t="s">
        <v>113</v>
      </c>
      <c r="F1737">
        <v>98538255</v>
      </c>
      <c r="G1737">
        <v>35829394</v>
      </c>
      <c r="H1737">
        <v>171918110</v>
      </c>
      <c r="I1737">
        <v>107309136</v>
      </c>
      <c r="P1737">
        <v>392</v>
      </c>
      <c r="Q1737" t="s">
        <v>3517</v>
      </c>
    </row>
    <row r="1738" spans="1:17" x14ac:dyDescent="0.3">
      <c r="A1738" t="s">
        <v>17</v>
      </c>
      <c r="B1738" t="str">
        <f>"688030"</f>
        <v>688030</v>
      </c>
      <c r="C1738" t="s">
        <v>3518</v>
      </c>
      <c r="D1738" t="s">
        <v>212</v>
      </c>
      <c r="F1738">
        <v>-345565627</v>
      </c>
      <c r="G1738">
        <v>-96884318</v>
      </c>
      <c r="H1738">
        <v>-76343533</v>
      </c>
      <c r="I1738">
        <v>-96942432</v>
      </c>
      <c r="P1738">
        <v>145</v>
      </c>
      <c r="Q1738" t="s">
        <v>3519</v>
      </c>
    </row>
    <row r="1739" spans="1:17" x14ac:dyDescent="0.3">
      <c r="A1739" t="s">
        <v>17</v>
      </c>
      <c r="B1739" t="str">
        <f>"688032"</f>
        <v>688032</v>
      </c>
      <c r="C1739" t="s">
        <v>3520</v>
      </c>
      <c r="D1739" t="s">
        <v>188</v>
      </c>
      <c r="F1739">
        <v>43709788</v>
      </c>
      <c r="G1739">
        <v>19459978</v>
      </c>
      <c r="P1739">
        <v>31</v>
      </c>
      <c r="Q1739" t="s">
        <v>3521</v>
      </c>
    </row>
    <row r="1740" spans="1:17" x14ac:dyDescent="0.3">
      <c r="A1740" t="s">
        <v>17</v>
      </c>
      <c r="B1740" t="str">
        <f>"688033"</f>
        <v>688033</v>
      </c>
      <c r="C1740" t="s">
        <v>3522</v>
      </c>
      <c r="D1740" t="s">
        <v>78</v>
      </c>
      <c r="F1740">
        <v>-349689272</v>
      </c>
      <c r="G1740">
        <v>-12008622</v>
      </c>
      <c r="H1740">
        <v>-56611591</v>
      </c>
      <c r="I1740">
        <v>-9496633</v>
      </c>
      <c r="P1740">
        <v>87</v>
      </c>
      <c r="Q1740" t="s">
        <v>3523</v>
      </c>
    </row>
    <row r="1741" spans="1:17" x14ac:dyDescent="0.3">
      <c r="A1741" t="s">
        <v>17</v>
      </c>
      <c r="B1741" t="str">
        <f>"688036"</f>
        <v>688036</v>
      </c>
      <c r="C1741" t="s">
        <v>3524</v>
      </c>
      <c r="D1741" t="s">
        <v>150</v>
      </c>
      <c r="F1741">
        <v>1008672145</v>
      </c>
      <c r="G1741">
        <v>2614255440</v>
      </c>
      <c r="H1741">
        <v>2067919072</v>
      </c>
      <c r="I1741">
        <v>363329304</v>
      </c>
      <c r="P1741">
        <v>599</v>
      </c>
      <c r="Q1741" t="s">
        <v>3525</v>
      </c>
    </row>
    <row r="1742" spans="1:17" x14ac:dyDescent="0.3">
      <c r="A1742" t="s">
        <v>17</v>
      </c>
      <c r="B1742" t="str">
        <f>"688037"</f>
        <v>688037</v>
      </c>
      <c r="C1742" t="s">
        <v>3526</v>
      </c>
      <c r="D1742" t="s">
        <v>150</v>
      </c>
      <c r="F1742">
        <v>-310428348</v>
      </c>
      <c r="G1742">
        <v>-156125094</v>
      </c>
      <c r="H1742">
        <v>-19513149</v>
      </c>
      <c r="I1742">
        <v>-36307400</v>
      </c>
      <c r="P1742">
        <v>168</v>
      </c>
      <c r="Q1742" t="s">
        <v>3527</v>
      </c>
    </row>
    <row r="1743" spans="1:17" x14ac:dyDescent="0.3">
      <c r="A1743" t="s">
        <v>17</v>
      </c>
      <c r="B1743" t="str">
        <f>"688038"</f>
        <v>688038</v>
      </c>
      <c r="C1743" t="s">
        <v>3528</v>
      </c>
      <c r="D1743" t="s">
        <v>212</v>
      </c>
      <c r="F1743">
        <v>-126337133</v>
      </c>
      <c r="P1743">
        <v>17</v>
      </c>
      <c r="Q1743" t="s">
        <v>3529</v>
      </c>
    </row>
    <row r="1744" spans="1:17" x14ac:dyDescent="0.3">
      <c r="A1744" t="s">
        <v>17</v>
      </c>
      <c r="B1744" t="str">
        <f>"688039"</f>
        <v>688039</v>
      </c>
      <c r="C1744" t="s">
        <v>3530</v>
      </c>
      <c r="D1744" t="s">
        <v>212</v>
      </c>
      <c r="F1744">
        <v>-145868684</v>
      </c>
      <c r="G1744">
        <v>-93876798</v>
      </c>
      <c r="H1744">
        <v>-55276627</v>
      </c>
      <c r="I1744">
        <v>-31011961</v>
      </c>
      <c r="P1744">
        <v>155</v>
      </c>
      <c r="Q1744" t="s">
        <v>3531</v>
      </c>
    </row>
    <row r="1745" spans="1:17" x14ac:dyDescent="0.3">
      <c r="A1745" t="s">
        <v>17</v>
      </c>
      <c r="B1745" t="str">
        <f>"688049"</f>
        <v>688049</v>
      </c>
      <c r="C1745" t="s">
        <v>3532</v>
      </c>
      <c r="D1745" t="s">
        <v>150</v>
      </c>
      <c r="F1745">
        <v>50124218</v>
      </c>
      <c r="G1745">
        <v>-14865730</v>
      </c>
      <c r="P1745">
        <v>21</v>
      </c>
      <c r="Q1745" t="s">
        <v>3533</v>
      </c>
    </row>
    <row r="1746" spans="1:17" x14ac:dyDescent="0.3">
      <c r="A1746" t="s">
        <v>17</v>
      </c>
      <c r="B1746" t="str">
        <f>"688050"</f>
        <v>688050</v>
      </c>
      <c r="C1746" t="s">
        <v>3534</v>
      </c>
      <c r="D1746" t="s">
        <v>113</v>
      </c>
      <c r="F1746">
        <v>-34988015</v>
      </c>
      <c r="G1746">
        <v>-20203236</v>
      </c>
      <c r="H1746">
        <v>-102538583</v>
      </c>
      <c r="P1746">
        <v>411</v>
      </c>
      <c r="Q1746" t="s">
        <v>3535</v>
      </c>
    </row>
    <row r="1747" spans="1:17" x14ac:dyDescent="0.3">
      <c r="A1747" t="s">
        <v>17</v>
      </c>
      <c r="B1747" t="str">
        <f>"688051"</f>
        <v>688051</v>
      </c>
      <c r="C1747" t="s">
        <v>3536</v>
      </c>
      <c r="D1747" t="s">
        <v>212</v>
      </c>
      <c r="F1747">
        <v>-242685601</v>
      </c>
      <c r="G1747">
        <v>-159725241</v>
      </c>
      <c r="H1747">
        <v>-139940984</v>
      </c>
      <c r="P1747">
        <v>91</v>
      </c>
      <c r="Q1747" t="s">
        <v>3537</v>
      </c>
    </row>
    <row r="1748" spans="1:17" x14ac:dyDescent="0.3">
      <c r="A1748" t="s">
        <v>17</v>
      </c>
      <c r="B1748" t="str">
        <f>"688055"</f>
        <v>688055</v>
      </c>
      <c r="C1748" t="s">
        <v>3538</v>
      </c>
      <c r="D1748" t="s">
        <v>150</v>
      </c>
      <c r="F1748">
        <v>453510845</v>
      </c>
      <c r="G1748">
        <v>-66760166</v>
      </c>
      <c r="H1748">
        <v>228362856</v>
      </c>
      <c r="P1748">
        <v>76</v>
      </c>
      <c r="Q1748" t="s">
        <v>3539</v>
      </c>
    </row>
    <row r="1749" spans="1:17" x14ac:dyDescent="0.3">
      <c r="A1749" t="s">
        <v>17</v>
      </c>
      <c r="B1749" t="str">
        <f>"688056"</f>
        <v>688056</v>
      </c>
      <c r="C1749" t="s">
        <v>3540</v>
      </c>
      <c r="D1749" t="s">
        <v>78</v>
      </c>
      <c r="F1749">
        <v>-23334640</v>
      </c>
      <c r="G1749">
        <v>41421395</v>
      </c>
      <c r="H1749">
        <v>-9849770</v>
      </c>
      <c r="P1749">
        <v>50</v>
      </c>
      <c r="Q1749" t="s">
        <v>3541</v>
      </c>
    </row>
    <row r="1750" spans="1:17" x14ac:dyDescent="0.3">
      <c r="A1750" t="s">
        <v>17</v>
      </c>
      <c r="B1750" t="str">
        <f>"688057"</f>
        <v>688057</v>
      </c>
      <c r="C1750" t="s">
        <v>3542</v>
      </c>
      <c r="D1750" t="s">
        <v>33</v>
      </c>
      <c r="F1750">
        <v>8170105</v>
      </c>
      <c r="G1750">
        <v>179224310</v>
      </c>
      <c r="H1750">
        <v>-21676799</v>
      </c>
      <c r="I1750">
        <v>131041091</v>
      </c>
      <c r="P1750">
        <v>116</v>
      </c>
      <c r="Q1750" t="s">
        <v>3543</v>
      </c>
    </row>
    <row r="1751" spans="1:17" x14ac:dyDescent="0.3">
      <c r="A1751" t="s">
        <v>17</v>
      </c>
      <c r="B1751" t="str">
        <f>"688058"</f>
        <v>688058</v>
      </c>
      <c r="C1751" t="s">
        <v>3544</v>
      </c>
      <c r="D1751" t="s">
        <v>212</v>
      </c>
      <c r="F1751">
        <v>-51373972</v>
      </c>
      <c r="G1751">
        <v>-18585571</v>
      </c>
      <c r="H1751">
        <v>8460435</v>
      </c>
      <c r="P1751">
        <v>96</v>
      </c>
      <c r="Q1751" t="s">
        <v>3545</v>
      </c>
    </row>
    <row r="1752" spans="1:17" x14ac:dyDescent="0.3">
      <c r="A1752" t="s">
        <v>17</v>
      </c>
      <c r="B1752" t="str">
        <f>"688059"</f>
        <v>688059</v>
      </c>
      <c r="C1752" t="s">
        <v>3546</v>
      </c>
      <c r="D1752" t="s">
        <v>78</v>
      </c>
      <c r="F1752">
        <v>24285186</v>
      </c>
      <c r="G1752">
        <v>-20200036</v>
      </c>
      <c r="H1752">
        <v>28738000</v>
      </c>
      <c r="P1752">
        <v>105</v>
      </c>
      <c r="Q1752" t="s">
        <v>3547</v>
      </c>
    </row>
    <row r="1753" spans="1:17" x14ac:dyDescent="0.3">
      <c r="A1753" t="s">
        <v>17</v>
      </c>
      <c r="B1753" t="str">
        <f>"688060"</f>
        <v>688060</v>
      </c>
      <c r="C1753" t="s">
        <v>3548</v>
      </c>
      <c r="D1753" t="s">
        <v>212</v>
      </c>
      <c r="F1753">
        <v>-91279007</v>
      </c>
      <c r="G1753">
        <v>2801711</v>
      </c>
      <c r="H1753">
        <v>14170792</v>
      </c>
      <c r="P1753">
        <v>76</v>
      </c>
      <c r="Q1753" t="s">
        <v>3549</v>
      </c>
    </row>
    <row r="1754" spans="1:17" x14ac:dyDescent="0.3">
      <c r="A1754" t="s">
        <v>17</v>
      </c>
      <c r="B1754" t="str">
        <f>"688062"</f>
        <v>688062</v>
      </c>
      <c r="C1754" t="s">
        <v>3550</v>
      </c>
      <c r="D1754" t="s">
        <v>113</v>
      </c>
      <c r="F1754">
        <v>-404815190</v>
      </c>
      <c r="G1754">
        <v>-469510545</v>
      </c>
      <c r="P1754">
        <v>14</v>
      </c>
      <c r="Q1754" t="s">
        <v>3551</v>
      </c>
    </row>
    <row r="1755" spans="1:17" x14ac:dyDescent="0.3">
      <c r="A1755" t="s">
        <v>17</v>
      </c>
      <c r="B1755" t="str">
        <f>"688063"</f>
        <v>688063</v>
      </c>
      <c r="C1755" t="s">
        <v>3552</v>
      </c>
      <c r="D1755" t="s">
        <v>188</v>
      </c>
      <c r="F1755">
        <v>-359929338</v>
      </c>
      <c r="G1755">
        <v>151406390</v>
      </c>
      <c r="H1755">
        <v>158232300</v>
      </c>
      <c r="P1755">
        <v>212</v>
      </c>
      <c r="Q1755" t="s">
        <v>3553</v>
      </c>
    </row>
    <row r="1756" spans="1:17" x14ac:dyDescent="0.3">
      <c r="A1756" t="s">
        <v>17</v>
      </c>
      <c r="B1756" t="str">
        <f>"688065"</f>
        <v>688065</v>
      </c>
      <c r="C1756" t="s">
        <v>3554</v>
      </c>
      <c r="D1756" t="s">
        <v>133</v>
      </c>
      <c r="F1756">
        <v>-171738591</v>
      </c>
      <c r="G1756">
        <v>-11305314</v>
      </c>
      <c r="H1756">
        <v>-21035369</v>
      </c>
      <c r="P1756">
        <v>107</v>
      </c>
      <c r="Q1756" t="s">
        <v>3555</v>
      </c>
    </row>
    <row r="1757" spans="1:17" x14ac:dyDescent="0.3">
      <c r="A1757" t="s">
        <v>17</v>
      </c>
      <c r="B1757" t="str">
        <f>"688066"</f>
        <v>688066</v>
      </c>
      <c r="C1757" t="s">
        <v>3556</v>
      </c>
      <c r="D1757" t="s">
        <v>212</v>
      </c>
      <c r="F1757">
        <v>-864092352</v>
      </c>
      <c r="G1757">
        <v>-89400098</v>
      </c>
      <c r="H1757">
        <v>-196850819</v>
      </c>
      <c r="I1757">
        <v>-128896922</v>
      </c>
      <c r="P1757">
        <v>159</v>
      </c>
      <c r="Q1757" t="s">
        <v>3557</v>
      </c>
    </row>
    <row r="1758" spans="1:17" x14ac:dyDescent="0.3">
      <c r="A1758" t="s">
        <v>17</v>
      </c>
      <c r="B1758" t="str">
        <f>"688067"</f>
        <v>688067</v>
      </c>
      <c r="C1758" t="s">
        <v>3558</v>
      </c>
      <c r="D1758" t="s">
        <v>113</v>
      </c>
      <c r="F1758">
        <v>5224880</v>
      </c>
      <c r="P1758">
        <v>35</v>
      </c>
      <c r="Q1758" t="s">
        <v>3559</v>
      </c>
    </row>
    <row r="1759" spans="1:17" x14ac:dyDescent="0.3">
      <c r="A1759" t="s">
        <v>17</v>
      </c>
      <c r="B1759" t="str">
        <f>"688068"</f>
        <v>688068</v>
      </c>
      <c r="C1759" t="s">
        <v>3560</v>
      </c>
      <c r="D1759" t="s">
        <v>113</v>
      </c>
      <c r="F1759">
        <v>1133982040</v>
      </c>
      <c r="G1759">
        <v>-111389618</v>
      </c>
      <c r="H1759">
        <v>-61714511</v>
      </c>
      <c r="I1759">
        <v>351591</v>
      </c>
      <c r="P1759">
        <v>254</v>
      </c>
      <c r="Q1759" t="s">
        <v>3561</v>
      </c>
    </row>
    <row r="1760" spans="1:17" x14ac:dyDescent="0.3">
      <c r="A1760" t="s">
        <v>17</v>
      </c>
      <c r="B1760" t="str">
        <f>"688069"</f>
        <v>688069</v>
      </c>
      <c r="C1760" t="s">
        <v>3562</v>
      </c>
      <c r="D1760" t="s">
        <v>33</v>
      </c>
      <c r="F1760">
        <v>-147577293</v>
      </c>
      <c r="G1760">
        <v>-116873283</v>
      </c>
      <c r="H1760">
        <v>12619682</v>
      </c>
      <c r="P1760">
        <v>79</v>
      </c>
      <c r="Q1760" t="s">
        <v>3563</v>
      </c>
    </row>
    <row r="1761" spans="1:17" x14ac:dyDescent="0.3">
      <c r="A1761" t="s">
        <v>17</v>
      </c>
      <c r="B1761" t="str">
        <f>"688070"</f>
        <v>688070</v>
      </c>
      <c r="C1761" t="s">
        <v>3564</v>
      </c>
      <c r="D1761" t="s">
        <v>92</v>
      </c>
      <c r="F1761">
        <v>-194692938</v>
      </c>
      <c r="G1761">
        <v>-79145719</v>
      </c>
      <c r="H1761">
        <v>-19648800</v>
      </c>
      <c r="P1761">
        <v>43</v>
      </c>
      <c r="Q1761" t="s">
        <v>3565</v>
      </c>
    </row>
    <row r="1762" spans="1:17" x14ac:dyDescent="0.3">
      <c r="A1762" t="s">
        <v>17</v>
      </c>
      <c r="B1762" t="str">
        <f>"688071"</f>
        <v>688071</v>
      </c>
      <c r="C1762" t="s">
        <v>3566</v>
      </c>
      <c r="D1762" t="s">
        <v>78</v>
      </c>
      <c r="F1762">
        <v>-140985234</v>
      </c>
      <c r="G1762">
        <v>1106184</v>
      </c>
      <c r="P1762">
        <v>28</v>
      </c>
      <c r="Q1762" t="s">
        <v>3567</v>
      </c>
    </row>
    <row r="1763" spans="1:17" x14ac:dyDescent="0.3">
      <c r="A1763" t="s">
        <v>17</v>
      </c>
      <c r="B1763" t="str">
        <f>"688072"</f>
        <v>688072</v>
      </c>
      <c r="C1763" t="s">
        <v>3568</v>
      </c>
      <c r="F1763">
        <v>-180245045</v>
      </c>
      <c r="P1763">
        <v>6</v>
      </c>
      <c r="Q1763" t="s">
        <v>3569</v>
      </c>
    </row>
    <row r="1764" spans="1:17" x14ac:dyDescent="0.3">
      <c r="A1764" t="s">
        <v>17</v>
      </c>
      <c r="B1764" t="str">
        <f>"688075"</f>
        <v>688075</v>
      </c>
      <c r="C1764" t="s">
        <v>3570</v>
      </c>
      <c r="D1764" t="s">
        <v>113</v>
      </c>
      <c r="F1764">
        <v>234640092</v>
      </c>
      <c r="G1764">
        <v>157893993</v>
      </c>
      <c r="P1764">
        <v>37</v>
      </c>
      <c r="Q1764" t="s">
        <v>3571</v>
      </c>
    </row>
    <row r="1765" spans="1:17" x14ac:dyDescent="0.3">
      <c r="A1765" t="s">
        <v>17</v>
      </c>
      <c r="B1765" t="str">
        <f>"688076"</f>
        <v>688076</v>
      </c>
      <c r="C1765" t="s">
        <v>3572</v>
      </c>
      <c r="D1765" t="s">
        <v>113</v>
      </c>
      <c r="F1765">
        <v>-40046754</v>
      </c>
      <c r="G1765">
        <v>29047068</v>
      </c>
      <c r="P1765">
        <v>53</v>
      </c>
      <c r="Q1765" t="s">
        <v>3573</v>
      </c>
    </row>
    <row r="1766" spans="1:17" x14ac:dyDescent="0.3">
      <c r="A1766" t="s">
        <v>17</v>
      </c>
      <c r="B1766" t="str">
        <f>"688077"</f>
        <v>688077</v>
      </c>
      <c r="C1766" t="s">
        <v>3574</v>
      </c>
      <c r="D1766" t="s">
        <v>234</v>
      </c>
      <c r="F1766">
        <v>-229736822</v>
      </c>
      <c r="G1766">
        <v>-51172907</v>
      </c>
      <c r="H1766">
        <v>-35882313</v>
      </c>
      <c r="P1766">
        <v>78</v>
      </c>
      <c r="Q1766" t="s">
        <v>3575</v>
      </c>
    </row>
    <row r="1767" spans="1:17" x14ac:dyDescent="0.3">
      <c r="A1767" t="s">
        <v>17</v>
      </c>
      <c r="B1767" t="str">
        <f>"688078"</f>
        <v>688078</v>
      </c>
      <c r="C1767" t="s">
        <v>3576</v>
      </c>
      <c r="D1767" t="s">
        <v>212</v>
      </c>
      <c r="F1767">
        <v>-28230807</v>
      </c>
      <c r="G1767">
        <v>-20435706</v>
      </c>
      <c r="H1767">
        <v>9884286</v>
      </c>
      <c r="I1767">
        <v>-12020479</v>
      </c>
      <c r="P1767">
        <v>84</v>
      </c>
      <c r="Q1767" t="s">
        <v>3577</v>
      </c>
    </row>
    <row r="1768" spans="1:17" x14ac:dyDescent="0.3">
      <c r="A1768" t="s">
        <v>17</v>
      </c>
      <c r="B1768" t="str">
        <f>"688079"</f>
        <v>688079</v>
      </c>
      <c r="C1768" t="s">
        <v>3578</v>
      </c>
      <c r="D1768" t="s">
        <v>150</v>
      </c>
      <c r="F1768">
        <v>-90213142</v>
      </c>
      <c r="G1768">
        <v>-197751701</v>
      </c>
      <c r="P1768">
        <v>36</v>
      </c>
      <c r="Q1768" t="s">
        <v>3579</v>
      </c>
    </row>
    <row r="1769" spans="1:17" x14ac:dyDescent="0.3">
      <c r="A1769" t="s">
        <v>17</v>
      </c>
      <c r="B1769" t="str">
        <f>"688080"</f>
        <v>688080</v>
      </c>
      <c r="C1769" t="s">
        <v>3580</v>
      </c>
      <c r="D1769" t="s">
        <v>100</v>
      </c>
      <c r="F1769">
        <v>10129100</v>
      </c>
      <c r="G1769">
        <v>17438419</v>
      </c>
      <c r="H1769">
        <v>-14250654</v>
      </c>
      <c r="I1769">
        <v>3919804</v>
      </c>
      <c r="P1769">
        <v>87</v>
      </c>
      <c r="Q1769" t="s">
        <v>3581</v>
      </c>
    </row>
    <row r="1770" spans="1:17" x14ac:dyDescent="0.3">
      <c r="A1770" t="s">
        <v>17</v>
      </c>
      <c r="B1770" t="str">
        <f>"688081"</f>
        <v>688081</v>
      </c>
      <c r="C1770" t="s">
        <v>3582</v>
      </c>
      <c r="D1770" t="s">
        <v>92</v>
      </c>
      <c r="F1770">
        <v>-85005380</v>
      </c>
      <c r="G1770">
        <v>-60862167</v>
      </c>
      <c r="H1770">
        <v>13960217</v>
      </c>
      <c r="I1770">
        <v>-7420800</v>
      </c>
      <c r="P1770">
        <v>55</v>
      </c>
      <c r="Q1770" t="s">
        <v>3583</v>
      </c>
    </row>
    <row r="1771" spans="1:17" x14ac:dyDescent="0.3">
      <c r="A1771" t="s">
        <v>17</v>
      </c>
      <c r="B1771" t="str">
        <f>"688082"</f>
        <v>688082</v>
      </c>
      <c r="C1771" t="s">
        <v>3584</v>
      </c>
      <c r="D1771" t="s">
        <v>150</v>
      </c>
      <c r="F1771">
        <v>10028768</v>
      </c>
      <c r="P1771">
        <v>35</v>
      </c>
      <c r="Q1771" t="s">
        <v>3585</v>
      </c>
    </row>
    <row r="1772" spans="1:17" x14ac:dyDescent="0.3">
      <c r="A1772" t="s">
        <v>17</v>
      </c>
      <c r="B1772" t="str">
        <f>"688083"</f>
        <v>688083</v>
      </c>
      <c r="C1772" t="s">
        <v>3586</v>
      </c>
      <c r="D1772" t="s">
        <v>212</v>
      </c>
      <c r="F1772">
        <v>-217229150</v>
      </c>
      <c r="G1772">
        <v>23376056</v>
      </c>
      <c r="H1772">
        <v>-29476591</v>
      </c>
      <c r="P1772">
        <v>130</v>
      </c>
      <c r="Q1772" t="s">
        <v>3587</v>
      </c>
    </row>
    <row r="1773" spans="1:17" x14ac:dyDescent="0.3">
      <c r="A1773" t="s">
        <v>17</v>
      </c>
      <c r="B1773" t="str">
        <f>"688085"</f>
        <v>688085</v>
      </c>
      <c r="C1773" t="s">
        <v>3588</v>
      </c>
      <c r="D1773" t="s">
        <v>113</v>
      </c>
      <c r="F1773">
        <v>2639811</v>
      </c>
      <c r="G1773">
        <v>24709237</v>
      </c>
      <c r="H1773">
        <v>40204800</v>
      </c>
      <c r="I1773">
        <v>5019200</v>
      </c>
      <c r="P1773">
        <v>197</v>
      </c>
      <c r="Q1773" t="s">
        <v>3589</v>
      </c>
    </row>
    <row r="1774" spans="1:17" x14ac:dyDescent="0.3">
      <c r="A1774" t="s">
        <v>17</v>
      </c>
      <c r="B1774" t="str">
        <f>"688086"</f>
        <v>688086</v>
      </c>
      <c r="C1774" t="s">
        <v>3590</v>
      </c>
      <c r="D1774" t="s">
        <v>212</v>
      </c>
      <c r="F1774">
        <v>-184032044</v>
      </c>
      <c r="G1774">
        <v>-319927762</v>
      </c>
      <c r="H1774">
        <v>-27238123</v>
      </c>
      <c r="I1774">
        <v>-41688800</v>
      </c>
      <c r="P1774">
        <v>84</v>
      </c>
      <c r="Q1774" t="s">
        <v>3591</v>
      </c>
    </row>
    <row r="1775" spans="1:17" x14ac:dyDescent="0.3">
      <c r="A1775" t="s">
        <v>17</v>
      </c>
      <c r="B1775" t="str">
        <f>"688087"</f>
        <v>688087</v>
      </c>
      <c r="C1775" t="s">
        <v>3592</v>
      </c>
      <c r="D1775" t="s">
        <v>133</v>
      </c>
      <c r="F1775">
        <v>-30257272</v>
      </c>
      <c r="G1775">
        <v>48385890</v>
      </c>
      <c r="P1775">
        <v>36</v>
      </c>
      <c r="Q1775" t="s">
        <v>3593</v>
      </c>
    </row>
    <row r="1776" spans="1:17" x14ac:dyDescent="0.3">
      <c r="A1776" t="s">
        <v>17</v>
      </c>
      <c r="B1776" t="str">
        <f>"688088"</f>
        <v>688088</v>
      </c>
      <c r="C1776" t="s">
        <v>3594</v>
      </c>
      <c r="D1776" t="s">
        <v>212</v>
      </c>
      <c r="F1776">
        <v>18962889</v>
      </c>
      <c r="G1776">
        <v>28736813</v>
      </c>
      <c r="H1776">
        <v>132497035</v>
      </c>
      <c r="I1776">
        <v>166425336</v>
      </c>
      <c r="P1776">
        <v>271</v>
      </c>
      <c r="Q1776" t="s">
        <v>3595</v>
      </c>
    </row>
    <row r="1777" spans="1:17" x14ac:dyDescent="0.3">
      <c r="A1777" t="s">
        <v>17</v>
      </c>
      <c r="B1777" t="str">
        <f>"688089"</f>
        <v>688089</v>
      </c>
      <c r="C1777" t="s">
        <v>3596</v>
      </c>
      <c r="D1777" t="s">
        <v>133</v>
      </c>
      <c r="F1777">
        <v>-47467767</v>
      </c>
      <c r="G1777">
        <v>99511287</v>
      </c>
      <c r="H1777">
        <v>73112300</v>
      </c>
      <c r="I1777">
        <v>60213700</v>
      </c>
      <c r="P1777">
        <v>150</v>
      </c>
      <c r="Q1777" t="s">
        <v>3597</v>
      </c>
    </row>
    <row r="1778" spans="1:17" x14ac:dyDescent="0.3">
      <c r="A1778" t="s">
        <v>17</v>
      </c>
      <c r="B1778" t="str">
        <f>"688090"</f>
        <v>688090</v>
      </c>
      <c r="C1778" t="s">
        <v>3598</v>
      </c>
      <c r="D1778" t="s">
        <v>78</v>
      </c>
      <c r="F1778">
        <v>-134838594</v>
      </c>
      <c r="G1778">
        <v>-116143086</v>
      </c>
      <c r="H1778">
        <v>-61735027</v>
      </c>
      <c r="I1778">
        <v>-179193805</v>
      </c>
      <c r="P1778">
        <v>63</v>
      </c>
      <c r="Q1778" t="s">
        <v>3599</v>
      </c>
    </row>
    <row r="1779" spans="1:17" x14ac:dyDescent="0.3">
      <c r="A1779" t="s">
        <v>17</v>
      </c>
      <c r="B1779" t="str">
        <f>"688091"</f>
        <v>688091</v>
      </c>
      <c r="C1779" t="s">
        <v>3600</v>
      </c>
      <c r="D1779" t="s">
        <v>113</v>
      </c>
      <c r="F1779">
        <v>-43553857</v>
      </c>
      <c r="G1779">
        <v>-18722726</v>
      </c>
      <c r="P1779">
        <v>14</v>
      </c>
      <c r="Q1779" t="s">
        <v>3601</v>
      </c>
    </row>
    <row r="1780" spans="1:17" x14ac:dyDescent="0.3">
      <c r="A1780" t="s">
        <v>17</v>
      </c>
      <c r="B1780" t="str">
        <f>"688092"</f>
        <v>688092</v>
      </c>
      <c r="C1780" t="s">
        <v>3602</v>
      </c>
      <c r="D1780" t="s">
        <v>78</v>
      </c>
      <c r="F1780">
        <v>-23414962</v>
      </c>
      <c r="G1780">
        <v>7112654</v>
      </c>
      <c r="P1780">
        <v>30</v>
      </c>
      <c r="Q1780" t="s">
        <v>3603</v>
      </c>
    </row>
    <row r="1781" spans="1:17" x14ac:dyDescent="0.3">
      <c r="A1781" t="s">
        <v>17</v>
      </c>
      <c r="B1781" t="str">
        <f>"688093"</f>
        <v>688093</v>
      </c>
      <c r="C1781" t="s">
        <v>3604</v>
      </c>
      <c r="D1781" t="s">
        <v>150</v>
      </c>
      <c r="F1781">
        <v>-37894651</v>
      </c>
      <c r="G1781">
        <v>5574817</v>
      </c>
      <c r="H1781">
        <v>-29453931</v>
      </c>
      <c r="P1781">
        <v>59</v>
      </c>
      <c r="Q1781" t="s">
        <v>3605</v>
      </c>
    </row>
    <row r="1782" spans="1:17" x14ac:dyDescent="0.3">
      <c r="A1782" t="s">
        <v>17</v>
      </c>
      <c r="B1782" t="str">
        <f>"688095"</f>
        <v>688095</v>
      </c>
      <c r="C1782" t="s">
        <v>3606</v>
      </c>
      <c r="D1782" t="s">
        <v>212</v>
      </c>
      <c r="F1782">
        <v>-21818216</v>
      </c>
      <c r="G1782">
        <v>78917124</v>
      </c>
      <c r="H1782">
        <v>65320453</v>
      </c>
      <c r="P1782">
        <v>141</v>
      </c>
      <c r="Q1782" t="s">
        <v>3607</v>
      </c>
    </row>
    <row r="1783" spans="1:17" x14ac:dyDescent="0.3">
      <c r="A1783" t="s">
        <v>17</v>
      </c>
      <c r="B1783" t="str">
        <f>"688096"</f>
        <v>688096</v>
      </c>
      <c r="C1783" t="s">
        <v>3608</v>
      </c>
      <c r="D1783" t="s">
        <v>33</v>
      </c>
      <c r="F1783">
        <v>-171731560</v>
      </c>
      <c r="G1783">
        <v>-133111973</v>
      </c>
      <c r="H1783">
        <v>-58416600</v>
      </c>
      <c r="I1783">
        <v>-22956800</v>
      </c>
      <c r="P1783">
        <v>73</v>
      </c>
      <c r="Q1783" t="s">
        <v>3609</v>
      </c>
    </row>
    <row r="1784" spans="1:17" x14ac:dyDescent="0.3">
      <c r="A1784" t="s">
        <v>17</v>
      </c>
      <c r="B1784" t="str">
        <f>"688097"</f>
        <v>688097</v>
      </c>
      <c r="C1784" t="s">
        <v>3610</v>
      </c>
      <c r="D1784" t="s">
        <v>78</v>
      </c>
      <c r="F1784">
        <v>-1056966599</v>
      </c>
      <c r="G1784">
        <v>-446668950</v>
      </c>
      <c r="P1784">
        <v>25</v>
      </c>
      <c r="Q1784" t="s">
        <v>3611</v>
      </c>
    </row>
    <row r="1785" spans="1:17" x14ac:dyDescent="0.3">
      <c r="A1785" t="s">
        <v>17</v>
      </c>
      <c r="B1785" t="str">
        <f>"688098"</f>
        <v>688098</v>
      </c>
      <c r="C1785" t="s">
        <v>3612</v>
      </c>
      <c r="D1785" t="s">
        <v>205</v>
      </c>
      <c r="F1785">
        <v>-123932751</v>
      </c>
      <c r="G1785">
        <v>-103372673</v>
      </c>
      <c r="H1785">
        <v>-115451747</v>
      </c>
      <c r="I1785">
        <v>-57900607</v>
      </c>
      <c r="P1785">
        <v>73</v>
      </c>
      <c r="Q1785" t="s">
        <v>3613</v>
      </c>
    </row>
    <row r="1786" spans="1:17" x14ac:dyDescent="0.3">
      <c r="A1786" t="s">
        <v>17</v>
      </c>
      <c r="B1786" t="str">
        <f>"688099"</f>
        <v>688099</v>
      </c>
      <c r="C1786" t="s">
        <v>3614</v>
      </c>
      <c r="D1786" t="s">
        <v>150</v>
      </c>
      <c r="F1786">
        <v>34513406</v>
      </c>
      <c r="G1786">
        <v>517408336</v>
      </c>
      <c r="H1786">
        <v>-10233114</v>
      </c>
      <c r="I1786">
        <v>-306992797</v>
      </c>
      <c r="P1786">
        <v>301</v>
      </c>
      <c r="Q1786" t="s">
        <v>3615</v>
      </c>
    </row>
    <row r="1787" spans="1:17" x14ac:dyDescent="0.3">
      <c r="A1787" t="s">
        <v>17</v>
      </c>
      <c r="B1787" t="str">
        <f>"688100"</f>
        <v>688100</v>
      </c>
      <c r="C1787" t="s">
        <v>3616</v>
      </c>
      <c r="D1787" t="s">
        <v>100</v>
      </c>
      <c r="F1787">
        <v>60251578</v>
      </c>
      <c r="G1787">
        <v>52584304</v>
      </c>
      <c r="H1787">
        <v>85797468</v>
      </c>
      <c r="I1787">
        <v>92340700</v>
      </c>
      <c r="P1787">
        <v>104</v>
      </c>
      <c r="Q1787" t="s">
        <v>3617</v>
      </c>
    </row>
    <row r="1788" spans="1:17" x14ac:dyDescent="0.3">
      <c r="A1788" t="s">
        <v>17</v>
      </c>
      <c r="B1788" t="str">
        <f>"688101"</f>
        <v>688101</v>
      </c>
      <c r="C1788" t="s">
        <v>3618</v>
      </c>
      <c r="D1788" t="s">
        <v>33</v>
      </c>
      <c r="F1788">
        <v>-96887255</v>
      </c>
      <c r="G1788">
        <v>-51992827</v>
      </c>
      <c r="H1788">
        <v>186094652</v>
      </c>
      <c r="I1788">
        <v>-55819196</v>
      </c>
      <c r="P1788">
        <v>77</v>
      </c>
      <c r="Q1788" t="s">
        <v>3619</v>
      </c>
    </row>
    <row r="1789" spans="1:17" x14ac:dyDescent="0.3">
      <c r="A1789" t="s">
        <v>17</v>
      </c>
      <c r="B1789" t="str">
        <f>"688102"</f>
        <v>688102</v>
      </c>
      <c r="C1789" t="s">
        <v>3620</v>
      </c>
      <c r="F1789">
        <v>-271247612</v>
      </c>
      <c r="G1789">
        <v>-95554941</v>
      </c>
      <c r="P1789">
        <v>3</v>
      </c>
      <c r="Q1789" t="s">
        <v>3621</v>
      </c>
    </row>
    <row r="1790" spans="1:17" x14ac:dyDescent="0.3">
      <c r="A1790" t="s">
        <v>17</v>
      </c>
      <c r="B1790" t="str">
        <f>"688103"</f>
        <v>688103</v>
      </c>
      <c r="C1790" t="s">
        <v>3622</v>
      </c>
      <c r="D1790" t="s">
        <v>150</v>
      </c>
      <c r="F1790">
        <v>-70662975</v>
      </c>
      <c r="G1790">
        <v>-34026936</v>
      </c>
      <c r="P1790">
        <v>13</v>
      </c>
      <c r="Q1790" t="s">
        <v>3623</v>
      </c>
    </row>
    <row r="1791" spans="1:17" x14ac:dyDescent="0.3">
      <c r="A1791" t="s">
        <v>17</v>
      </c>
      <c r="B1791" t="str">
        <f>"688105"</f>
        <v>688105</v>
      </c>
      <c r="C1791" t="s">
        <v>3624</v>
      </c>
      <c r="D1791" t="s">
        <v>113</v>
      </c>
      <c r="F1791">
        <v>84530096</v>
      </c>
      <c r="P1791">
        <v>51</v>
      </c>
      <c r="Q1791" t="s">
        <v>3625</v>
      </c>
    </row>
    <row r="1792" spans="1:17" x14ac:dyDescent="0.3">
      <c r="A1792" t="s">
        <v>17</v>
      </c>
      <c r="B1792" t="str">
        <f>"688106"</f>
        <v>688106</v>
      </c>
      <c r="C1792" t="s">
        <v>3626</v>
      </c>
      <c r="D1792" t="s">
        <v>150</v>
      </c>
      <c r="F1792">
        <v>-61178737</v>
      </c>
      <c r="G1792">
        <v>80241927</v>
      </c>
      <c r="H1792">
        <v>190016762</v>
      </c>
      <c r="P1792">
        <v>137</v>
      </c>
      <c r="Q1792" t="s">
        <v>3627</v>
      </c>
    </row>
    <row r="1793" spans="1:17" x14ac:dyDescent="0.3">
      <c r="A1793" t="s">
        <v>17</v>
      </c>
      <c r="B1793" t="str">
        <f>"688107"</f>
        <v>688107</v>
      </c>
      <c r="C1793" t="s">
        <v>3628</v>
      </c>
      <c r="D1793" t="s">
        <v>150</v>
      </c>
      <c r="F1793">
        <v>-184521999</v>
      </c>
      <c r="G1793">
        <v>-10227875</v>
      </c>
      <c r="P1793">
        <v>31</v>
      </c>
      <c r="Q1793" t="s">
        <v>3629</v>
      </c>
    </row>
    <row r="1794" spans="1:17" x14ac:dyDescent="0.3">
      <c r="A1794" t="s">
        <v>17</v>
      </c>
      <c r="B1794" t="str">
        <f>"688108"</f>
        <v>688108</v>
      </c>
      <c r="C1794" t="s">
        <v>3630</v>
      </c>
      <c r="D1794" t="s">
        <v>113</v>
      </c>
      <c r="F1794">
        <v>-184329075</v>
      </c>
      <c r="G1794">
        <v>-10048006</v>
      </c>
      <c r="H1794">
        <v>-53864697</v>
      </c>
      <c r="I1794">
        <v>-20194022</v>
      </c>
      <c r="P1794">
        <v>104</v>
      </c>
      <c r="Q1794" t="s">
        <v>3631</v>
      </c>
    </row>
    <row r="1795" spans="1:17" x14ac:dyDescent="0.3">
      <c r="A1795" t="s">
        <v>17</v>
      </c>
      <c r="B1795" t="str">
        <f>"688109"</f>
        <v>688109</v>
      </c>
      <c r="C1795" t="s">
        <v>3632</v>
      </c>
      <c r="D1795" t="s">
        <v>212</v>
      </c>
      <c r="F1795">
        <v>-73167692</v>
      </c>
      <c r="G1795">
        <v>14613452</v>
      </c>
      <c r="P1795">
        <v>73</v>
      </c>
      <c r="Q1795" t="s">
        <v>3633</v>
      </c>
    </row>
    <row r="1796" spans="1:17" x14ac:dyDescent="0.3">
      <c r="A1796" t="s">
        <v>17</v>
      </c>
      <c r="B1796" t="str">
        <f>"688110"</f>
        <v>688110</v>
      </c>
      <c r="C1796" t="s">
        <v>3634</v>
      </c>
      <c r="D1796" t="s">
        <v>150</v>
      </c>
      <c r="F1796">
        <v>3393802</v>
      </c>
      <c r="G1796">
        <v>-11417960</v>
      </c>
      <c r="P1796">
        <v>28</v>
      </c>
      <c r="Q1796" t="s">
        <v>3635</v>
      </c>
    </row>
    <row r="1797" spans="1:17" x14ac:dyDescent="0.3">
      <c r="A1797" t="s">
        <v>17</v>
      </c>
      <c r="B1797" t="str">
        <f>"688111"</f>
        <v>688111</v>
      </c>
      <c r="C1797" t="s">
        <v>3636</v>
      </c>
      <c r="D1797" t="s">
        <v>212</v>
      </c>
      <c r="F1797">
        <v>1092435200</v>
      </c>
      <c r="G1797">
        <v>777748430</v>
      </c>
      <c r="H1797">
        <v>191806162</v>
      </c>
      <c r="I1797">
        <v>156873369</v>
      </c>
      <c r="P1797">
        <v>964</v>
      </c>
      <c r="Q1797" t="s">
        <v>3637</v>
      </c>
    </row>
    <row r="1798" spans="1:17" x14ac:dyDescent="0.3">
      <c r="A1798" t="s">
        <v>17</v>
      </c>
      <c r="B1798" t="str">
        <f>"688112"</f>
        <v>688112</v>
      </c>
      <c r="C1798" t="s">
        <v>3638</v>
      </c>
      <c r="D1798" t="s">
        <v>78</v>
      </c>
      <c r="F1798">
        <v>1012495</v>
      </c>
      <c r="G1798">
        <v>23766862</v>
      </c>
      <c r="P1798">
        <v>42</v>
      </c>
      <c r="Q1798" t="s">
        <v>3639</v>
      </c>
    </row>
    <row r="1799" spans="1:17" x14ac:dyDescent="0.3">
      <c r="A1799" t="s">
        <v>17</v>
      </c>
      <c r="B1799" t="str">
        <f>"688113"</f>
        <v>688113</v>
      </c>
      <c r="C1799" t="s">
        <v>3640</v>
      </c>
      <c r="D1799" t="s">
        <v>78</v>
      </c>
      <c r="F1799">
        <v>4470088</v>
      </c>
      <c r="G1799">
        <v>26698793</v>
      </c>
      <c r="P1799">
        <v>40</v>
      </c>
      <c r="Q1799" t="s">
        <v>3641</v>
      </c>
    </row>
    <row r="1800" spans="1:17" x14ac:dyDescent="0.3">
      <c r="A1800" t="s">
        <v>17</v>
      </c>
      <c r="B1800" t="str">
        <f>"688115"</f>
        <v>688115</v>
      </c>
      <c r="C1800" t="s">
        <v>3642</v>
      </c>
      <c r="F1800">
        <v>-78841927</v>
      </c>
      <c r="G1800">
        <v>-35056526</v>
      </c>
      <c r="P1800">
        <v>7</v>
      </c>
      <c r="Q1800" t="s">
        <v>3643</v>
      </c>
    </row>
    <row r="1801" spans="1:17" x14ac:dyDescent="0.3">
      <c r="A1801" t="s">
        <v>17</v>
      </c>
      <c r="B1801" t="str">
        <f>"688116"</f>
        <v>688116</v>
      </c>
      <c r="C1801" t="s">
        <v>3644</v>
      </c>
      <c r="D1801" t="s">
        <v>188</v>
      </c>
      <c r="F1801">
        <v>-167097896</v>
      </c>
      <c r="G1801">
        <v>-46658383</v>
      </c>
      <c r="H1801">
        <v>22358869</v>
      </c>
      <c r="I1801">
        <v>-127879884</v>
      </c>
      <c r="P1801">
        <v>197</v>
      </c>
      <c r="Q1801" t="s">
        <v>3645</v>
      </c>
    </row>
    <row r="1802" spans="1:17" x14ac:dyDescent="0.3">
      <c r="A1802" t="s">
        <v>17</v>
      </c>
      <c r="B1802" t="str">
        <f>"688117"</f>
        <v>688117</v>
      </c>
      <c r="C1802" t="s">
        <v>3646</v>
      </c>
      <c r="D1802" t="s">
        <v>113</v>
      </c>
      <c r="F1802">
        <v>-25260848</v>
      </c>
      <c r="P1802">
        <v>29</v>
      </c>
      <c r="Q1802" t="s">
        <v>3647</v>
      </c>
    </row>
    <row r="1803" spans="1:17" x14ac:dyDescent="0.3">
      <c r="A1803" t="s">
        <v>17</v>
      </c>
      <c r="B1803" t="str">
        <f>"688118"</f>
        <v>688118</v>
      </c>
      <c r="C1803" t="s">
        <v>3648</v>
      </c>
      <c r="D1803" t="s">
        <v>212</v>
      </c>
      <c r="F1803">
        <v>-23239681</v>
      </c>
      <c r="G1803">
        <v>-72438798</v>
      </c>
      <c r="H1803">
        <v>-64575885</v>
      </c>
      <c r="I1803">
        <v>-74937928</v>
      </c>
      <c r="P1803">
        <v>71</v>
      </c>
      <c r="Q1803" t="s">
        <v>3649</v>
      </c>
    </row>
    <row r="1804" spans="1:17" x14ac:dyDescent="0.3">
      <c r="A1804" t="s">
        <v>17</v>
      </c>
      <c r="B1804" t="str">
        <f>"688121"</f>
        <v>688121</v>
      </c>
      <c r="C1804" t="s">
        <v>3650</v>
      </c>
      <c r="D1804" t="s">
        <v>78</v>
      </c>
      <c r="F1804">
        <v>-178870639</v>
      </c>
      <c r="G1804">
        <v>-60836896</v>
      </c>
      <c r="P1804">
        <v>24</v>
      </c>
      <c r="Q1804" t="s">
        <v>3651</v>
      </c>
    </row>
    <row r="1805" spans="1:17" x14ac:dyDescent="0.3">
      <c r="A1805" t="s">
        <v>17</v>
      </c>
      <c r="B1805" t="str">
        <f>"688122"</f>
        <v>688122</v>
      </c>
      <c r="C1805" t="s">
        <v>3652</v>
      </c>
      <c r="D1805" t="s">
        <v>92</v>
      </c>
      <c r="F1805">
        <v>-280804510</v>
      </c>
      <c r="G1805">
        <v>-446668531</v>
      </c>
      <c r="H1805">
        <v>-452898873</v>
      </c>
      <c r="I1805">
        <v>-7532594</v>
      </c>
      <c r="P1805">
        <v>309</v>
      </c>
      <c r="Q1805" t="s">
        <v>3653</v>
      </c>
    </row>
    <row r="1806" spans="1:17" x14ac:dyDescent="0.3">
      <c r="A1806" t="s">
        <v>17</v>
      </c>
      <c r="B1806" t="str">
        <f>"688123"</f>
        <v>688123</v>
      </c>
      <c r="C1806" t="s">
        <v>3654</v>
      </c>
      <c r="D1806" t="s">
        <v>150</v>
      </c>
      <c r="F1806">
        <v>-125059444</v>
      </c>
      <c r="G1806">
        <v>61931316</v>
      </c>
      <c r="H1806">
        <v>23262331</v>
      </c>
      <c r="I1806">
        <v>66647300</v>
      </c>
      <c r="P1806">
        <v>163</v>
      </c>
      <c r="Q1806" t="s">
        <v>3655</v>
      </c>
    </row>
    <row r="1807" spans="1:17" x14ac:dyDescent="0.3">
      <c r="A1807" t="s">
        <v>17</v>
      </c>
      <c r="B1807" t="str">
        <f>"688125"</f>
        <v>688125</v>
      </c>
      <c r="C1807" t="s">
        <v>3656</v>
      </c>
      <c r="F1807">
        <v>158933110</v>
      </c>
      <c r="G1807">
        <v>20530398</v>
      </c>
      <c r="P1807">
        <v>2</v>
      </c>
      <c r="Q1807" t="s">
        <v>3657</v>
      </c>
    </row>
    <row r="1808" spans="1:17" x14ac:dyDescent="0.3">
      <c r="A1808" t="s">
        <v>17</v>
      </c>
      <c r="B1808" t="str">
        <f>"688126"</f>
        <v>688126</v>
      </c>
      <c r="C1808" t="s">
        <v>3658</v>
      </c>
      <c r="D1808" t="s">
        <v>150</v>
      </c>
      <c r="F1808">
        <v>-695442057</v>
      </c>
      <c r="G1808">
        <v>-952040412</v>
      </c>
      <c r="H1808">
        <v>-299332103</v>
      </c>
      <c r="P1808">
        <v>329</v>
      </c>
      <c r="Q1808" t="s">
        <v>3659</v>
      </c>
    </row>
    <row r="1809" spans="1:17" x14ac:dyDescent="0.3">
      <c r="A1809" t="s">
        <v>17</v>
      </c>
      <c r="B1809" t="str">
        <f>"688127"</f>
        <v>688127</v>
      </c>
      <c r="C1809" t="s">
        <v>3660</v>
      </c>
      <c r="D1809" t="s">
        <v>150</v>
      </c>
      <c r="F1809">
        <v>82495708</v>
      </c>
      <c r="G1809">
        <v>104391204</v>
      </c>
      <c r="H1809">
        <v>19049537</v>
      </c>
      <c r="P1809">
        <v>86</v>
      </c>
      <c r="Q1809" t="s">
        <v>3661</v>
      </c>
    </row>
    <row r="1810" spans="1:17" x14ac:dyDescent="0.3">
      <c r="A1810" t="s">
        <v>17</v>
      </c>
      <c r="B1810" t="str">
        <f>"688128"</f>
        <v>688128</v>
      </c>
      <c r="C1810" t="s">
        <v>3662</v>
      </c>
      <c r="D1810" t="s">
        <v>78</v>
      </c>
      <c r="F1810">
        <v>-95339900</v>
      </c>
      <c r="G1810">
        <v>29358600</v>
      </c>
      <c r="H1810">
        <v>-32112139</v>
      </c>
      <c r="I1810">
        <v>-75661285</v>
      </c>
      <c r="P1810">
        <v>69</v>
      </c>
      <c r="Q1810" t="s">
        <v>3663</v>
      </c>
    </row>
    <row r="1811" spans="1:17" x14ac:dyDescent="0.3">
      <c r="A1811" t="s">
        <v>17</v>
      </c>
      <c r="B1811" t="str">
        <f>"688129"</f>
        <v>688129</v>
      </c>
      <c r="C1811" t="s">
        <v>3664</v>
      </c>
      <c r="D1811" t="s">
        <v>133</v>
      </c>
      <c r="F1811">
        <v>20035216</v>
      </c>
      <c r="G1811">
        <v>50396339</v>
      </c>
      <c r="H1811">
        <v>10625044</v>
      </c>
      <c r="P1811">
        <v>38</v>
      </c>
      <c r="Q1811" t="s">
        <v>3665</v>
      </c>
    </row>
    <row r="1812" spans="1:17" x14ac:dyDescent="0.3">
      <c r="A1812" t="s">
        <v>17</v>
      </c>
      <c r="B1812" t="str">
        <f>"688131"</f>
        <v>688131</v>
      </c>
      <c r="C1812" t="s">
        <v>3666</v>
      </c>
      <c r="D1812" t="s">
        <v>113</v>
      </c>
      <c r="F1812">
        <v>-76654483</v>
      </c>
      <c r="G1812">
        <v>-29396932</v>
      </c>
      <c r="P1812">
        <v>88</v>
      </c>
      <c r="Q1812" t="s">
        <v>3667</v>
      </c>
    </row>
    <row r="1813" spans="1:17" x14ac:dyDescent="0.3">
      <c r="A1813" t="s">
        <v>17</v>
      </c>
      <c r="B1813" t="str">
        <f>"688133"</f>
        <v>688133</v>
      </c>
      <c r="C1813" t="s">
        <v>3668</v>
      </c>
      <c r="D1813" t="s">
        <v>133</v>
      </c>
      <c r="F1813">
        <v>-427916228</v>
      </c>
      <c r="G1813">
        <v>-266478026</v>
      </c>
      <c r="H1813">
        <v>-170206102</v>
      </c>
      <c r="P1813">
        <v>118</v>
      </c>
      <c r="Q1813" t="s">
        <v>3669</v>
      </c>
    </row>
    <row r="1814" spans="1:17" x14ac:dyDescent="0.3">
      <c r="A1814" t="s">
        <v>17</v>
      </c>
      <c r="B1814" t="str">
        <f>"688135"</f>
        <v>688135</v>
      </c>
      <c r="C1814" t="s">
        <v>3670</v>
      </c>
      <c r="D1814" t="s">
        <v>150</v>
      </c>
      <c r="F1814">
        <v>-217971697</v>
      </c>
      <c r="G1814">
        <v>6581592</v>
      </c>
      <c r="H1814">
        <v>-25970773</v>
      </c>
      <c r="P1814">
        <v>88</v>
      </c>
      <c r="Q1814" t="s">
        <v>3671</v>
      </c>
    </row>
    <row r="1815" spans="1:17" x14ac:dyDescent="0.3">
      <c r="A1815" t="s">
        <v>17</v>
      </c>
      <c r="B1815" t="str">
        <f>"688136"</f>
        <v>688136</v>
      </c>
      <c r="C1815" t="s">
        <v>3672</v>
      </c>
      <c r="D1815" t="s">
        <v>113</v>
      </c>
      <c r="F1815">
        <v>-83259486</v>
      </c>
      <c r="G1815">
        <v>-32133370</v>
      </c>
      <c r="H1815">
        <v>-53392408</v>
      </c>
      <c r="P1815">
        <v>66</v>
      </c>
      <c r="Q1815" t="s">
        <v>3673</v>
      </c>
    </row>
    <row r="1816" spans="1:17" x14ac:dyDescent="0.3">
      <c r="A1816" t="s">
        <v>17</v>
      </c>
      <c r="B1816" t="str">
        <f>"688138"</f>
        <v>688138</v>
      </c>
      <c r="C1816" t="s">
        <v>3674</v>
      </c>
      <c r="D1816" t="s">
        <v>150</v>
      </c>
      <c r="F1816">
        <v>-116879754</v>
      </c>
      <c r="G1816">
        <v>-19022531</v>
      </c>
      <c r="H1816">
        <v>-86136762</v>
      </c>
      <c r="I1816">
        <v>24308788</v>
      </c>
      <c r="P1816">
        <v>92</v>
      </c>
      <c r="Q1816" t="s">
        <v>3675</v>
      </c>
    </row>
    <row r="1817" spans="1:17" x14ac:dyDescent="0.3">
      <c r="A1817" t="s">
        <v>17</v>
      </c>
      <c r="B1817" t="str">
        <f>"688139"</f>
        <v>688139</v>
      </c>
      <c r="C1817" t="s">
        <v>3676</v>
      </c>
      <c r="D1817" t="s">
        <v>113</v>
      </c>
      <c r="F1817">
        <v>302573644</v>
      </c>
      <c r="G1817">
        <v>354422903</v>
      </c>
      <c r="H1817">
        <v>38977938</v>
      </c>
      <c r="I1817">
        <v>91336184</v>
      </c>
      <c r="P1817">
        <v>349</v>
      </c>
      <c r="Q1817" t="s">
        <v>3677</v>
      </c>
    </row>
    <row r="1818" spans="1:17" x14ac:dyDescent="0.3">
      <c r="A1818" t="s">
        <v>17</v>
      </c>
      <c r="B1818" t="str">
        <f>"688148"</f>
        <v>688148</v>
      </c>
      <c r="C1818" t="s">
        <v>3678</v>
      </c>
      <c r="D1818" t="s">
        <v>188</v>
      </c>
      <c r="F1818">
        <v>-176719105</v>
      </c>
      <c r="G1818">
        <v>33417862</v>
      </c>
      <c r="P1818">
        <v>29</v>
      </c>
      <c r="Q1818" t="s">
        <v>3679</v>
      </c>
    </row>
    <row r="1819" spans="1:17" x14ac:dyDescent="0.3">
      <c r="A1819" t="s">
        <v>17</v>
      </c>
      <c r="B1819" t="str">
        <f>"688151"</f>
        <v>688151</v>
      </c>
      <c r="C1819" t="s">
        <v>3680</v>
      </c>
      <c r="D1819" t="s">
        <v>92</v>
      </c>
      <c r="F1819">
        <v>-74845687</v>
      </c>
      <c r="P1819">
        <v>13</v>
      </c>
      <c r="Q1819" t="s">
        <v>3681</v>
      </c>
    </row>
    <row r="1820" spans="1:17" x14ac:dyDescent="0.3">
      <c r="A1820" t="s">
        <v>17</v>
      </c>
      <c r="B1820" t="str">
        <f>"688155"</f>
        <v>688155</v>
      </c>
      <c r="C1820" t="s">
        <v>3682</v>
      </c>
      <c r="D1820" t="s">
        <v>188</v>
      </c>
      <c r="F1820">
        <v>-315052436</v>
      </c>
      <c r="G1820">
        <v>-6076755</v>
      </c>
      <c r="H1820">
        <v>-66862435</v>
      </c>
      <c r="P1820">
        <v>101</v>
      </c>
      <c r="Q1820" t="s">
        <v>3683</v>
      </c>
    </row>
    <row r="1821" spans="1:17" x14ac:dyDescent="0.3">
      <c r="A1821" t="s">
        <v>17</v>
      </c>
      <c r="B1821" t="str">
        <f>"688156"</f>
        <v>688156</v>
      </c>
      <c r="C1821" t="s">
        <v>3684</v>
      </c>
      <c r="D1821" t="s">
        <v>33</v>
      </c>
      <c r="F1821">
        <v>-18945924</v>
      </c>
      <c r="G1821">
        <v>6281739</v>
      </c>
      <c r="H1821">
        <v>-52847777</v>
      </c>
      <c r="P1821">
        <v>42</v>
      </c>
      <c r="Q1821" t="s">
        <v>3685</v>
      </c>
    </row>
    <row r="1822" spans="1:17" x14ac:dyDescent="0.3">
      <c r="A1822" t="s">
        <v>17</v>
      </c>
      <c r="B1822" t="str">
        <f>"688157"</f>
        <v>688157</v>
      </c>
      <c r="C1822" t="s">
        <v>3686</v>
      </c>
      <c r="D1822" t="s">
        <v>133</v>
      </c>
      <c r="F1822">
        <v>-24011321</v>
      </c>
      <c r="G1822">
        <v>10412400</v>
      </c>
      <c r="H1822">
        <v>-5648207</v>
      </c>
      <c r="P1822">
        <v>100</v>
      </c>
      <c r="Q1822" t="s">
        <v>3687</v>
      </c>
    </row>
    <row r="1823" spans="1:17" x14ac:dyDescent="0.3">
      <c r="A1823" t="s">
        <v>17</v>
      </c>
      <c r="B1823" t="str">
        <f>"688158"</f>
        <v>688158</v>
      </c>
      <c r="C1823" t="s">
        <v>3688</v>
      </c>
      <c r="D1823" t="s">
        <v>212</v>
      </c>
      <c r="F1823">
        <v>-794220560</v>
      </c>
      <c r="G1823">
        <v>-506076485</v>
      </c>
      <c r="H1823">
        <v>155920600</v>
      </c>
      <c r="I1823">
        <v>319229400</v>
      </c>
      <c r="P1823">
        <v>104</v>
      </c>
      <c r="Q1823" t="s">
        <v>3689</v>
      </c>
    </row>
    <row r="1824" spans="1:17" x14ac:dyDescent="0.3">
      <c r="A1824" t="s">
        <v>17</v>
      </c>
      <c r="B1824" t="str">
        <f>"688159"</f>
        <v>688159</v>
      </c>
      <c r="C1824" t="s">
        <v>3690</v>
      </c>
      <c r="D1824" t="s">
        <v>100</v>
      </c>
      <c r="F1824">
        <v>-118426830</v>
      </c>
      <c r="G1824">
        <v>-168423770</v>
      </c>
      <c r="H1824">
        <v>-24738186</v>
      </c>
      <c r="I1824">
        <v>-108869087</v>
      </c>
      <c r="P1824">
        <v>94</v>
      </c>
      <c r="Q1824" t="s">
        <v>3691</v>
      </c>
    </row>
    <row r="1825" spans="1:17" x14ac:dyDescent="0.3">
      <c r="A1825" t="s">
        <v>17</v>
      </c>
      <c r="B1825" t="str">
        <f>"688160"</f>
        <v>688160</v>
      </c>
      <c r="C1825" t="s">
        <v>3692</v>
      </c>
      <c r="D1825" t="s">
        <v>78</v>
      </c>
      <c r="F1825">
        <v>-52716078</v>
      </c>
      <c r="G1825">
        <v>29580205</v>
      </c>
      <c r="H1825">
        <v>31954368</v>
      </c>
      <c r="P1825">
        <v>44</v>
      </c>
      <c r="Q1825" t="s">
        <v>3693</v>
      </c>
    </row>
    <row r="1826" spans="1:17" x14ac:dyDescent="0.3">
      <c r="A1826" t="s">
        <v>17</v>
      </c>
      <c r="B1826" t="str">
        <f>"688161"</f>
        <v>688161</v>
      </c>
      <c r="C1826" t="s">
        <v>3694</v>
      </c>
      <c r="D1826" t="s">
        <v>113</v>
      </c>
      <c r="F1826">
        <v>430125624</v>
      </c>
      <c r="G1826">
        <v>379653940</v>
      </c>
      <c r="P1826">
        <v>101</v>
      </c>
      <c r="Q1826" t="s">
        <v>3695</v>
      </c>
    </row>
    <row r="1827" spans="1:17" x14ac:dyDescent="0.3">
      <c r="A1827" t="s">
        <v>17</v>
      </c>
      <c r="B1827" t="str">
        <f>"688162"</f>
        <v>688162</v>
      </c>
      <c r="C1827" t="s">
        <v>3696</v>
      </c>
      <c r="D1827" t="s">
        <v>27</v>
      </c>
      <c r="F1827">
        <v>-55807207</v>
      </c>
      <c r="G1827">
        <v>-43015001</v>
      </c>
      <c r="P1827">
        <v>31</v>
      </c>
      <c r="Q1827" t="s">
        <v>3697</v>
      </c>
    </row>
    <row r="1828" spans="1:17" x14ac:dyDescent="0.3">
      <c r="A1828" t="s">
        <v>17</v>
      </c>
      <c r="B1828" t="str">
        <f>"688163"</f>
        <v>688163</v>
      </c>
      <c r="C1828" t="s">
        <v>3698</v>
      </c>
      <c r="F1828">
        <v>56403481</v>
      </c>
      <c r="G1828">
        <v>83577767</v>
      </c>
      <c r="P1828">
        <v>12</v>
      </c>
      <c r="Q1828" t="s">
        <v>3699</v>
      </c>
    </row>
    <row r="1829" spans="1:17" x14ac:dyDescent="0.3">
      <c r="A1829" t="s">
        <v>17</v>
      </c>
      <c r="B1829" t="str">
        <f>"688165"</f>
        <v>688165</v>
      </c>
      <c r="C1829" t="s">
        <v>3700</v>
      </c>
      <c r="D1829" t="s">
        <v>78</v>
      </c>
      <c r="F1829">
        <v>-169742222</v>
      </c>
      <c r="G1829">
        <v>-79930941</v>
      </c>
      <c r="H1829">
        <v>-128416549</v>
      </c>
      <c r="P1829">
        <v>64</v>
      </c>
      <c r="Q1829" t="s">
        <v>3701</v>
      </c>
    </row>
    <row r="1830" spans="1:17" x14ac:dyDescent="0.3">
      <c r="A1830" t="s">
        <v>17</v>
      </c>
      <c r="B1830" t="str">
        <f>"688166"</f>
        <v>688166</v>
      </c>
      <c r="C1830" t="s">
        <v>3702</v>
      </c>
      <c r="D1830" t="s">
        <v>113</v>
      </c>
      <c r="F1830">
        <v>-632087550</v>
      </c>
      <c r="G1830">
        <v>-65964280</v>
      </c>
      <c r="H1830">
        <v>-44102531</v>
      </c>
      <c r="I1830">
        <v>-72877684</v>
      </c>
      <c r="P1830">
        <v>191</v>
      </c>
      <c r="Q1830" t="s">
        <v>3703</v>
      </c>
    </row>
    <row r="1831" spans="1:17" x14ac:dyDescent="0.3">
      <c r="A1831" t="s">
        <v>17</v>
      </c>
      <c r="B1831" t="str">
        <f>"688167"</f>
        <v>688167</v>
      </c>
      <c r="C1831" t="s">
        <v>3704</v>
      </c>
      <c r="D1831" t="s">
        <v>78</v>
      </c>
      <c r="F1831">
        <v>-22606059</v>
      </c>
      <c r="G1831">
        <v>-46139147</v>
      </c>
      <c r="P1831">
        <v>32</v>
      </c>
      <c r="Q1831" t="s">
        <v>3705</v>
      </c>
    </row>
    <row r="1832" spans="1:17" x14ac:dyDescent="0.3">
      <c r="A1832" t="s">
        <v>17</v>
      </c>
      <c r="B1832" t="str">
        <f>"688168"</f>
        <v>688168</v>
      </c>
      <c r="C1832" t="s">
        <v>3706</v>
      </c>
      <c r="D1832" t="s">
        <v>212</v>
      </c>
      <c r="F1832">
        <v>-51232220</v>
      </c>
      <c r="G1832">
        <v>-1638621</v>
      </c>
      <c r="H1832">
        <v>5405784</v>
      </c>
      <c r="I1832">
        <v>-34804993</v>
      </c>
      <c r="P1832">
        <v>144</v>
      </c>
      <c r="Q1832" t="s">
        <v>3707</v>
      </c>
    </row>
    <row r="1833" spans="1:17" x14ac:dyDescent="0.3">
      <c r="A1833" t="s">
        <v>17</v>
      </c>
      <c r="B1833" t="str">
        <f>"688169"</f>
        <v>688169</v>
      </c>
      <c r="C1833" t="s">
        <v>3708</v>
      </c>
      <c r="D1833" t="s">
        <v>126</v>
      </c>
      <c r="F1833">
        <v>773195915</v>
      </c>
      <c r="G1833">
        <v>776867553</v>
      </c>
      <c r="H1833">
        <v>668610177</v>
      </c>
      <c r="I1833">
        <v>325030194</v>
      </c>
      <c r="P1833">
        <v>759</v>
      </c>
      <c r="Q1833" t="s">
        <v>3709</v>
      </c>
    </row>
    <row r="1834" spans="1:17" x14ac:dyDescent="0.3">
      <c r="A1834" t="s">
        <v>17</v>
      </c>
      <c r="B1834" t="str">
        <f>"688171"</f>
        <v>688171</v>
      </c>
      <c r="C1834" t="s">
        <v>3710</v>
      </c>
      <c r="F1834">
        <v>6034265</v>
      </c>
      <c r="G1834">
        <v>7993138</v>
      </c>
      <c r="P1834">
        <v>12</v>
      </c>
      <c r="Q1834" t="s">
        <v>3711</v>
      </c>
    </row>
    <row r="1835" spans="1:17" x14ac:dyDescent="0.3">
      <c r="A1835" t="s">
        <v>17</v>
      </c>
      <c r="B1835" t="str">
        <f>"688173"</f>
        <v>688173</v>
      </c>
      <c r="C1835" t="s">
        <v>3712</v>
      </c>
      <c r="F1835">
        <v>15819315</v>
      </c>
      <c r="G1835">
        <v>-17922895</v>
      </c>
      <c r="P1835">
        <v>11</v>
      </c>
      <c r="Q1835" t="s">
        <v>3713</v>
      </c>
    </row>
    <row r="1836" spans="1:17" x14ac:dyDescent="0.3">
      <c r="A1836" t="s">
        <v>17</v>
      </c>
      <c r="B1836" t="str">
        <f>"688176"</f>
        <v>688176</v>
      </c>
      <c r="C1836" t="s">
        <v>3714</v>
      </c>
      <c r="D1836" t="s">
        <v>113</v>
      </c>
      <c r="F1836">
        <v>-152737978</v>
      </c>
      <c r="G1836">
        <v>-78142594</v>
      </c>
      <c r="P1836">
        <v>9</v>
      </c>
      <c r="Q1836" t="s">
        <v>3715</v>
      </c>
    </row>
    <row r="1837" spans="1:17" x14ac:dyDescent="0.3">
      <c r="A1837" t="s">
        <v>17</v>
      </c>
      <c r="B1837" t="str">
        <f>"688177"</f>
        <v>688177</v>
      </c>
      <c r="C1837" t="s">
        <v>3716</v>
      </c>
      <c r="D1837" t="s">
        <v>113</v>
      </c>
      <c r="F1837">
        <v>-184347935</v>
      </c>
      <c r="G1837">
        <v>-569980611</v>
      </c>
      <c r="H1837">
        <v>-550118973</v>
      </c>
      <c r="I1837">
        <v>-637116940</v>
      </c>
      <c r="P1837">
        <v>98</v>
      </c>
      <c r="Q1837" t="s">
        <v>3717</v>
      </c>
    </row>
    <row r="1838" spans="1:17" x14ac:dyDescent="0.3">
      <c r="A1838" t="s">
        <v>17</v>
      </c>
      <c r="B1838" t="str">
        <f>"688178"</f>
        <v>688178</v>
      </c>
      <c r="C1838" t="s">
        <v>3718</v>
      </c>
      <c r="D1838" t="s">
        <v>33</v>
      </c>
      <c r="F1838">
        <v>-313750104</v>
      </c>
      <c r="G1838">
        <v>-116021915</v>
      </c>
      <c r="H1838">
        <v>-6536476</v>
      </c>
      <c r="I1838">
        <v>-79887300</v>
      </c>
      <c r="P1838">
        <v>69</v>
      </c>
      <c r="Q1838" t="s">
        <v>3719</v>
      </c>
    </row>
    <row r="1839" spans="1:17" x14ac:dyDescent="0.3">
      <c r="A1839" t="s">
        <v>17</v>
      </c>
      <c r="B1839" t="str">
        <f>"688179"</f>
        <v>688179</v>
      </c>
      <c r="C1839" t="s">
        <v>3720</v>
      </c>
      <c r="D1839" t="s">
        <v>133</v>
      </c>
      <c r="F1839">
        <v>-43623353</v>
      </c>
      <c r="G1839">
        <v>32222824</v>
      </c>
      <c r="H1839">
        <v>20340004</v>
      </c>
      <c r="I1839">
        <v>-3908009</v>
      </c>
      <c r="P1839">
        <v>156</v>
      </c>
      <c r="Q1839" t="s">
        <v>3721</v>
      </c>
    </row>
    <row r="1840" spans="1:17" x14ac:dyDescent="0.3">
      <c r="A1840" t="s">
        <v>17</v>
      </c>
      <c r="B1840" t="str">
        <f>"688180"</f>
        <v>688180</v>
      </c>
      <c r="C1840" t="s">
        <v>3722</v>
      </c>
      <c r="D1840" t="s">
        <v>113</v>
      </c>
      <c r="F1840">
        <v>-1200828989</v>
      </c>
      <c r="G1840">
        <v>-1468839444</v>
      </c>
      <c r="H1840">
        <v>-1565638073</v>
      </c>
      <c r="P1840">
        <v>206</v>
      </c>
      <c r="Q1840" t="s">
        <v>3723</v>
      </c>
    </row>
    <row r="1841" spans="1:17" x14ac:dyDescent="0.3">
      <c r="A1841" t="s">
        <v>17</v>
      </c>
      <c r="B1841" t="str">
        <f>"688181"</f>
        <v>688181</v>
      </c>
      <c r="C1841" t="s">
        <v>3724</v>
      </c>
      <c r="D1841" t="s">
        <v>150</v>
      </c>
      <c r="F1841">
        <v>1922512</v>
      </c>
      <c r="G1841">
        <v>73365289</v>
      </c>
      <c r="H1841">
        <v>32211058</v>
      </c>
      <c r="I1841">
        <v>11590217</v>
      </c>
      <c r="P1841">
        <v>108</v>
      </c>
      <c r="Q1841" t="s">
        <v>3725</v>
      </c>
    </row>
    <row r="1842" spans="1:17" x14ac:dyDescent="0.3">
      <c r="A1842" t="s">
        <v>17</v>
      </c>
      <c r="B1842" t="str">
        <f>"688182"</f>
        <v>688182</v>
      </c>
      <c r="C1842" t="s">
        <v>3726</v>
      </c>
      <c r="D1842" t="s">
        <v>100</v>
      </c>
      <c r="F1842">
        <v>-16691495</v>
      </c>
      <c r="G1842">
        <v>320145563</v>
      </c>
      <c r="P1842">
        <v>17</v>
      </c>
      <c r="Q1842" t="s">
        <v>3727</v>
      </c>
    </row>
    <row r="1843" spans="1:17" x14ac:dyDescent="0.3">
      <c r="A1843" t="s">
        <v>17</v>
      </c>
      <c r="B1843" t="str">
        <f>"688183"</f>
        <v>688183</v>
      </c>
      <c r="C1843" t="s">
        <v>3728</v>
      </c>
      <c r="D1843" t="s">
        <v>150</v>
      </c>
      <c r="F1843">
        <v>-278480489</v>
      </c>
      <c r="G1843">
        <v>-243391720</v>
      </c>
      <c r="H1843">
        <v>-178704537</v>
      </c>
      <c r="P1843">
        <v>41</v>
      </c>
      <c r="Q1843" t="s">
        <v>3729</v>
      </c>
    </row>
    <row r="1844" spans="1:17" x14ac:dyDescent="0.3">
      <c r="A1844" t="s">
        <v>17</v>
      </c>
      <c r="B1844" t="str">
        <f>"688185"</f>
        <v>688185</v>
      </c>
      <c r="C1844" t="s">
        <v>3730</v>
      </c>
      <c r="D1844" t="s">
        <v>113</v>
      </c>
      <c r="F1844">
        <v>324204616</v>
      </c>
      <c r="G1844">
        <v>-332508491</v>
      </c>
      <c r="H1844">
        <v>-190226405</v>
      </c>
      <c r="P1844">
        <v>267</v>
      </c>
      <c r="Q1844" t="s">
        <v>3731</v>
      </c>
    </row>
    <row r="1845" spans="1:17" x14ac:dyDescent="0.3">
      <c r="A1845" t="s">
        <v>17</v>
      </c>
      <c r="B1845" t="str">
        <f>"688186"</f>
        <v>688186</v>
      </c>
      <c r="C1845" t="s">
        <v>3732</v>
      </c>
      <c r="D1845" t="s">
        <v>38</v>
      </c>
      <c r="F1845">
        <v>-1270565729</v>
      </c>
      <c r="G1845">
        <v>-897278364</v>
      </c>
      <c r="H1845">
        <v>-232495456</v>
      </c>
      <c r="I1845">
        <v>-89262578</v>
      </c>
      <c r="P1845">
        <v>110</v>
      </c>
      <c r="Q1845" t="s">
        <v>3733</v>
      </c>
    </row>
    <row r="1846" spans="1:17" x14ac:dyDescent="0.3">
      <c r="A1846" t="s">
        <v>17</v>
      </c>
      <c r="B1846" t="str">
        <f>"688187"</f>
        <v>688187</v>
      </c>
      <c r="C1846" t="s">
        <v>3734</v>
      </c>
      <c r="D1846" t="s">
        <v>78</v>
      </c>
      <c r="F1846">
        <v>-3274174513</v>
      </c>
      <c r="G1846">
        <v>-2030666179</v>
      </c>
      <c r="P1846">
        <v>59</v>
      </c>
      <c r="Q1846" t="s">
        <v>3735</v>
      </c>
    </row>
    <row r="1847" spans="1:17" x14ac:dyDescent="0.3">
      <c r="A1847" t="s">
        <v>17</v>
      </c>
      <c r="B1847" t="str">
        <f>"688188"</f>
        <v>688188</v>
      </c>
      <c r="C1847" t="s">
        <v>3736</v>
      </c>
      <c r="D1847" t="s">
        <v>212</v>
      </c>
      <c r="F1847">
        <v>317211341</v>
      </c>
      <c r="G1847">
        <v>213083950</v>
      </c>
      <c r="H1847">
        <v>70138424</v>
      </c>
      <c r="I1847">
        <v>85937176</v>
      </c>
      <c r="P1847">
        <v>364</v>
      </c>
      <c r="Q1847" t="s">
        <v>3737</v>
      </c>
    </row>
    <row r="1848" spans="1:17" x14ac:dyDescent="0.3">
      <c r="A1848" t="s">
        <v>17</v>
      </c>
      <c r="B1848" t="str">
        <f>"688189"</f>
        <v>688189</v>
      </c>
      <c r="C1848" t="s">
        <v>3738</v>
      </c>
      <c r="D1848" t="s">
        <v>113</v>
      </c>
      <c r="F1848">
        <v>-216136137</v>
      </c>
      <c r="G1848">
        <v>-204546584</v>
      </c>
      <c r="H1848">
        <v>59821315</v>
      </c>
      <c r="I1848">
        <v>56943500</v>
      </c>
      <c r="P1848">
        <v>97</v>
      </c>
      <c r="Q1848" t="s">
        <v>3739</v>
      </c>
    </row>
    <row r="1849" spans="1:17" x14ac:dyDescent="0.3">
      <c r="A1849" t="s">
        <v>17</v>
      </c>
      <c r="B1849" t="str">
        <f>"688190"</f>
        <v>688190</v>
      </c>
      <c r="C1849" t="s">
        <v>3740</v>
      </c>
      <c r="D1849" t="s">
        <v>234</v>
      </c>
      <c r="F1849">
        <v>16458784</v>
      </c>
      <c r="G1849">
        <v>67201035</v>
      </c>
      <c r="P1849">
        <v>15</v>
      </c>
      <c r="Q1849" t="s">
        <v>3741</v>
      </c>
    </row>
    <row r="1850" spans="1:17" x14ac:dyDescent="0.3">
      <c r="A1850" t="s">
        <v>17</v>
      </c>
      <c r="B1850" t="str">
        <f>"688191"</f>
        <v>688191</v>
      </c>
      <c r="C1850" t="s">
        <v>3742</v>
      </c>
      <c r="D1850" t="s">
        <v>188</v>
      </c>
      <c r="F1850">
        <v>-270057432</v>
      </c>
      <c r="G1850">
        <v>-34849611</v>
      </c>
      <c r="H1850">
        <v>-41632487</v>
      </c>
      <c r="P1850">
        <v>56</v>
      </c>
      <c r="Q1850" t="s">
        <v>3743</v>
      </c>
    </row>
    <row r="1851" spans="1:17" x14ac:dyDescent="0.3">
      <c r="A1851" t="s">
        <v>17</v>
      </c>
      <c r="B1851" t="str">
        <f>"688192"</f>
        <v>688192</v>
      </c>
      <c r="C1851" t="s">
        <v>3744</v>
      </c>
      <c r="D1851" t="s">
        <v>113</v>
      </c>
      <c r="F1851">
        <v>-340575831</v>
      </c>
      <c r="G1851">
        <v>-527926282</v>
      </c>
      <c r="P1851">
        <v>11</v>
      </c>
      <c r="Q1851" t="s">
        <v>3745</v>
      </c>
    </row>
    <row r="1852" spans="1:17" x14ac:dyDescent="0.3">
      <c r="A1852" t="s">
        <v>17</v>
      </c>
      <c r="B1852" t="str">
        <f>"688195"</f>
        <v>688195</v>
      </c>
      <c r="C1852" t="s">
        <v>3746</v>
      </c>
      <c r="D1852" t="s">
        <v>150</v>
      </c>
      <c r="F1852">
        <v>-43138680</v>
      </c>
      <c r="G1852">
        <v>-87551365</v>
      </c>
      <c r="P1852">
        <v>42</v>
      </c>
      <c r="Q1852" t="s">
        <v>3747</v>
      </c>
    </row>
    <row r="1853" spans="1:17" x14ac:dyDescent="0.3">
      <c r="A1853" t="s">
        <v>17</v>
      </c>
      <c r="B1853" t="str">
        <f>"688196"</f>
        <v>688196</v>
      </c>
      <c r="C1853" t="s">
        <v>3748</v>
      </c>
      <c r="D1853" t="s">
        <v>133</v>
      </c>
      <c r="F1853">
        <v>-102252521</v>
      </c>
      <c r="G1853">
        <v>105998500</v>
      </c>
      <c r="H1853">
        <v>154325661</v>
      </c>
      <c r="I1853">
        <v>41453562</v>
      </c>
      <c r="J1853">
        <v>-62716913</v>
      </c>
      <c r="P1853">
        <v>188</v>
      </c>
      <c r="Q1853" t="s">
        <v>3749</v>
      </c>
    </row>
    <row r="1854" spans="1:17" x14ac:dyDescent="0.3">
      <c r="A1854" t="s">
        <v>17</v>
      </c>
      <c r="B1854" t="str">
        <f>"688197"</f>
        <v>688197</v>
      </c>
      <c r="C1854" t="s">
        <v>3750</v>
      </c>
      <c r="F1854">
        <v>-90214880</v>
      </c>
      <c r="G1854">
        <v>-95318088</v>
      </c>
      <c r="P1854">
        <v>3</v>
      </c>
      <c r="Q1854" t="s">
        <v>3751</v>
      </c>
    </row>
    <row r="1855" spans="1:17" x14ac:dyDescent="0.3">
      <c r="A1855" t="s">
        <v>17</v>
      </c>
      <c r="B1855" t="str">
        <f>"688198"</f>
        <v>688198</v>
      </c>
      <c r="C1855" t="s">
        <v>3752</v>
      </c>
      <c r="D1855" t="s">
        <v>113</v>
      </c>
      <c r="F1855">
        <v>-5918954</v>
      </c>
      <c r="G1855">
        <v>22988241</v>
      </c>
      <c r="H1855">
        <v>42962982</v>
      </c>
      <c r="I1855">
        <v>37479519</v>
      </c>
      <c r="P1855">
        <v>190</v>
      </c>
      <c r="Q1855" t="s">
        <v>3753</v>
      </c>
    </row>
    <row r="1856" spans="1:17" x14ac:dyDescent="0.3">
      <c r="A1856" t="s">
        <v>17</v>
      </c>
      <c r="B1856" t="str">
        <f>"688199"</f>
        <v>688199</v>
      </c>
      <c r="C1856" t="s">
        <v>3754</v>
      </c>
      <c r="D1856" t="s">
        <v>133</v>
      </c>
      <c r="F1856">
        <v>-317467770</v>
      </c>
      <c r="G1856">
        <v>47459856</v>
      </c>
      <c r="H1856">
        <v>-7314030</v>
      </c>
      <c r="I1856">
        <v>62432075</v>
      </c>
      <c r="P1856">
        <v>94</v>
      </c>
      <c r="Q1856" t="s">
        <v>3755</v>
      </c>
    </row>
    <row r="1857" spans="1:17" x14ac:dyDescent="0.3">
      <c r="A1857" t="s">
        <v>17</v>
      </c>
      <c r="B1857" t="str">
        <f>"688200"</f>
        <v>688200</v>
      </c>
      <c r="C1857" t="s">
        <v>3756</v>
      </c>
      <c r="D1857" t="s">
        <v>150</v>
      </c>
      <c r="F1857">
        <v>-72343099</v>
      </c>
      <c r="G1857">
        <v>84897424</v>
      </c>
      <c r="H1857">
        <v>7433965</v>
      </c>
      <c r="I1857">
        <v>48538605</v>
      </c>
      <c r="P1857">
        <v>292</v>
      </c>
      <c r="Q1857" t="s">
        <v>3757</v>
      </c>
    </row>
    <row r="1858" spans="1:17" x14ac:dyDescent="0.3">
      <c r="A1858" t="s">
        <v>17</v>
      </c>
      <c r="B1858" t="str">
        <f>"688201"</f>
        <v>688201</v>
      </c>
      <c r="C1858" t="s">
        <v>3758</v>
      </c>
      <c r="D1858" t="s">
        <v>212</v>
      </c>
      <c r="F1858">
        <v>-86716072</v>
      </c>
      <c r="G1858">
        <v>-10834656</v>
      </c>
      <c r="P1858">
        <v>62</v>
      </c>
      <c r="Q1858" t="s">
        <v>3759</v>
      </c>
    </row>
    <row r="1859" spans="1:17" x14ac:dyDescent="0.3">
      <c r="A1859" t="s">
        <v>17</v>
      </c>
      <c r="B1859" t="str">
        <f>"688202"</f>
        <v>688202</v>
      </c>
      <c r="C1859" t="s">
        <v>3760</v>
      </c>
      <c r="D1859" t="s">
        <v>113</v>
      </c>
      <c r="F1859">
        <v>-6983174</v>
      </c>
      <c r="G1859">
        <v>27176901</v>
      </c>
      <c r="H1859">
        <v>-33057781</v>
      </c>
      <c r="I1859">
        <v>-12852677</v>
      </c>
      <c r="P1859">
        <v>382</v>
      </c>
      <c r="Q1859" t="s">
        <v>3761</v>
      </c>
    </row>
    <row r="1860" spans="1:17" x14ac:dyDescent="0.3">
      <c r="A1860" t="s">
        <v>17</v>
      </c>
      <c r="B1860" t="str">
        <f>"688206"</f>
        <v>688206</v>
      </c>
      <c r="C1860" t="s">
        <v>3762</v>
      </c>
      <c r="D1860" t="s">
        <v>150</v>
      </c>
      <c r="F1860">
        <v>-99076457</v>
      </c>
      <c r="G1860">
        <v>2052693</v>
      </c>
      <c r="P1860">
        <v>26</v>
      </c>
      <c r="Q1860" t="s">
        <v>3763</v>
      </c>
    </row>
    <row r="1861" spans="1:17" x14ac:dyDescent="0.3">
      <c r="A1861" t="s">
        <v>17</v>
      </c>
      <c r="B1861" t="str">
        <f>"688208"</f>
        <v>688208</v>
      </c>
      <c r="C1861" t="s">
        <v>3764</v>
      </c>
      <c r="D1861" t="s">
        <v>212</v>
      </c>
      <c r="F1861">
        <v>-205421587</v>
      </c>
      <c r="G1861">
        <v>353824966</v>
      </c>
      <c r="H1861">
        <v>56082132</v>
      </c>
      <c r="I1861">
        <v>105254400</v>
      </c>
      <c r="P1861">
        <v>220</v>
      </c>
      <c r="Q1861" t="s">
        <v>3765</v>
      </c>
    </row>
    <row r="1862" spans="1:17" x14ac:dyDescent="0.3">
      <c r="A1862" t="s">
        <v>17</v>
      </c>
      <c r="B1862" t="str">
        <f>"688209"</f>
        <v>688209</v>
      </c>
      <c r="C1862" t="s">
        <v>3766</v>
      </c>
      <c r="F1862">
        <v>137877321</v>
      </c>
      <c r="G1862">
        <v>-31272027</v>
      </c>
      <c r="P1862">
        <v>5</v>
      </c>
      <c r="Q1862" t="s">
        <v>3767</v>
      </c>
    </row>
    <row r="1863" spans="1:17" x14ac:dyDescent="0.3">
      <c r="A1863" t="s">
        <v>17</v>
      </c>
      <c r="B1863" t="str">
        <f>"688210"</f>
        <v>688210</v>
      </c>
      <c r="C1863" t="s">
        <v>3768</v>
      </c>
      <c r="D1863" t="s">
        <v>150</v>
      </c>
      <c r="F1863">
        <v>-38197706</v>
      </c>
      <c r="G1863">
        <v>-56576714</v>
      </c>
      <c r="P1863">
        <v>9</v>
      </c>
      <c r="Q1863" t="s">
        <v>3769</v>
      </c>
    </row>
    <row r="1864" spans="1:17" x14ac:dyDescent="0.3">
      <c r="A1864" t="s">
        <v>17</v>
      </c>
      <c r="B1864" t="str">
        <f>"688211"</f>
        <v>688211</v>
      </c>
      <c r="C1864" t="s">
        <v>3770</v>
      </c>
      <c r="D1864" t="s">
        <v>78</v>
      </c>
      <c r="F1864">
        <v>-467613599</v>
      </c>
      <c r="G1864">
        <v>-116890166</v>
      </c>
      <c r="P1864">
        <v>27</v>
      </c>
      <c r="Q1864" t="s">
        <v>3771</v>
      </c>
    </row>
    <row r="1865" spans="1:17" x14ac:dyDescent="0.3">
      <c r="A1865" t="s">
        <v>17</v>
      </c>
      <c r="B1865" t="str">
        <f>"688212"</f>
        <v>688212</v>
      </c>
      <c r="C1865" t="s">
        <v>3772</v>
      </c>
      <c r="D1865" t="s">
        <v>113</v>
      </c>
      <c r="F1865">
        <v>-3820530</v>
      </c>
      <c r="P1865">
        <v>32</v>
      </c>
      <c r="Q1865" t="s">
        <v>3773</v>
      </c>
    </row>
    <row r="1866" spans="1:17" x14ac:dyDescent="0.3">
      <c r="A1866" t="s">
        <v>17</v>
      </c>
      <c r="B1866" t="str">
        <f>"688213"</f>
        <v>688213</v>
      </c>
      <c r="C1866" t="s">
        <v>3774</v>
      </c>
      <c r="F1866">
        <v>-1070641496</v>
      </c>
      <c r="Q1866" t="s">
        <v>3775</v>
      </c>
    </row>
    <row r="1867" spans="1:17" x14ac:dyDescent="0.3">
      <c r="A1867" t="s">
        <v>17</v>
      </c>
      <c r="B1867" t="str">
        <f>"688215"</f>
        <v>688215</v>
      </c>
      <c r="C1867" t="s">
        <v>3776</v>
      </c>
      <c r="D1867" t="s">
        <v>78</v>
      </c>
      <c r="F1867">
        <v>-76239218</v>
      </c>
      <c r="G1867">
        <v>-189257</v>
      </c>
      <c r="H1867">
        <v>5463149</v>
      </c>
      <c r="P1867">
        <v>62</v>
      </c>
      <c r="Q1867" t="s">
        <v>3777</v>
      </c>
    </row>
    <row r="1868" spans="1:17" x14ac:dyDescent="0.3">
      <c r="A1868" t="s">
        <v>17</v>
      </c>
      <c r="B1868" t="str">
        <f>"688216"</f>
        <v>688216</v>
      </c>
      <c r="C1868" t="s">
        <v>3778</v>
      </c>
      <c r="D1868" t="s">
        <v>150</v>
      </c>
      <c r="F1868">
        <v>21005058</v>
      </c>
      <c r="P1868">
        <v>26</v>
      </c>
      <c r="Q1868" t="s">
        <v>3779</v>
      </c>
    </row>
    <row r="1869" spans="1:17" x14ac:dyDescent="0.3">
      <c r="A1869" t="s">
        <v>17</v>
      </c>
      <c r="B1869" t="str">
        <f>"688217"</f>
        <v>688217</v>
      </c>
      <c r="C1869" t="s">
        <v>3780</v>
      </c>
      <c r="D1869" t="s">
        <v>113</v>
      </c>
      <c r="F1869">
        <v>-15781927</v>
      </c>
      <c r="G1869">
        <v>19204504</v>
      </c>
      <c r="P1869">
        <v>31</v>
      </c>
      <c r="Q1869" t="s">
        <v>3781</v>
      </c>
    </row>
    <row r="1870" spans="1:17" x14ac:dyDescent="0.3">
      <c r="A1870" t="s">
        <v>17</v>
      </c>
      <c r="B1870" t="str">
        <f>"688218"</f>
        <v>688218</v>
      </c>
      <c r="C1870" t="s">
        <v>3782</v>
      </c>
      <c r="D1870" t="s">
        <v>78</v>
      </c>
      <c r="F1870">
        <v>-104216252</v>
      </c>
      <c r="G1870">
        <v>-26500704</v>
      </c>
      <c r="H1870">
        <v>-68693703</v>
      </c>
      <c r="I1870">
        <v>-98684478</v>
      </c>
      <c r="P1870">
        <v>47</v>
      </c>
      <c r="Q1870" t="s">
        <v>3783</v>
      </c>
    </row>
    <row r="1871" spans="1:17" x14ac:dyDescent="0.3">
      <c r="A1871" t="s">
        <v>17</v>
      </c>
      <c r="B1871" t="str">
        <f>"688219"</f>
        <v>688219</v>
      </c>
      <c r="C1871" t="s">
        <v>3784</v>
      </c>
      <c r="D1871" t="s">
        <v>133</v>
      </c>
      <c r="F1871">
        <v>-207755361</v>
      </c>
      <c r="G1871">
        <v>-135092663</v>
      </c>
      <c r="H1871">
        <v>183492426</v>
      </c>
      <c r="P1871">
        <v>50</v>
      </c>
      <c r="Q1871" t="s">
        <v>3785</v>
      </c>
    </row>
    <row r="1872" spans="1:17" x14ac:dyDescent="0.3">
      <c r="A1872" t="s">
        <v>17</v>
      </c>
      <c r="B1872" t="str">
        <f>"688220"</f>
        <v>688220</v>
      </c>
      <c r="C1872" t="s">
        <v>3786</v>
      </c>
      <c r="D1872" t="s">
        <v>150</v>
      </c>
      <c r="F1872">
        <v>-908455528</v>
      </c>
      <c r="G1872">
        <v>-543986959</v>
      </c>
      <c r="P1872">
        <v>19</v>
      </c>
      <c r="Q1872" t="s">
        <v>3787</v>
      </c>
    </row>
    <row r="1873" spans="1:17" x14ac:dyDescent="0.3">
      <c r="A1873" t="s">
        <v>17</v>
      </c>
      <c r="B1873" t="str">
        <f>"688221"</f>
        <v>688221</v>
      </c>
      <c r="C1873" t="s">
        <v>3788</v>
      </c>
      <c r="D1873" t="s">
        <v>113</v>
      </c>
      <c r="F1873">
        <v>-390068708</v>
      </c>
      <c r="G1873">
        <v>-223780111</v>
      </c>
      <c r="H1873">
        <v>-130304633</v>
      </c>
      <c r="P1873">
        <v>51</v>
      </c>
      <c r="Q1873" t="s">
        <v>3789</v>
      </c>
    </row>
    <row r="1874" spans="1:17" x14ac:dyDescent="0.3">
      <c r="A1874" t="s">
        <v>17</v>
      </c>
      <c r="B1874" t="str">
        <f>"688222"</f>
        <v>688222</v>
      </c>
      <c r="C1874" t="s">
        <v>3790</v>
      </c>
      <c r="D1874" t="s">
        <v>113</v>
      </c>
      <c r="F1874">
        <v>-8659870</v>
      </c>
      <c r="G1874">
        <v>-103483502</v>
      </c>
      <c r="H1874">
        <v>88815688</v>
      </c>
      <c r="I1874">
        <v>5102500</v>
      </c>
      <c r="P1874">
        <v>128</v>
      </c>
      <c r="Q1874" t="s">
        <v>3791</v>
      </c>
    </row>
    <row r="1875" spans="1:17" x14ac:dyDescent="0.3">
      <c r="A1875" t="s">
        <v>17</v>
      </c>
      <c r="B1875" t="str">
        <f>"688223"</f>
        <v>688223</v>
      </c>
      <c r="C1875" t="s">
        <v>3792</v>
      </c>
      <c r="D1875" t="s">
        <v>150</v>
      </c>
      <c r="F1875">
        <v>-5802653531</v>
      </c>
      <c r="P1875">
        <v>29</v>
      </c>
      <c r="Q1875" t="s">
        <v>3793</v>
      </c>
    </row>
    <row r="1876" spans="1:17" x14ac:dyDescent="0.3">
      <c r="A1876" t="s">
        <v>17</v>
      </c>
      <c r="B1876" t="str">
        <f>"688225"</f>
        <v>688225</v>
      </c>
      <c r="C1876" t="s">
        <v>3794</v>
      </c>
      <c r="F1876">
        <v>-167046563</v>
      </c>
      <c r="G1876">
        <v>-2877929</v>
      </c>
      <c r="P1876">
        <v>10</v>
      </c>
      <c r="Q1876" t="s">
        <v>3795</v>
      </c>
    </row>
    <row r="1877" spans="1:17" x14ac:dyDescent="0.3">
      <c r="A1877" t="s">
        <v>17</v>
      </c>
      <c r="B1877" t="str">
        <f>"688226"</f>
        <v>688226</v>
      </c>
      <c r="C1877" t="s">
        <v>3796</v>
      </c>
      <c r="D1877" t="s">
        <v>188</v>
      </c>
      <c r="F1877">
        <v>-96401530</v>
      </c>
      <c r="P1877">
        <v>19</v>
      </c>
      <c r="Q1877" t="s">
        <v>3797</v>
      </c>
    </row>
    <row r="1878" spans="1:17" x14ac:dyDescent="0.3">
      <c r="A1878" t="s">
        <v>17</v>
      </c>
      <c r="B1878" t="str">
        <f>"688227"</f>
        <v>688227</v>
      </c>
      <c r="C1878" t="s">
        <v>3798</v>
      </c>
      <c r="D1878" t="s">
        <v>212</v>
      </c>
      <c r="F1878">
        <v>-42934535</v>
      </c>
      <c r="G1878">
        <v>-67955720</v>
      </c>
      <c r="P1878">
        <v>13</v>
      </c>
      <c r="Q1878" t="s">
        <v>3799</v>
      </c>
    </row>
    <row r="1879" spans="1:17" x14ac:dyDescent="0.3">
      <c r="A1879" t="s">
        <v>17</v>
      </c>
      <c r="B1879" t="str">
        <f>"688228"</f>
        <v>688228</v>
      </c>
      <c r="C1879" t="s">
        <v>3800</v>
      </c>
      <c r="D1879" t="s">
        <v>212</v>
      </c>
      <c r="F1879">
        <v>-92615833</v>
      </c>
      <c r="G1879">
        <v>-137509829</v>
      </c>
      <c r="H1879">
        <v>-48145255</v>
      </c>
      <c r="I1879">
        <v>-386000</v>
      </c>
      <c r="P1879">
        <v>94</v>
      </c>
      <c r="Q1879" t="s">
        <v>3801</v>
      </c>
    </row>
    <row r="1880" spans="1:17" x14ac:dyDescent="0.3">
      <c r="A1880" t="s">
        <v>17</v>
      </c>
      <c r="B1880" t="str">
        <f>"688229"</f>
        <v>688229</v>
      </c>
      <c r="C1880" t="s">
        <v>3802</v>
      </c>
      <c r="D1880" t="s">
        <v>212</v>
      </c>
      <c r="F1880">
        <v>-74447005</v>
      </c>
      <c r="G1880">
        <v>-9412762</v>
      </c>
      <c r="H1880">
        <v>17091473</v>
      </c>
      <c r="P1880">
        <v>63</v>
      </c>
      <c r="Q1880" t="s">
        <v>3803</v>
      </c>
    </row>
    <row r="1881" spans="1:17" x14ac:dyDescent="0.3">
      <c r="A1881" t="s">
        <v>17</v>
      </c>
      <c r="B1881" t="str">
        <f>"688230"</f>
        <v>688230</v>
      </c>
      <c r="C1881" t="s">
        <v>3804</v>
      </c>
      <c r="D1881" t="s">
        <v>150</v>
      </c>
      <c r="F1881">
        <v>58998972</v>
      </c>
      <c r="G1881">
        <v>38757181</v>
      </c>
      <c r="P1881">
        <v>24</v>
      </c>
      <c r="Q1881" t="s">
        <v>3805</v>
      </c>
    </row>
    <row r="1882" spans="1:17" x14ac:dyDescent="0.3">
      <c r="A1882" t="s">
        <v>17</v>
      </c>
      <c r="B1882" t="str">
        <f>"688232"</f>
        <v>688232</v>
      </c>
      <c r="C1882" t="s">
        <v>3806</v>
      </c>
      <c r="D1882" t="s">
        <v>212</v>
      </c>
      <c r="F1882">
        <v>-343494701</v>
      </c>
      <c r="G1882">
        <v>-175714518</v>
      </c>
      <c r="P1882">
        <v>26</v>
      </c>
      <c r="Q1882" t="s">
        <v>3807</v>
      </c>
    </row>
    <row r="1883" spans="1:17" x14ac:dyDescent="0.3">
      <c r="A1883" t="s">
        <v>17</v>
      </c>
      <c r="B1883" t="str">
        <f>"688233"</f>
        <v>688233</v>
      </c>
      <c r="C1883" t="s">
        <v>3808</v>
      </c>
      <c r="D1883" t="s">
        <v>150</v>
      </c>
      <c r="F1883">
        <v>-90304133</v>
      </c>
      <c r="G1883">
        <v>-44426952</v>
      </c>
      <c r="H1883">
        <v>78640839</v>
      </c>
      <c r="I1883">
        <v>-37972824</v>
      </c>
      <c r="P1883">
        <v>170</v>
      </c>
      <c r="Q1883" t="s">
        <v>3809</v>
      </c>
    </row>
    <row r="1884" spans="1:17" x14ac:dyDescent="0.3">
      <c r="A1884" t="s">
        <v>17</v>
      </c>
      <c r="B1884" t="str">
        <f>"688234"</f>
        <v>688234</v>
      </c>
      <c r="C1884" t="s">
        <v>3810</v>
      </c>
      <c r="D1884" t="s">
        <v>150</v>
      </c>
      <c r="F1884">
        <v>-119819062</v>
      </c>
      <c r="G1884">
        <v>-322506330</v>
      </c>
      <c r="P1884">
        <v>32</v>
      </c>
      <c r="Q1884" t="s">
        <v>3811</v>
      </c>
    </row>
    <row r="1885" spans="1:17" x14ac:dyDescent="0.3">
      <c r="A1885" t="s">
        <v>17</v>
      </c>
      <c r="B1885" t="str">
        <f>"688235"</f>
        <v>688235</v>
      </c>
      <c r="C1885" t="s">
        <v>3812</v>
      </c>
      <c r="D1885" t="s">
        <v>113</v>
      </c>
      <c r="F1885">
        <v>-6191688000</v>
      </c>
      <c r="G1885">
        <v>-3449145000</v>
      </c>
      <c r="P1885">
        <v>58</v>
      </c>
      <c r="Q1885" t="s">
        <v>3813</v>
      </c>
    </row>
    <row r="1886" spans="1:17" x14ac:dyDescent="0.3">
      <c r="A1886" t="s">
        <v>17</v>
      </c>
      <c r="B1886" t="str">
        <f>"688236"</f>
        <v>688236</v>
      </c>
      <c r="C1886" t="s">
        <v>3814</v>
      </c>
      <c r="D1886" t="s">
        <v>113</v>
      </c>
      <c r="F1886">
        <v>-125315617</v>
      </c>
      <c r="G1886">
        <v>37913949</v>
      </c>
      <c r="P1886">
        <v>20</v>
      </c>
      <c r="Q1886" t="s">
        <v>3815</v>
      </c>
    </row>
    <row r="1887" spans="1:17" x14ac:dyDescent="0.3">
      <c r="A1887" t="s">
        <v>17</v>
      </c>
      <c r="B1887" t="str">
        <f>"688238"</f>
        <v>688238</v>
      </c>
      <c r="C1887" t="s">
        <v>3816</v>
      </c>
      <c r="F1887">
        <v>-183650768</v>
      </c>
      <c r="G1887">
        <v>-69479090</v>
      </c>
      <c r="P1887">
        <v>7</v>
      </c>
      <c r="Q1887" t="s">
        <v>3817</v>
      </c>
    </row>
    <row r="1888" spans="1:17" x14ac:dyDescent="0.3">
      <c r="A1888" t="s">
        <v>17</v>
      </c>
      <c r="B1888" t="str">
        <f>"688239"</f>
        <v>688239</v>
      </c>
      <c r="C1888" t="s">
        <v>3818</v>
      </c>
      <c r="D1888" t="s">
        <v>92</v>
      </c>
      <c r="F1888">
        <v>-261414531</v>
      </c>
      <c r="P1888">
        <v>57</v>
      </c>
      <c r="Q1888" t="s">
        <v>3819</v>
      </c>
    </row>
    <row r="1889" spans="1:17" x14ac:dyDescent="0.3">
      <c r="A1889" t="s">
        <v>17</v>
      </c>
      <c r="B1889" t="str">
        <f>"688246"</f>
        <v>688246</v>
      </c>
      <c r="C1889" t="s">
        <v>3820</v>
      </c>
      <c r="D1889" t="s">
        <v>212</v>
      </c>
      <c r="F1889">
        <v>-215799639</v>
      </c>
      <c r="G1889">
        <v>-178275351</v>
      </c>
      <c r="P1889">
        <v>12</v>
      </c>
      <c r="Q1889" t="s">
        <v>3821</v>
      </c>
    </row>
    <row r="1890" spans="1:17" x14ac:dyDescent="0.3">
      <c r="A1890" t="s">
        <v>17</v>
      </c>
      <c r="B1890" t="str">
        <f>"688248"</f>
        <v>688248</v>
      </c>
      <c r="C1890" t="s">
        <v>3822</v>
      </c>
      <c r="D1890" t="s">
        <v>188</v>
      </c>
      <c r="F1890">
        <v>-357935417</v>
      </c>
      <c r="P1890">
        <v>14</v>
      </c>
      <c r="Q1890" t="s">
        <v>3823</v>
      </c>
    </row>
    <row r="1891" spans="1:17" x14ac:dyDescent="0.3">
      <c r="A1891" t="s">
        <v>17</v>
      </c>
      <c r="B1891" t="str">
        <f>"688255"</f>
        <v>688255</v>
      </c>
      <c r="C1891" t="s">
        <v>3824</v>
      </c>
      <c r="D1891" t="s">
        <v>78</v>
      </c>
      <c r="F1891">
        <v>-35302821</v>
      </c>
      <c r="G1891">
        <v>55611623</v>
      </c>
      <c r="P1891">
        <v>19</v>
      </c>
      <c r="Q1891" t="s">
        <v>3825</v>
      </c>
    </row>
    <row r="1892" spans="1:17" x14ac:dyDescent="0.3">
      <c r="A1892" t="s">
        <v>17</v>
      </c>
      <c r="B1892" t="str">
        <f>"688256"</f>
        <v>688256</v>
      </c>
      <c r="C1892" t="s">
        <v>3826</v>
      </c>
      <c r="D1892" t="s">
        <v>150</v>
      </c>
      <c r="F1892">
        <v>-1009349496</v>
      </c>
      <c r="G1892">
        <v>-506642030</v>
      </c>
      <c r="H1892">
        <v>-342089523</v>
      </c>
      <c r="P1892">
        <v>192</v>
      </c>
      <c r="Q1892" t="s">
        <v>3827</v>
      </c>
    </row>
    <row r="1893" spans="1:17" x14ac:dyDescent="0.3">
      <c r="A1893" t="s">
        <v>17</v>
      </c>
      <c r="B1893" t="str">
        <f>"688257"</f>
        <v>688257</v>
      </c>
      <c r="C1893" t="s">
        <v>3828</v>
      </c>
      <c r="D1893" t="s">
        <v>78</v>
      </c>
      <c r="F1893">
        <v>-75367066</v>
      </c>
      <c r="G1893">
        <v>76834087</v>
      </c>
      <c r="P1893">
        <v>17</v>
      </c>
      <c r="Q1893" t="s">
        <v>3829</v>
      </c>
    </row>
    <row r="1894" spans="1:17" x14ac:dyDescent="0.3">
      <c r="A1894" t="s">
        <v>17</v>
      </c>
      <c r="B1894" t="str">
        <f>"688258"</f>
        <v>688258</v>
      </c>
      <c r="C1894" t="s">
        <v>3830</v>
      </c>
      <c r="D1894" t="s">
        <v>212</v>
      </c>
      <c r="F1894">
        <v>-130897817</v>
      </c>
      <c r="G1894">
        <v>399811</v>
      </c>
      <c r="H1894">
        <v>21595973</v>
      </c>
      <c r="I1894">
        <v>-20334549</v>
      </c>
      <c r="P1894">
        <v>2718</v>
      </c>
      <c r="Q1894" t="s">
        <v>3831</v>
      </c>
    </row>
    <row r="1895" spans="1:17" x14ac:dyDescent="0.3">
      <c r="A1895" t="s">
        <v>17</v>
      </c>
      <c r="B1895" t="str">
        <f>"688259"</f>
        <v>688259</v>
      </c>
      <c r="C1895" t="s">
        <v>3832</v>
      </c>
      <c r="D1895" t="s">
        <v>150</v>
      </c>
      <c r="F1895">
        <v>225080924</v>
      </c>
      <c r="G1895">
        <v>-707796</v>
      </c>
      <c r="P1895">
        <v>17</v>
      </c>
      <c r="Q1895" t="s">
        <v>3833</v>
      </c>
    </row>
    <row r="1896" spans="1:17" x14ac:dyDescent="0.3">
      <c r="A1896" t="s">
        <v>17</v>
      </c>
      <c r="B1896" t="str">
        <f>"688260"</f>
        <v>688260</v>
      </c>
      <c r="C1896" t="s">
        <v>3834</v>
      </c>
      <c r="D1896" t="s">
        <v>150</v>
      </c>
      <c r="F1896">
        <v>-183903199</v>
      </c>
      <c r="G1896">
        <v>16851011</v>
      </c>
      <c r="P1896">
        <v>24</v>
      </c>
      <c r="Q1896" t="s">
        <v>3835</v>
      </c>
    </row>
    <row r="1897" spans="1:17" x14ac:dyDescent="0.3">
      <c r="A1897" t="s">
        <v>17</v>
      </c>
      <c r="B1897" t="str">
        <f>"688261"</f>
        <v>688261</v>
      </c>
      <c r="C1897" t="s">
        <v>3836</v>
      </c>
      <c r="F1897">
        <v>54388420</v>
      </c>
      <c r="G1897">
        <v>-19821910</v>
      </c>
      <c r="P1897">
        <v>11</v>
      </c>
      <c r="Q1897" t="s">
        <v>3837</v>
      </c>
    </row>
    <row r="1898" spans="1:17" x14ac:dyDescent="0.3">
      <c r="A1898" t="s">
        <v>17</v>
      </c>
      <c r="B1898" t="str">
        <f>"688262"</f>
        <v>688262</v>
      </c>
      <c r="C1898" t="s">
        <v>3838</v>
      </c>
      <c r="D1898" t="s">
        <v>150</v>
      </c>
      <c r="F1898">
        <v>-44003769</v>
      </c>
      <c r="G1898">
        <v>-39585667</v>
      </c>
      <c r="P1898">
        <v>19</v>
      </c>
      <c r="Q1898" t="s">
        <v>3839</v>
      </c>
    </row>
    <row r="1899" spans="1:17" x14ac:dyDescent="0.3">
      <c r="A1899" t="s">
        <v>17</v>
      </c>
      <c r="B1899" t="str">
        <f>"688265"</f>
        <v>688265</v>
      </c>
      <c r="C1899" t="s">
        <v>3840</v>
      </c>
      <c r="D1899" t="s">
        <v>113</v>
      </c>
      <c r="F1899">
        <v>9186919</v>
      </c>
      <c r="G1899">
        <v>-76422745</v>
      </c>
      <c r="P1899">
        <v>17</v>
      </c>
      <c r="Q1899" t="s">
        <v>3841</v>
      </c>
    </row>
    <row r="1900" spans="1:17" x14ac:dyDescent="0.3">
      <c r="A1900" t="s">
        <v>17</v>
      </c>
      <c r="B1900" t="str">
        <f>"688266"</f>
        <v>688266</v>
      </c>
      <c r="C1900" t="s">
        <v>3842</v>
      </c>
      <c r="D1900" t="s">
        <v>113</v>
      </c>
      <c r="F1900">
        <v>-381175108</v>
      </c>
      <c r="G1900">
        <v>-264437620</v>
      </c>
      <c r="H1900">
        <v>-142160893</v>
      </c>
      <c r="I1900">
        <v>-91261800</v>
      </c>
      <c r="P1900">
        <v>102</v>
      </c>
      <c r="Q1900" t="s">
        <v>3843</v>
      </c>
    </row>
    <row r="1901" spans="1:17" x14ac:dyDescent="0.3">
      <c r="A1901" t="s">
        <v>17</v>
      </c>
      <c r="B1901" t="str">
        <f>"688267"</f>
        <v>688267</v>
      </c>
      <c r="C1901" t="s">
        <v>3844</v>
      </c>
      <c r="F1901">
        <v>58449855</v>
      </c>
      <c r="P1901">
        <v>7</v>
      </c>
      <c r="Q1901" t="s">
        <v>3845</v>
      </c>
    </row>
    <row r="1902" spans="1:17" x14ac:dyDescent="0.3">
      <c r="A1902" t="s">
        <v>17</v>
      </c>
      <c r="B1902" t="str">
        <f>"688268"</f>
        <v>688268</v>
      </c>
      <c r="C1902" t="s">
        <v>3846</v>
      </c>
      <c r="D1902" t="s">
        <v>150</v>
      </c>
      <c r="F1902">
        <v>-166709666</v>
      </c>
      <c r="G1902">
        <v>270182</v>
      </c>
      <c r="H1902">
        <v>36273660</v>
      </c>
      <c r="I1902">
        <v>5716306</v>
      </c>
      <c r="P1902">
        <v>184</v>
      </c>
      <c r="Q1902" t="s">
        <v>3847</v>
      </c>
    </row>
    <row r="1903" spans="1:17" x14ac:dyDescent="0.3">
      <c r="A1903" t="s">
        <v>17</v>
      </c>
      <c r="B1903" t="str">
        <f>"688269"</f>
        <v>688269</v>
      </c>
      <c r="C1903" t="s">
        <v>3848</v>
      </c>
      <c r="D1903" t="s">
        <v>234</v>
      </c>
      <c r="F1903">
        <v>-232584105</v>
      </c>
      <c r="P1903">
        <v>58</v>
      </c>
      <c r="Q1903" t="s">
        <v>3849</v>
      </c>
    </row>
    <row r="1904" spans="1:17" x14ac:dyDescent="0.3">
      <c r="A1904" t="s">
        <v>17</v>
      </c>
      <c r="B1904" t="str">
        <f>"688270"</f>
        <v>688270</v>
      </c>
      <c r="C1904" t="s">
        <v>3850</v>
      </c>
      <c r="F1904">
        <v>-11863056</v>
      </c>
      <c r="G1904">
        <v>7104781</v>
      </c>
      <c r="P1904">
        <v>12</v>
      </c>
      <c r="Q1904" t="s">
        <v>3851</v>
      </c>
    </row>
    <row r="1905" spans="1:17" x14ac:dyDescent="0.3">
      <c r="A1905" t="s">
        <v>17</v>
      </c>
      <c r="B1905" t="str">
        <f>"688272"</f>
        <v>688272</v>
      </c>
      <c r="C1905" t="s">
        <v>3852</v>
      </c>
      <c r="D1905" t="s">
        <v>92</v>
      </c>
      <c r="F1905">
        <v>-59440165</v>
      </c>
      <c r="G1905">
        <v>25784480</v>
      </c>
      <c r="P1905">
        <v>11</v>
      </c>
      <c r="Q1905" t="s">
        <v>3853</v>
      </c>
    </row>
    <row r="1906" spans="1:17" x14ac:dyDescent="0.3">
      <c r="A1906" t="s">
        <v>17</v>
      </c>
      <c r="B1906" t="str">
        <f>"688276"</f>
        <v>688276</v>
      </c>
      <c r="C1906" t="s">
        <v>3854</v>
      </c>
      <c r="D1906" t="s">
        <v>113</v>
      </c>
      <c r="F1906">
        <v>-561097165</v>
      </c>
      <c r="G1906">
        <v>-201913304</v>
      </c>
      <c r="P1906">
        <v>46</v>
      </c>
      <c r="Q1906" t="s">
        <v>3855</v>
      </c>
    </row>
    <row r="1907" spans="1:17" x14ac:dyDescent="0.3">
      <c r="A1907" t="s">
        <v>17</v>
      </c>
      <c r="B1907" t="str">
        <f>"688277"</f>
        <v>688277</v>
      </c>
      <c r="C1907" t="s">
        <v>3856</v>
      </c>
      <c r="D1907" t="s">
        <v>113</v>
      </c>
      <c r="F1907">
        <v>-277689088</v>
      </c>
      <c r="G1907">
        <v>-204851175</v>
      </c>
      <c r="H1907">
        <v>-59448267</v>
      </c>
      <c r="P1907">
        <v>120</v>
      </c>
      <c r="Q1907" t="s">
        <v>3857</v>
      </c>
    </row>
    <row r="1908" spans="1:17" x14ac:dyDescent="0.3">
      <c r="A1908" t="s">
        <v>17</v>
      </c>
      <c r="B1908" t="str">
        <f>"688278"</f>
        <v>688278</v>
      </c>
      <c r="C1908" t="s">
        <v>3858</v>
      </c>
      <c r="D1908" t="s">
        <v>113</v>
      </c>
      <c r="F1908">
        <v>54239674</v>
      </c>
      <c r="G1908">
        <v>-16956815</v>
      </c>
      <c r="H1908">
        <v>36294903</v>
      </c>
      <c r="I1908">
        <v>55641200</v>
      </c>
      <c r="P1908">
        <v>156</v>
      </c>
      <c r="Q1908" t="s">
        <v>3859</v>
      </c>
    </row>
    <row r="1909" spans="1:17" x14ac:dyDescent="0.3">
      <c r="A1909" t="s">
        <v>17</v>
      </c>
      <c r="B1909" t="str">
        <f>"688280"</f>
        <v>688280</v>
      </c>
      <c r="C1909" t="s">
        <v>3860</v>
      </c>
      <c r="D1909" t="s">
        <v>27</v>
      </c>
      <c r="F1909">
        <v>-187546634</v>
      </c>
      <c r="G1909">
        <v>-227292263</v>
      </c>
      <c r="P1909">
        <v>22</v>
      </c>
      <c r="Q1909" t="s">
        <v>3861</v>
      </c>
    </row>
    <row r="1910" spans="1:17" x14ac:dyDescent="0.3">
      <c r="A1910" t="s">
        <v>17</v>
      </c>
      <c r="B1910" t="str">
        <f>"688281"</f>
        <v>688281</v>
      </c>
      <c r="C1910" t="s">
        <v>3862</v>
      </c>
      <c r="F1910">
        <v>61994028</v>
      </c>
      <c r="G1910">
        <v>-23138186</v>
      </c>
      <c r="P1910">
        <v>13</v>
      </c>
      <c r="Q1910" t="s">
        <v>3863</v>
      </c>
    </row>
    <row r="1911" spans="1:17" x14ac:dyDescent="0.3">
      <c r="A1911" t="s">
        <v>17</v>
      </c>
      <c r="B1911" t="str">
        <f>"688283"</f>
        <v>688283</v>
      </c>
      <c r="C1911" t="s">
        <v>3864</v>
      </c>
      <c r="F1911">
        <v>-26490944</v>
      </c>
      <c r="G1911">
        <v>-10081964</v>
      </c>
      <c r="P1911">
        <v>17</v>
      </c>
      <c r="Q1911" t="s">
        <v>3865</v>
      </c>
    </row>
    <row r="1912" spans="1:17" x14ac:dyDescent="0.3">
      <c r="A1912" t="s">
        <v>17</v>
      </c>
      <c r="B1912" t="str">
        <f>"688285"</f>
        <v>688285</v>
      </c>
      <c r="C1912" t="s">
        <v>3866</v>
      </c>
      <c r="D1912" t="s">
        <v>78</v>
      </c>
      <c r="F1912">
        <v>-98837730</v>
      </c>
      <c r="G1912">
        <v>-101690929</v>
      </c>
      <c r="P1912">
        <v>14</v>
      </c>
      <c r="Q1912" t="s">
        <v>3867</v>
      </c>
    </row>
    <row r="1913" spans="1:17" x14ac:dyDescent="0.3">
      <c r="A1913" t="s">
        <v>17</v>
      </c>
      <c r="B1913" t="str">
        <f>"688286"</f>
        <v>688286</v>
      </c>
      <c r="C1913" t="s">
        <v>3868</v>
      </c>
      <c r="D1913" t="s">
        <v>150</v>
      </c>
      <c r="F1913">
        <v>-108162802</v>
      </c>
      <c r="G1913">
        <v>-62952505</v>
      </c>
      <c r="H1913">
        <v>-7839701</v>
      </c>
      <c r="P1913">
        <v>91</v>
      </c>
      <c r="Q1913" t="s">
        <v>3869</v>
      </c>
    </row>
    <row r="1914" spans="1:17" x14ac:dyDescent="0.3">
      <c r="A1914" t="s">
        <v>17</v>
      </c>
      <c r="B1914" t="str">
        <f>"688288"</f>
        <v>688288</v>
      </c>
      <c r="C1914" t="s">
        <v>3870</v>
      </c>
      <c r="D1914" t="s">
        <v>212</v>
      </c>
      <c r="F1914">
        <v>-91531739</v>
      </c>
      <c r="G1914">
        <v>-57424292</v>
      </c>
      <c r="H1914">
        <v>-10832987</v>
      </c>
      <c r="I1914">
        <v>25670719</v>
      </c>
      <c r="P1914">
        <v>110</v>
      </c>
      <c r="Q1914" t="s">
        <v>3871</v>
      </c>
    </row>
    <row r="1915" spans="1:17" x14ac:dyDescent="0.3">
      <c r="A1915" t="s">
        <v>17</v>
      </c>
      <c r="B1915" t="str">
        <f>"688289"</f>
        <v>688289</v>
      </c>
      <c r="C1915" t="s">
        <v>3872</v>
      </c>
      <c r="D1915" t="s">
        <v>113</v>
      </c>
      <c r="F1915">
        <v>1261145658</v>
      </c>
      <c r="G1915">
        <v>1730601889</v>
      </c>
      <c r="H1915">
        <v>-62766057</v>
      </c>
      <c r="P1915">
        <v>209</v>
      </c>
      <c r="Q1915" t="s">
        <v>3873</v>
      </c>
    </row>
    <row r="1916" spans="1:17" x14ac:dyDescent="0.3">
      <c r="A1916" t="s">
        <v>17</v>
      </c>
      <c r="B1916" t="str">
        <f>"688296"</f>
        <v>688296</v>
      </c>
      <c r="C1916" t="s">
        <v>3874</v>
      </c>
      <c r="D1916" t="s">
        <v>212</v>
      </c>
      <c r="F1916">
        <v>-82230837</v>
      </c>
      <c r="G1916">
        <v>-75884117</v>
      </c>
      <c r="P1916">
        <v>24</v>
      </c>
      <c r="Q1916" t="s">
        <v>3875</v>
      </c>
    </row>
    <row r="1917" spans="1:17" x14ac:dyDescent="0.3">
      <c r="A1917" t="s">
        <v>17</v>
      </c>
      <c r="B1917" t="str">
        <f>"688298"</f>
        <v>688298</v>
      </c>
      <c r="C1917" t="s">
        <v>3876</v>
      </c>
      <c r="D1917" t="s">
        <v>113</v>
      </c>
      <c r="F1917">
        <v>3890324720</v>
      </c>
      <c r="G1917">
        <v>484786471</v>
      </c>
      <c r="H1917">
        <v>23430752</v>
      </c>
      <c r="I1917">
        <v>-7075586</v>
      </c>
      <c r="P1917">
        <v>478</v>
      </c>
      <c r="Q1917" t="s">
        <v>3877</v>
      </c>
    </row>
    <row r="1918" spans="1:17" x14ac:dyDescent="0.3">
      <c r="A1918" t="s">
        <v>17</v>
      </c>
      <c r="B1918" t="str">
        <f>"688299"</f>
        <v>688299</v>
      </c>
      <c r="C1918" t="s">
        <v>3878</v>
      </c>
      <c r="D1918" t="s">
        <v>150</v>
      </c>
      <c r="F1918">
        <v>1617490</v>
      </c>
      <c r="G1918">
        <v>70451843</v>
      </c>
      <c r="H1918">
        <v>115108488</v>
      </c>
      <c r="I1918">
        <v>16901521</v>
      </c>
      <c r="P1918">
        <v>239</v>
      </c>
      <c r="Q1918" t="s">
        <v>3879</v>
      </c>
    </row>
    <row r="1919" spans="1:17" x14ac:dyDescent="0.3">
      <c r="A1919" t="s">
        <v>17</v>
      </c>
      <c r="B1919" t="str">
        <f>"688300"</f>
        <v>688300</v>
      </c>
      <c r="C1919" t="s">
        <v>3880</v>
      </c>
      <c r="D1919" t="s">
        <v>133</v>
      </c>
      <c r="F1919">
        <v>-49716780</v>
      </c>
      <c r="G1919">
        <v>9251057</v>
      </c>
      <c r="H1919">
        <v>10087315</v>
      </c>
      <c r="I1919">
        <v>-2277490</v>
      </c>
      <c r="P1919">
        <v>196</v>
      </c>
      <c r="Q1919" t="s">
        <v>3881</v>
      </c>
    </row>
    <row r="1920" spans="1:17" x14ac:dyDescent="0.3">
      <c r="A1920" t="s">
        <v>17</v>
      </c>
      <c r="B1920" t="str">
        <f>"688301"</f>
        <v>688301</v>
      </c>
      <c r="C1920" t="s">
        <v>3882</v>
      </c>
      <c r="D1920" t="s">
        <v>113</v>
      </c>
      <c r="F1920">
        <v>58060464</v>
      </c>
      <c r="G1920">
        <v>111597392</v>
      </c>
      <c r="H1920">
        <v>-25915780</v>
      </c>
      <c r="P1920">
        <v>178</v>
      </c>
      <c r="Q1920" t="s">
        <v>3883</v>
      </c>
    </row>
    <row r="1921" spans="1:17" x14ac:dyDescent="0.3">
      <c r="A1921" t="s">
        <v>17</v>
      </c>
      <c r="B1921" t="str">
        <f>"688303"</f>
        <v>688303</v>
      </c>
      <c r="C1921" t="s">
        <v>3884</v>
      </c>
      <c r="D1921" t="s">
        <v>188</v>
      </c>
      <c r="F1921">
        <v>1511791389</v>
      </c>
      <c r="G1921">
        <v>-545277081</v>
      </c>
      <c r="P1921">
        <v>109</v>
      </c>
      <c r="Q1921" t="s">
        <v>3885</v>
      </c>
    </row>
    <row r="1922" spans="1:17" x14ac:dyDescent="0.3">
      <c r="A1922" t="s">
        <v>17</v>
      </c>
      <c r="B1922" t="str">
        <f>"688305"</f>
        <v>688305</v>
      </c>
      <c r="C1922" t="s">
        <v>3886</v>
      </c>
      <c r="D1922" t="s">
        <v>78</v>
      </c>
      <c r="F1922">
        <v>-111589492</v>
      </c>
      <c r="P1922">
        <v>79</v>
      </c>
      <c r="Q1922" t="s">
        <v>3887</v>
      </c>
    </row>
    <row r="1923" spans="1:17" x14ac:dyDescent="0.3">
      <c r="A1923" t="s">
        <v>17</v>
      </c>
      <c r="B1923" t="str">
        <f>"688306"</f>
        <v>688306</v>
      </c>
      <c r="C1923" t="s">
        <v>3888</v>
      </c>
      <c r="F1923">
        <v>-17778708</v>
      </c>
      <c r="G1923">
        <v>-87698493</v>
      </c>
      <c r="P1923">
        <v>3</v>
      </c>
      <c r="Q1923" t="s">
        <v>3889</v>
      </c>
    </row>
    <row r="1924" spans="1:17" x14ac:dyDescent="0.3">
      <c r="A1924" t="s">
        <v>17</v>
      </c>
      <c r="B1924" t="str">
        <f>"688308"</f>
        <v>688308</v>
      </c>
      <c r="C1924" t="s">
        <v>3890</v>
      </c>
      <c r="D1924" t="s">
        <v>78</v>
      </c>
      <c r="F1924">
        <v>-119892435</v>
      </c>
      <c r="G1924">
        <v>23806633</v>
      </c>
      <c r="H1924">
        <v>52685858</v>
      </c>
      <c r="P1924">
        <v>92</v>
      </c>
      <c r="Q1924" t="s">
        <v>3891</v>
      </c>
    </row>
    <row r="1925" spans="1:17" x14ac:dyDescent="0.3">
      <c r="A1925" t="s">
        <v>17</v>
      </c>
      <c r="B1925" t="str">
        <f>"688309"</f>
        <v>688309</v>
      </c>
      <c r="C1925" t="s">
        <v>3892</v>
      </c>
      <c r="D1925" t="s">
        <v>33</v>
      </c>
      <c r="F1925">
        <v>-8615012</v>
      </c>
      <c r="G1925">
        <v>-46931888</v>
      </c>
      <c r="H1925">
        <v>-49844045</v>
      </c>
      <c r="P1925">
        <v>30</v>
      </c>
      <c r="Q1925" t="s">
        <v>3893</v>
      </c>
    </row>
    <row r="1926" spans="1:17" x14ac:dyDescent="0.3">
      <c r="A1926" t="s">
        <v>17</v>
      </c>
      <c r="B1926" t="str">
        <f>"688310"</f>
        <v>688310</v>
      </c>
      <c r="C1926" t="s">
        <v>3894</v>
      </c>
      <c r="D1926" t="s">
        <v>78</v>
      </c>
      <c r="F1926">
        <v>-52080501</v>
      </c>
      <c r="G1926">
        <v>2076361</v>
      </c>
      <c r="H1926">
        <v>-44350048</v>
      </c>
      <c r="I1926">
        <v>-20050077</v>
      </c>
      <c r="P1926">
        <v>93</v>
      </c>
      <c r="Q1926" t="s">
        <v>3895</v>
      </c>
    </row>
    <row r="1927" spans="1:17" x14ac:dyDescent="0.3">
      <c r="A1927" t="s">
        <v>17</v>
      </c>
      <c r="B1927" t="str">
        <f>"688311"</f>
        <v>688311</v>
      </c>
      <c r="C1927" t="s">
        <v>3896</v>
      </c>
      <c r="D1927" t="s">
        <v>92</v>
      </c>
      <c r="F1927">
        <v>-174207995</v>
      </c>
      <c r="G1927">
        <v>-169929649</v>
      </c>
      <c r="H1927">
        <v>-112040197</v>
      </c>
      <c r="P1927">
        <v>74</v>
      </c>
      <c r="Q1927" t="s">
        <v>3897</v>
      </c>
    </row>
    <row r="1928" spans="1:17" x14ac:dyDescent="0.3">
      <c r="A1928" t="s">
        <v>17</v>
      </c>
      <c r="B1928" t="str">
        <f>"688312"</f>
        <v>688312</v>
      </c>
      <c r="C1928" t="s">
        <v>3898</v>
      </c>
      <c r="D1928" t="s">
        <v>78</v>
      </c>
      <c r="F1928">
        <v>81763578</v>
      </c>
      <c r="G1928">
        <v>-31110867</v>
      </c>
      <c r="H1928">
        <v>73395784</v>
      </c>
      <c r="P1928">
        <v>66</v>
      </c>
      <c r="Q1928" t="s">
        <v>3899</v>
      </c>
    </row>
    <row r="1929" spans="1:17" x14ac:dyDescent="0.3">
      <c r="A1929" t="s">
        <v>17</v>
      </c>
      <c r="B1929" t="str">
        <f>"688313"</f>
        <v>688313</v>
      </c>
      <c r="C1929" t="s">
        <v>3900</v>
      </c>
      <c r="D1929" t="s">
        <v>100</v>
      </c>
      <c r="F1929">
        <v>-53936103</v>
      </c>
      <c r="G1929">
        <v>-25075345</v>
      </c>
      <c r="H1929">
        <v>10096546</v>
      </c>
      <c r="P1929">
        <v>50</v>
      </c>
      <c r="Q1929" t="s">
        <v>3901</v>
      </c>
    </row>
    <row r="1930" spans="1:17" x14ac:dyDescent="0.3">
      <c r="A1930" t="s">
        <v>17</v>
      </c>
      <c r="B1930" t="str">
        <f>"688314"</f>
        <v>688314</v>
      </c>
      <c r="C1930" t="s">
        <v>3902</v>
      </c>
      <c r="D1930" t="s">
        <v>113</v>
      </c>
      <c r="F1930">
        <v>21421579</v>
      </c>
      <c r="G1930">
        <v>3841672</v>
      </c>
      <c r="P1930">
        <v>53</v>
      </c>
      <c r="Q1930" t="s">
        <v>3903</v>
      </c>
    </row>
    <row r="1931" spans="1:17" x14ac:dyDescent="0.3">
      <c r="A1931" t="s">
        <v>17</v>
      </c>
      <c r="B1931" t="str">
        <f>"688315"</f>
        <v>688315</v>
      </c>
      <c r="C1931" t="s">
        <v>3904</v>
      </c>
      <c r="D1931" t="s">
        <v>113</v>
      </c>
      <c r="F1931">
        <v>-135867218</v>
      </c>
      <c r="G1931">
        <v>-122696893</v>
      </c>
      <c r="P1931">
        <v>46</v>
      </c>
      <c r="Q1931" t="s">
        <v>3905</v>
      </c>
    </row>
    <row r="1932" spans="1:17" x14ac:dyDescent="0.3">
      <c r="A1932" t="s">
        <v>17</v>
      </c>
      <c r="B1932" t="str">
        <f>"688316"</f>
        <v>688316</v>
      </c>
      <c r="C1932" t="s">
        <v>3906</v>
      </c>
      <c r="D1932" t="s">
        <v>212</v>
      </c>
      <c r="F1932">
        <v>-237392926</v>
      </c>
      <c r="G1932">
        <v>-81613903</v>
      </c>
      <c r="H1932">
        <v>-127242127</v>
      </c>
      <c r="P1932">
        <v>31</v>
      </c>
      <c r="Q1932" t="s">
        <v>3907</v>
      </c>
    </row>
    <row r="1933" spans="1:17" x14ac:dyDescent="0.3">
      <c r="A1933" t="s">
        <v>17</v>
      </c>
      <c r="B1933" t="str">
        <f>"688317"</f>
        <v>688317</v>
      </c>
      <c r="C1933" t="s">
        <v>3908</v>
      </c>
      <c r="D1933" t="s">
        <v>113</v>
      </c>
      <c r="F1933">
        <v>-123650625</v>
      </c>
      <c r="G1933">
        <v>706010474</v>
      </c>
      <c r="H1933">
        <v>49350800</v>
      </c>
      <c r="P1933">
        <v>120</v>
      </c>
      <c r="Q1933" t="s">
        <v>3909</v>
      </c>
    </row>
    <row r="1934" spans="1:17" x14ac:dyDescent="0.3">
      <c r="A1934" t="s">
        <v>17</v>
      </c>
      <c r="B1934" t="str">
        <f>"688318"</f>
        <v>688318</v>
      </c>
      <c r="C1934" t="s">
        <v>3910</v>
      </c>
      <c r="D1934" t="s">
        <v>212</v>
      </c>
      <c r="F1934">
        <v>107305585</v>
      </c>
      <c r="G1934">
        <v>92169534</v>
      </c>
      <c r="H1934">
        <v>48927100</v>
      </c>
      <c r="I1934">
        <v>46181900</v>
      </c>
      <c r="P1934">
        <v>155</v>
      </c>
      <c r="Q1934" t="s">
        <v>3911</v>
      </c>
    </row>
    <row r="1935" spans="1:17" x14ac:dyDescent="0.3">
      <c r="A1935" t="s">
        <v>17</v>
      </c>
      <c r="B1935" t="str">
        <f>"688319"</f>
        <v>688319</v>
      </c>
      <c r="C1935" t="s">
        <v>3912</v>
      </c>
      <c r="D1935" t="s">
        <v>113</v>
      </c>
      <c r="F1935">
        <v>-47339055</v>
      </c>
      <c r="P1935">
        <v>46</v>
      </c>
      <c r="Q1935" t="s">
        <v>3913</v>
      </c>
    </row>
    <row r="1936" spans="1:17" x14ac:dyDescent="0.3">
      <c r="A1936" t="s">
        <v>17</v>
      </c>
      <c r="B1936" t="str">
        <f>"688321"</f>
        <v>688321</v>
      </c>
      <c r="C1936" t="s">
        <v>3914</v>
      </c>
      <c r="D1936" t="s">
        <v>113</v>
      </c>
      <c r="F1936">
        <v>-117256820</v>
      </c>
      <c r="G1936">
        <v>-145333947</v>
      </c>
      <c r="H1936">
        <v>-118078097</v>
      </c>
      <c r="I1936">
        <v>-105870319</v>
      </c>
      <c r="P1936">
        <v>157</v>
      </c>
      <c r="Q1936" t="s">
        <v>3915</v>
      </c>
    </row>
    <row r="1937" spans="1:17" x14ac:dyDescent="0.3">
      <c r="A1937" t="s">
        <v>17</v>
      </c>
      <c r="B1937" t="str">
        <f>"688323"</f>
        <v>688323</v>
      </c>
      <c r="C1937" t="s">
        <v>3916</v>
      </c>
      <c r="D1937" t="s">
        <v>133</v>
      </c>
      <c r="F1937">
        <v>-251596530</v>
      </c>
      <c r="P1937">
        <v>26</v>
      </c>
      <c r="Q1937" t="s">
        <v>3917</v>
      </c>
    </row>
    <row r="1938" spans="1:17" x14ac:dyDescent="0.3">
      <c r="A1938" t="s">
        <v>17</v>
      </c>
      <c r="B1938" t="str">
        <f>"688326"</f>
        <v>688326</v>
      </c>
      <c r="C1938" t="s">
        <v>3918</v>
      </c>
      <c r="F1938">
        <v>-138569273</v>
      </c>
      <c r="G1938">
        <v>-142247363</v>
      </c>
      <c r="P1938">
        <v>4</v>
      </c>
      <c r="Q1938" t="s">
        <v>3919</v>
      </c>
    </row>
    <row r="1939" spans="1:17" x14ac:dyDescent="0.3">
      <c r="A1939" t="s">
        <v>17</v>
      </c>
      <c r="B1939" t="str">
        <f>"688328"</f>
        <v>688328</v>
      </c>
      <c r="C1939" t="s">
        <v>3920</v>
      </c>
      <c r="D1939" t="s">
        <v>78</v>
      </c>
      <c r="F1939">
        <v>-222289151</v>
      </c>
      <c r="G1939">
        <v>-107258469</v>
      </c>
      <c r="P1939">
        <v>39</v>
      </c>
      <c r="Q1939" t="s">
        <v>3921</v>
      </c>
    </row>
    <row r="1940" spans="1:17" x14ac:dyDescent="0.3">
      <c r="A1940" t="s">
        <v>17</v>
      </c>
      <c r="B1940" t="str">
        <f>"688329"</f>
        <v>688329</v>
      </c>
      <c r="C1940" t="s">
        <v>3922</v>
      </c>
      <c r="D1940" t="s">
        <v>78</v>
      </c>
      <c r="F1940">
        <v>-50800898</v>
      </c>
      <c r="G1940">
        <v>-19457747</v>
      </c>
      <c r="P1940">
        <v>43</v>
      </c>
      <c r="Q1940" t="s">
        <v>3923</v>
      </c>
    </row>
    <row r="1941" spans="1:17" x14ac:dyDescent="0.3">
      <c r="A1941" t="s">
        <v>17</v>
      </c>
      <c r="B1941" t="str">
        <f>"688330"</f>
        <v>688330</v>
      </c>
      <c r="C1941" t="s">
        <v>3924</v>
      </c>
      <c r="D1941" t="s">
        <v>188</v>
      </c>
      <c r="F1941">
        <v>-159678526</v>
      </c>
      <c r="G1941">
        <v>-310662450</v>
      </c>
      <c r="H1941">
        <v>-300580414</v>
      </c>
      <c r="P1941">
        <v>90</v>
      </c>
      <c r="Q1941" t="s">
        <v>3925</v>
      </c>
    </row>
    <row r="1942" spans="1:17" x14ac:dyDescent="0.3">
      <c r="A1942" t="s">
        <v>17</v>
      </c>
      <c r="B1942" t="str">
        <f>"688331"</f>
        <v>688331</v>
      </c>
      <c r="C1942" t="s">
        <v>3926</v>
      </c>
      <c r="F1942">
        <v>-1149805152</v>
      </c>
      <c r="G1942">
        <v>-742428966</v>
      </c>
      <c r="P1942">
        <v>5</v>
      </c>
      <c r="Q1942" t="s">
        <v>3927</v>
      </c>
    </row>
    <row r="1943" spans="1:17" x14ac:dyDescent="0.3">
      <c r="A1943" t="s">
        <v>17</v>
      </c>
      <c r="B1943" t="str">
        <f>"688333"</f>
        <v>688333</v>
      </c>
      <c r="C1943" t="s">
        <v>3928</v>
      </c>
      <c r="D1943" t="s">
        <v>78</v>
      </c>
      <c r="F1943">
        <v>-362522774</v>
      </c>
      <c r="G1943">
        <v>-167081806</v>
      </c>
      <c r="H1943">
        <v>-29664639</v>
      </c>
      <c r="I1943">
        <v>-171816392</v>
      </c>
      <c r="P1943">
        <v>117</v>
      </c>
      <c r="Q1943" t="s">
        <v>3929</v>
      </c>
    </row>
    <row r="1944" spans="1:17" x14ac:dyDescent="0.3">
      <c r="A1944" t="s">
        <v>17</v>
      </c>
      <c r="B1944" t="str">
        <f>"688335"</f>
        <v>688335</v>
      </c>
      <c r="C1944" t="s">
        <v>3930</v>
      </c>
      <c r="D1944" t="s">
        <v>33</v>
      </c>
      <c r="F1944">
        <v>-16485564</v>
      </c>
      <c r="G1944">
        <v>-93634643</v>
      </c>
      <c r="H1944">
        <v>-35134679</v>
      </c>
      <c r="P1944">
        <v>61</v>
      </c>
      <c r="Q1944" t="s">
        <v>3931</v>
      </c>
    </row>
    <row r="1945" spans="1:17" x14ac:dyDescent="0.3">
      <c r="A1945" t="s">
        <v>17</v>
      </c>
      <c r="B1945" t="str">
        <f>"688336"</f>
        <v>688336</v>
      </c>
      <c r="C1945" t="s">
        <v>3932</v>
      </c>
      <c r="D1945" t="s">
        <v>113</v>
      </c>
      <c r="F1945">
        <v>-337980555</v>
      </c>
      <c r="G1945">
        <v>-154885511</v>
      </c>
      <c r="H1945">
        <v>304173797</v>
      </c>
      <c r="P1945">
        <v>52</v>
      </c>
      <c r="Q1945" t="s">
        <v>3933</v>
      </c>
    </row>
    <row r="1946" spans="1:17" x14ac:dyDescent="0.3">
      <c r="A1946" t="s">
        <v>17</v>
      </c>
      <c r="B1946" t="str">
        <f>"688338"</f>
        <v>688338</v>
      </c>
      <c r="C1946" t="s">
        <v>3934</v>
      </c>
      <c r="D1946" t="s">
        <v>113</v>
      </c>
      <c r="F1946">
        <v>56779397</v>
      </c>
      <c r="G1946">
        <v>-1602469</v>
      </c>
      <c r="H1946">
        <v>25488281</v>
      </c>
      <c r="P1946">
        <v>56</v>
      </c>
      <c r="Q1946" t="s">
        <v>3935</v>
      </c>
    </row>
    <row r="1947" spans="1:17" x14ac:dyDescent="0.3">
      <c r="A1947" t="s">
        <v>17</v>
      </c>
      <c r="B1947" t="str">
        <f>"688339"</f>
        <v>688339</v>
      </c>
      <c r="C1947" t="s">
        <v>3936</v>
      </c>
      <c r="D1947" t="s">
        <v>188</v>
      </c>
      <c r="F1947">
        <v>-313337439</v>
      </c>
      <c r="G1947">
        <v>-250117977</v>
      </c>
      <c r="H1947">
        <v>-291678884</v>
      </c>
      <c r="P1947">
        <v>153</v>
      </c>
      <c r="Q1947" t="s">
        <v>3937</v>
      </c>
    </row>
    <row r="1948" spans="1:17" x14ac:dyDescent="0.3">
      <c r="A1948" t="s">
        <v>17</v>
      </c>
      <c r="B1948" t="str">
        <f>"688345"</f>
        <v>688345</v>
      </c>
      <c r="C1948" t="s">
        <v>3938</v>
      </c>
      <c r="D1948" t="s">
        <v>188</v>
      </c>
      <c r="F1948">
        <v>-176946198</v>
      </c>
      <c r="G1948">
        <v>17658417</v>
      </c>
      <c r="P1948">
        <v>39</v>
      </c>
      <c r="Q1948" t="s">
        <v>3939</v>
      </c>
    </row>
    <row r="1949" spans="1:17" x14ac:dyDescent="0.3">
      <c r="A1949" t="s">
        <v>17</v>
      </c>
      <c r="B1949" t="str">
        <f>"688350"</f>
        <v>688350</v>
      </c>
      <c r="C1949" t="s">
        <v>3940</v>
      </c>
      <c r="D1949" t="s">
        <v>133</v>
      </c>
      <c r="F1949">
        <v>-11216167</v>
      </c>
      <c r="G1949">
        <v>104446233</v>
      </c>
      <c r="H1949">
        <v>139577300</v>
      </c>
      <c r="P1949">
        <v>34</v>
      </c>
      <c r="Q1949" t="s">
        <v>3941</v>
      </c>
    </row>
    <row r="1950" spans="1:17" x14ac:dyDescent="0.3">
      <c r="A1950" t="s">
        <v>17</v>
      </c>
      <c r="B1950" t="str">
        <f>"688355"</f>
        <v>688355</v>
      </c>
      <c r="C1950" t="s">
        <v>3942</v>
      </c>
      <c r="D1950" t="s">
        <v>78</v>
      </c>
      <c r="F1950">
        <v>54461968</v>
      </c>
      <c r="P1950">
        <v>21</v>
      </c>
      <c r="Q1950" t="s">
        <v>3943</v>
      </c>
    </row>
    <row r="1951" spans="1:17" x14ac:dyDescent="0.3">
      <c r="A1951" t="s">
        <v>17</v>
      </c>
      <c r="B1951" t="str">
        <f>"688356"</f>
        <v>688356</v>
      </c>
      <c r="C1951" t="s">
        <v>3944</v>
      </c>
      <c r="D1951" t="s">
        <v>113</v>
      </c>
      <c r="F1951">
        <v>19944104</v>
      </c>
      <c r="G1951">
        <v>22209030</v>
      </c>
      <c r="H1951">
        <v>9387784</v>
      </c>
      <c r="P1951">
        <v>152</v>
      </c>
      <c r="Q1951" t="s">
        <v>3945</v>
      </c>
    </row>
    <row r="1952" spans="1:17" x14ac:dyDescent="0.3">
      <c r="A1952" t="s">
        <v>17</v>
      </c>
      <c r="B1952" t="str">
        <f>"688357"</f>
        <v>688357</v>
      </c>
      <c r="C1952" t="s">
        <v>3946</v>
      </c>
      <c r="D1952" t="s">
        <v>133</v>
      </c>
      <c r="F1952">
        <v>119852693</v>
      </c>
      <c r="G1952">
        <v>53765638</v>
      </c>
      <c r="H1952">
        <v>24124117</v>
      </c>
      <c r="I1952">
        <v>59325586</v>
      </c>
      <c r="P1952">
        <v>157</v>
      </c>
      <c r="Q1952" t="s">
        <v>3947</v>
      </c>
    </row>
    <row r="1953" spans="1:17" x14ac:dyDescent="0.3">
      <c r="A1953" t="s">
        <v>17</v>
      </c>
      <c r="B1953" t="str">
        <f>"688358"</f>
        <v>688358</v>
      </c>
      <c r="C1953" t="s">
        <v>3948</v>
      </c>
      <c r="D1953" t="s">
        <v>113</v>
      </c>
      <c r="F1953">
        <v>-26439227</v>
      </c>
      <c r="G1953">
        <v>-1144156</v>
      </c>
      <c r="H1953">
        <v>36806467</v>
      </c>
      <c r="I1953">
        <v>44122570</v>
      </c>
      <c r="P1953">
        <v>123</v>
      </c>
      <c r="Q1953" t="s">
        <v>3949</v>
      </c>
    </row>
    <row r="1954" spans="1:17" x14ac:dyDescent="0.3">
      <c r="A1954" t="s">
        <v>17</v>
      </c>
      <c r="B1954" t="str">
        <f>"688359"</f>
        <v>688359</v>
      </c>
      <c r="C1954" t="s">
        <v>3950</v>
      </c>
      <c r="D1954" t="s">
        <v>150</v>
      </c>
      <c r="F1954">
        <v>-50897208</v>
      </c>
      <c r="G1954">
        <v>1729009</v>
      </c>
      <c r="P1954">
        <v>23</v>
      </c>
      <c r="Q1954" t="s">
        <v>3951</v>
      </c>
    </row>
    <row r="1955" spans="1:17" x14ac:dyDescent="0.3">
      <c r="A1955" t="s">
        <v>17</v>
      </c>
      <c r="B1955" t="str">
        <f>"688360"</f>
        <v>688360</v>
      </c>
      <c r="C1955" t="s">
        <v>3952</v>
      </c>
      <c r="D1955" t="s">
        <v>78</v>
      </c>
      <c r="F1955">
        <v>-94248609</v>
      </c>
      <c r="G1955">
        <v>-69926722</v>
      </c>
      <c r="H1955">
        <v>31255840</v>
      </c>
      <c r="P1955">
        <v>84</v>
      </c>
      <c r="Q1955" t="s">
        <v>3953</v>
      </c>
    </row>
    <row r="1956" spans="1:17" x14ac:dyDescent="0.3">
      <c r="A1956" t="s">
        <v>17</v>
      </c>
      <c r="B1956" t="str">
        <f>"688363"</f>
        <v>688363</v>
      </c>
      <c r="C1956" t="s">
        <v>3954</v>
      </c>
      <c r="D1956" t="s">
        <v>481</v>
      </c>
      <c r="F1956">
        <v>-57698795</v>
      </c>
      <c r="G1956">
        <v>-85179124</v>
      </c>
      <c r="H1956">
        <v>-155892505</v>
      </c>
      <c r="I1956">
        <v>166567349</v>
      </c>
      <c r="P1956">
        <v>1158</v>
      </c>
      <c r="Q1956" t="s">
        <v>3955</v>
      </c>
    </row>
    <row r="1957" spans="1:17" x14ac:dyDescent="0.3">
      <c r="A1957" t="s">
        <v>17</v>
      </c>
      <c r="B1957" t="str">
        <f>"688365"</f>
        <v>688365</v>
      </c>
      <c r="C1957" t="s">
        <v>3956</v>
      </c>
      <c r="D1957" t="s">
        <v>212</v>
      </c>
      <c r="F1957">
        <v>-73735767</v>
      </c>
      <c r="G1957">
        <v>30698726</v>
      </c>
      <c r="H1957">
        <v>67391076</v>
      </c>
      <c r="I1957">
        <v>65034300</v>
      </c>
      <c r="P1957">
        <v>72</v>
      </c>
      <c r="Q1957" t="s">
        <v>3957</v>
      </c>
    </row>
    <row r="1958" spans="1:17" x14ac:dyDescent="0.3">
      <c r="A1958" t="s">
        <v>17</v>
      </c>
      <c r="B1958" t="str">
        <f>"688366"</f>
        <v>688366</v>
      </c>
      <c r="C1958" t="s">
        <v>3958</v>
      </c>
      <c r="D1958" t="s">
        <v>113</v>
      </c>
      <c r="F1958">
        <v>22391205</v>
      </c>
      <c r="G1958">
        <v>-21712862</v>
      </c>
      <c r="H1958">
        <v>-52329988</v>
      </c>
      <c r="I1958">
        <v>159576419</v>
      </c>
      <c r="P1958">
        <v>265</v>
      </c>
      <c r="Q1958" t="s">
        <v>3959</v>
      </c>
    </row>
    <row r="1959" spans="1:17" x14ac:dyDescent="0.3">
      <c r="A1959" t="s">
        <v>17</v>
      </c>
      <c r="B1959" t="str">
        <f>"688367"</f>
        <v>688367</v>
      </c>
      <c r="C1959" t="s">
        <v>3960</v>
      </c>
      <c r="D1959" t="s">
        <v>78</v>
      </c>
      <c r="F1959">
        <v>23298361</v>
      </c>
      <c r="G1959">
        <v>-28140957</v>
      </c>
      <c r="P1959">
        <v>30</v>
      </c>
      <c r="Q1959" t="s">
        <v>3961</v>
      </c>
    </row>
    <row r="1960" spans="1:17" x14ac:dyDescent="0.3">
      <c r="A1960" t="s">
        <v>17</v>
      </c>
      <c r="B1960" t="str">
        <f>"688368"</f>
        <v>688368</v>
      </c>
      <c r="C1960" t="s">
        <v>3962</v>
      </c>
      <c r="D1960" t="s">
        <v>150</v>
      </c>
      <c r="F1960">
        <v>491551887</v>
      </c>
      <c r="G1960">
        <v>-65009909</v>
      </c>
      <c r="H1960">
        <v>67884081</v>
      </c>
      <c r="I1960">
        <v>32629105</v>
      </c>
      <c r="P1960">
        <v>212</v>
      </c>
      <c r="Q1960" t="s">
        <v>3963</v>
      </c>
    </row>
    <row r="1961" spans="1:17" x14ac:dyDescent="0.3">
      <c r="A1961" t="s">
        <v>17</v>
      </c>
      <c r="B1961" t="str">
        <f>"688369"</f>
        <v>688369</v>
      </c>
      <c r="C1961" t="s">
        <v>3964</v>
      </c>
      <c r="D1961" t="s">
        <v>212</v>
      </c>
      <c r="F1961">
        <v>-237206051</v>
      </c>
      <c r="G1961">
        <v>-105648198</v>
      </c>
      <c r="H1961">
        <v>-133055372</v>
      </c>
      <c r="I1961">
        <v>-77463505</v>
      </c>
      <c r="P1961">
        <v>170</v>
      </c>
      <c r="Q1961" t="s">
        <v>3965</v>
      </c>
    </row>
    <row r="1962" spans="1:17" x14ac:dyDescent="0.3">
      <c r="A1962" t="s">
        <v>17</v>
      </c>
      <c r="B1962" t="str">
        <f>"688377"</f>
        <v>688377</v>
      </c>
      <c r="C1962" t="s">
        <v>3966</v>
      </c>
      <c r="D1962" t="s">
        <v>78</v>
      </c>
      <c r="F1962">
        <v>-75801150</v>
      </c>
      <c r="G1962">
        <v>25208715</v>
      </c>
      <c r="H1962">
        <v>4532666</v>
      </c>
      <c r="P1962">
        <v>52</v>
      </c>
      <c r="Q1962" t="s">
        <v>3967</v>
      </c>
    </row>
    <row r="1963" spans="1:17" x14ac:dyDescent="0.3">
      <c r="A1963" t="s">
        <v>17</v>
      </c>
      <c r="B1963" t="str">
        <f>"688378"</f>
        <v>688378</v>
      </c>
      <c r="C1963" t="s">
        <v>3968</v>
      </c>
      <c r="D1963" t="s">
        <v>78</v>
      </c>
      <c r="F1963">
        <v>-147364230</v>
      </c>
      <c r="G1963">
        <v>-62942355</v>
      </c>
      <c r="H1963">
        <v>-123636423</v>
      </c>
      <c r="P1963">
        <v>50</v>
      </c>
      <c r="Q1963" t="s">
        <v>3969</v>
      </c>
    </row>
    <row r="1964" spans="1:17" x14ac:dyDescent="0.3">
      <c r="A1964" t="s">
        <v>17</v>
      </c>
      <c r="B1964" t="str">
        <f>"688379"</f>
        <v>688379</v>
      </c>
      <c r="C1964" t="s">
        <v>3970</v>
      </c>
      <c r="D1964" t="s">
        <v>78</v>
      </c>
      <c r="F1964">
        <v>-469879485</v>
      </c>
      <c r="G1964">
        <v>-308301822</v>
      </c>
      <c r="H1964">
        <v>-196642536</v>
      </c>
      <c r="P1964">
        <v>36</v>
      </c>
      <c r="Q1964" t="s">
        <v>3971</v>
      </c>
    </row>
    <row r="1965" spans="1:17" x14ac:dyDescent="0.3">
      <c r="A1965" t="s">
        <v>17</v>
      </c>
      <c r="B1965" t="str">
        <f>"688383"</f>
        <v>688383</v>
      </c>
      <c r="C1965" t="s">
        <v>3972</v>
      </c>
      <c r="D1965" t="s">
        <v>78</v>
      </c>
      <c r="F1965">
        <v>-206175009</v>
      </c>
      <c r="G1965">
        <v>18777565</v>
      </c>
      <c r="P1965">
        <v>49</v>
      </c>
      <c r="Q1965" t="s">
        <v>3973</v>
      </c>
    </row>
    <row r="1966" spans="1:17" x14ac:dyDescent="0.3">
      <c r="A1966" t="s">
        <v>17</v>
      </c>
      <c r="B1966" t="str">
        <f>"688385"</f>
        <v>688385</v>
      </c>
      <c r="C1966" t="s">
        <v>3974</v>
      </c>
      <c r="D1966" t="s">
        <v>150</v>
      </c>
      <c r="F1966">
        <v>-67608629</v>
      </c>
      <c r="G1966">
        <v>-46462184</v>
      </c>
      <c r="P1966">
        <v>47</v>
      </c>
      <c r="Q1966" t="s">
        <v>3975</v>
      </c>
    </row>
    <row r="1967" spans="1:17" x14ac:dyDescent="0.3">
      <c r="A1967" t="s">
        <v>17</v>
      </c>
      <c r="B1967" t="str">
        <f>"688386"</f>
        <v>688386</v>
      </c>
      <c r="C1967" t="s">
        <v>3976</v>
      </c>
      <c r="D1967" t="s">
        <v>133</v>
      </c>
      <c r="F1967">
        <v>17651555</v>
      </c>
      <c r="G1967">
        <v>2892586</v>
      </c>
      <c r="H1967">
        <v>16158950</v>
      </c>
      <c r="P1967">
        <v>43</v>
      </c>
      <c r="Q1967" t="s">
        <v>3977</v>
      </c>
    </row>
    <row r="1968" spans="1:17" x14ac:dyDescent="0.3">
      <c r="A1968" t="s">
        <v>17</v>
      </c>
      <c r="B1968" t="str">
        <f>"688388"</f>
        <v>688388</v>
      </c>
      <c r="C1968" t="s">
        <v>3978</v>
      </c>
      <c r="D1968" t="s">
        <v>234</v>
      </c>
      <c r="F1968">
        <v>-480371867</v>
      </c>
      <c r="G1968">
        <v>-413818458</v>
      </c>
      <c r="H1968">
        <v>161424776</v>
      </c>
      <c r="I1968">
        <v>13596295</v>
      </c>
      <c r="P1968">
        <v>287</v>
      </c>
      <c r="Q1968" t="s">
        <v>3979</v>
      </c>
    </row>
    <row r="1969" spans="1:17" x14ac:dyDescent="0.3">
      <c r="A1969" t="s">
        <v>17</v>
      </c>
      <c r="B1969" t="str">
        <f>"688389"</f>
        <v>688389</v>
      </c>
      <c r="C1969" t="s">
        <v>3980</v>
      </c>
      <c r="D1969" t="s">
        <v>113</v>
      </c>
      <c r="F1969">
        <v>-20849875</v>
      </c>
      <c r="G1969">
        <v>9916864</v>
      </c>
      <c r="H1969">
        <v>-25548114</v>
      </c>
      <c r="I1969">
        <v>-30449355</v>
      </c>
      <c r="P1969">
        <v>162</v>
      </c>
      <c r="Q1969" t="s">
        <v>3981</v>
      </c>
    </row>
    <row r="1970" spans="1:17" x14ac:dyDescent="0.3">
      <c r="A1970" t="s">
        <v>17</v>
      </c>
      <c r="B1970" t="str">
        <f>"688390"</f>
        <v>688390</v>
      </c>
      <c r="C1970" t="s">
        <v>3982</v>
      </c>
      <c r="D1970" t="s">
        <v>188</v>
      </c>
      <c r="F1970">
        <v>-102550081</v>
      </c>
      <c r="G1970">
        <v>174041500</v>
      </c>
      <c r="H1970">
        <v>2142619</v>
      </c>
      <c r="P1970">
        <v>283</v>
      </c>
      <c r="Q1970" t="s">
        <v>3983</v>
      </c>
    </row>
    <row r="1971" spans="1:17" x14ac:dyDescent="0.3">
      <c r="A1971" t="s">
        <v>17</v>
      </c>
      <c r="B1971" t="str">
        <f>"688393"</f>
        <v>688393</v>
      </c>
      <c r="C1971" t="s">
        <v>3984</v>
      </c>
      <c r="D1971" t="s">
        <v>113</v>
      </c>
      <c r="F1971">
        <v>-43056456</v>
      </c>
      <c r="G1971">
        <v>6678547</v>
      </c>
      <c r="H1971">
        <v>37292937</v>
      </c>
      <c r="P1971">
        <v>76</v>
      </c>
      <c r="Q1971" t="s">
        <v>3985</v>
      </c>
    </row>
    <row r="1972" spans="1:17" x14ac:dyDescent="0.3">
      <c r="A1972" t="s">
        <v>17</v>
      </c>
      <c r="B1972" t="str">
        <f>"688395"</f>
        <v>688395</v>
      </c>
      <c r="C1972" t="s">
        <v>3986</v>
      </c>
      <c r="D1972" t="s">
        <v>78</v>
      </c>
      <c r="F1972">
        <v>-22638319</v>
      </c>
      <c r="G1972">
        <v>-14917050</v>
      </c>
      <c r="P1972">
        <v>36</v>
      </c>
      <c r="Q1972" t="s">
        <v>3987</v>
      </c>
    </row>
    <row r="1973" spans="1:17" x14ac:dyDescent="0.3">
      <c r="A1973" t="s">
        <v>17</v>
      </c>
      <c r="B1973" t="str">
        <f>"688396"</f>
        <v>688396</v>
      </c>
      <c r="C1973" t="s">
        <v>3988</v>
      </c>
      <c r="D1973" t="s">
        <v>150</v>
      </c>
      <c r="F1973">
        <v>1674236971</v>
      </c>
      <c r="G1973">
        <v>609392371</v>
      </c>
      <c r="H1973">
        <v>-245848868</v>
      </c>
      <c r="I1973">
        <v>1115256700</v>
      </c>
      <c r="P1973">
        <v>496</v>
      </c>
      <c r="Q1973" t="s">
        <v>3989</v>
      </c>
    </row>
    <row r="1974" spans="1:17" x14ac:dyDescent="0.3">
      <c r="A1974" t="s">
        <v>17</v>
      </c>
      <c r="B1974" t="str">
        <f>"688398"</f>
        <v>688398</v>
      </c>
      <c r="C1974" t="s">
        <v>3990</v>
      </c>
      <c r="D1974" t="s">
        <v>133</v>
      </c>
      <c r="F1974">
        <v>-69248710</v>
      </c>
      <c r="G1974">
        <v>-38799102</v>
      </c>
      <c r="H1974">
        <v>5971425</v>
      </c>
      <c r="I1974">
        <v>21404800</v>
      </c>
      <c r="P1974">
        <v>82</v>
      </c>
      <c r="Q1974" t="s">
        <v>3991</v>
      </c>
    </row>
    <row r="1975" spans="1:17" x14ac:dyDescent="0.3">
      <c r="A1975" t="s">
        <v>17</v>
      </c>
      <c r="B1975" t="str">
        <f>"688399"</f>
        <v>688399</v>
      </c>
      <c r="C1975" t="s">
        <v>3992</v>
      </c>
      <c r="D1975" t="s">
        <v>113</v>
      </c>
      <c r="F1975">
        <v>319660147</v>
      </c>
      <c r="G1975">
        <v>364087810</v>
      </c>
      <c r="H1975">
        <v>-28876736</v>
      </c>
      <c r="I1975">
        <v>-14907523</v>
      </c>
      <c r="P1975">
        <v>375</v>
      </c>
      <c r="Q1975" t="s">
        <v>3993</v>
      </c>
    </row>
    <row r="1976" spans="1:17" x14ac:dyDescent="0.3">
      <c r="A1976" t="s">
        <v>17</v>
      </c>
      <c r="B1976" t="str">
        <f>"688408"</f>
        <v>688408</v>
      </c>
      <c r="C1976" t="s">
        <v>3994</v>
      </c>
      <c r="D1976" t="s">
        <v>188</v>
      </c>
      <c r="F1976">
        <v>-500552383</v>
      </c>
      <c r="G1976">
        <v>155435969</v>
      </c>
      <c r="H1976">
        <v>1080000</v>
      </c>
      <c r="P1976">
        <v>114</v>
      </c>
      <c r="Q1976" t="s">
        <v>3995</v>
      </c>
    </row>
    <row r="1977" spans="1:17" x14ac:dyDescent="0.3">
      <c r="A1977" t="s">
        <v>17</v>
      </c>
      <c r="B1977" t="str">
        <f>"688418"</f>
        <v>688418</v>
      </c>
      <c r="C1977" t="s">
        <v>3996</v>
      </c>
      <c r="D1977" t="s">
        <v>100</v>
      </c>
      <c r="F1977">
        <v>-283365730</v>
      </c>
      <c r="G1977">
        <v>-145130145</v>
      </c>
      <c r="H1977">
        <v>-88501784</v>
      </c>
      <c r="P1977">
        <v>40</v>
      </c>
      <c r="Q1977" t="s">
        <v>3997</v>
      </c>
    </row>
    <row r="1978" spans="1:17" x14ac:dyDescent="0.3">
      <c r="A1978" t="s">
        <v>17</v>
      </c>
      <c r="B1978" t="str">
        <f>"688425"</f>
        <v>688425</v>
      </c>
      <c r="C1978" t="s">
        <v>3998</v>
      </c>
      <c r="D1978" t="s">
        <v>78</v>
      </c>
      <c r="F1978">
        <v>-1809971013</v>
      </c>
      <c r="P1978">
        <v>40</v>
      </c>
      <c r="Q1978" t="s">
        <v>3999</v>
      </c>
    </row>
    <row r="1979" spans="1:17" x14ac:dyDescent="0.3">
      <c r="A1979" t="s">
        <v>17</v>
      </c>
      <c r="B1979" t="str">
        <f>"688456"</f>
        <v>688456</v>
      </c>
      <c r="C1979" t="s">
        <v>4000</v>
      </c>
      <c r="D1979" t="s">
        <v>234</v>
      </c>
      <c r="F1979">
        <v>-121290338</v>
      </c>
      <c r="G1979">
        <v>-94528430</v>
      </c>
      <c r="H1979">
        <v>-93234172</v>
      </c>
      <c r="P1979">
        <v>28</v>
      </c>
      <c r="Q1979" t="s">
        <v>4001</v>
      </c>
    </row>
    <row r="1980" spans="1:17" x14ac:dyDescent="0.3">
      <c r="A1980" t="s">
        <v>17</v>
      </c>
      <c r="B1980" t="str">
        <f>"688466"</f>
        <v>688466</v>
      </c>
      <c r="C1980" t="s">
        <v>4002</v>
      </c>
      <c r="D1980" t="s">
        <v>33</v>
      </c>
      <c r="F1980">
        <v>-221561267</v>
      </c>
      <c r="G1980">
        <v>-186365032</v>
      </c>
      <c r="H1980">
        <v>-84713681</v>
      </c>
      <c r="I1980">
        <v>-24646600</v>
      </c>
      <c r="P1980">
        <v>60</v>
      </c>
      <c r="Q1980" t="s">
        <v>4003</v>
      </c>
    </row>
    <row r="1981" spans="1:17" x14ac:dyDescent="0.3">
      <c r="A1981" t="s">
        <v>17</v>
      </c>
      <c r="B1981" t="str">
        <f>"688468"</f>
        <v>688468</v>
      </c>
      <c r="C1981" t="s">
        <v>4004</v>
      </c>
      <c r="D1981" t="s">
        <v>113</v>
      </c>
      <c r="F1981">
        <v>91916726</v>
      </c>
      <c r="G1981">
        <v>37039119</v>
      </c>
      <c r="P1981">
        <v>39</v>
      </c>
      <c r="Q1981" t="s">
        <v>4005</v>
      </c>
    </row>
    <row r="1982" spans="1:17" x14ac:dyDescent="0.3">
      <c r="A1982" t="s">
        <v>17</v>
      </c>
      <c r="B1982" t="str">
        <f>"688488"</f>
        <v>688488</v>
      </c>
      <c r="C1982" t="s">
        <v>4006</v>
      </c>
      <c r="D1982" t="s">
        <v>113</v>
      </c>
      <c r="F1982">
        <v>-96001476</v>
      </c>
      <c r="G1982">
        <v>46261318</v>
      </c>
      <c r="H1982">
        <v>52960142</v>
      </c>
      <c r="P1982">
        <v>44</v>
      </c>
      <c r="Q1982" t="s">
        <v>4007</v>
      </c>
    </row>
    <row r="1983" spans="1:17" x14ac:dyDescent="0.3">
      <c r="A1983" t="s">
        <v>17</v>
      </c>
      <c r="B1983" t="str">
        <f>"688499"</f>
        <v>688499</v>
      </c>
      <c r="C1983" t="s">
        <v>4008</v>
      </c>
      <c r="D1983" t="s">
        <v>188</v>
      </c>
      <c r="F1983">
        <v>-369917488</v>
      </c>
      <c r="G1983">
        <v>-194692690</v>
      </c>
      <c r="P1983">
        <v>66</v>
      </c>
      <c r="Q1983" t="s">
        <v>4009</v>
      </c>
    </row>
    <row r="1984" spans="1:17" x14ac:dyDescent="0.3">
      <c r="A1984" t="s">
        <v>17</v>
      </c>
      <c r="B1984" t="str">
        <f>"688500"</f>
        <v>688500</v>
      </c>
      <c r="C1984" t="s">
        <v>4010</v>
      </c>
      <c r="D1984" t="s">
        <v>212</v>
      </c>
      <c r="F1984">
        <v>-89034240</v>
      </c>
      <c r="G1984">
        <v>-34528048</v>
      </c>
      <c r="H1984">
        <v>-43489886</v>
      </c>
      <c r="P1984">
        <v>26</v>
      </c>
      <c r="Q1984" t="s">
        <v>4011</v>
      </c>
    </row>
    <row r="1985" spans="1:17" x14ac:dyDescent="0.3">
      <c r="A1985" t="s">
        <v>17</v>
      </c>
      <c r="B1985" t="str">
        <f>"688501"</f>
        <v>688501</v>
      </c>
      <c r="C1985" t="s">
        <v>4012</v>
      </c>
      <c r="D1985" t="s">
        <v>33</v>
      </c>
      <c r="F1985">
        <v>-123089507</v>
      </c>
      <c r="G1985">
        <v>-139983648</v>
      </c>
      <c r="P1985">
        <v>24</v>
      </c>
      <c r="Q1985" t="s">
        <v>4013</v>
      </c>
    </row>
    <row r="1986" spans="1:17" x14ac:dyDescent="0.3">
      <c r="A1986" t="s">
        <v>17</v>
      </c>
      <c r="B1986" t="str">
        <f>"688505"</f>
        <v>688505</v>
      </c>
      <c r="C1986" t="s">
        <v>4014</v>
      </c>
      <c r="D1986" t="s">
        <v>113</v>
      </c>
      <c r="F1986">
        <v>65491060</v>
      </c>
      <c r="G1986">
        <v>7533136</v>
      </c>
      <c r="H1986">
        <v>107141645</v>
      </c>
      <c r="P1986">
        <v>68</v>
      </c>
      <c r="Q1986" t="s">
        <v>4015</v>
      </c>
    </row>
    <row r="1987" spans="1:17" x14ac:dyDescent="0.3">
      <c r="A1987" t="s">
        <v>17</v>
      </c>
      <c r="B1987" t="str">
        <f>"688508"</f>
        <v>688508</v>
      </c>
      <c r="C1987" t="s">
        <v>4016</v>
      </c>
      <c r="D1987" t="s">
        <v>150</v>
      </c>
      <c r="F1987">
        <v>126849949</v>
      </c>
      <c r="G1987">
        <v>17174321</v>
      </c>
      <c r="H1987">
        <v>17518538</v>
      </c>
      <c r="P1987">
        <v>165</v>
      </c>
      <c r="Q1987" t="s">
        <v>4017</v>
      </c>
    </row>
    <row r="1988" spans="1:17" x14ac:dyDescent="0.3">
      <c r="A1988" t="s">
        <v>17</v>
      </c>
      <c r="B1988" t="str">
        <f>"688509"</f>
        <v>688509</v>
      </c>
      <c r="C1988" t="s">
        <v>4018</v>
      </c>
      <c r="D1988" t="s">
        <v>212</v>
      </c>
      <c r="F1988">
        <v>-233922017</v>
      </c>
      <c r="G1988">
        <v>-226261468</v>
      </c>
      <c r="P1988">
        <v>17</v>
      </c>
      <c r="Q1988" t="s">
        <v>4019</v>
      </c>
    </row>
    <row r="1989" spans="1:17" x14ac:dyDescent="0.3">
      <c r="A1989" t="s">
        <v>17</v>
      </c>
      <c r="B1989" t="str">
        <f>"688510"</f>
        <v>688510</v>
      </c>
      <c r="C1989" t="s">
        <v>4020</v>
      </c>
      <c r="D1989" t="s">
        <v>92</v>
      </c>
      <c r="F1989">
        <v>-139227541</v>
      </c>
      <c r="G1989">
        <v>-63062355</v>
      </c>
      <c r="H1989">
        <v>26657600</v>
      </c>
      <c r="P1989">
        <v>65</v>
      </c>
      <c r="Q1989" t="s">
        <v>4021</v>
      </c>
    </row>
    <row r="1990" spans="1:17" x14ac:dyDescent="0.3">
      <c r="A1990" t="s">
        <v>17</v>
      </c>
      <c r="B1990" t="str">
        <f>"688511"</f>
        <v>688511</v>
      </c>
      <c r="C1990" t="s">
        <v>4022</v>
      </c>
      <c r="D1990" t="s">
        <v>92</v>
      </c>
      <c r="F1990">
        <v>24090288</v>
      </c>
      <c r="P1990">
        <v>23</v>
      </c>
      <c r="Q1990" t="s">
        <v>4023</v>
      </c>
    </row>
    <row r="1991" spans="1:17" x14ac:dyDescent="0.3">
      <c r="A1991" t="s">
        <v>17</v>
      </c>
      <c r="B1991" t="str">
        <f>"688513"</f>
        <v>688513</v>
      </c>
      <c r="C1991" t="s">
        <v>4024</v>
      </c>
      <c r="D1991" t="s">
        <v>113</v>
      </c>
      <c r="F1991">
        <v>-23739394</v>
      </c>
      <c r="G1991">
        <v>-91526140</v>
      </c>
      <c r="H1991">
        <v>71017228</v>
      </c>
      <c r="P1991">
        <v>59</v>
      </c>
      <c r="Q1991" t="s">
        <v>4025</v>
      </c>
    </row>
    <row r="1992" spans="1:17" x14ac:dyDescent="0.3">
      <c r="A1992" t="s">
        <v>17</v>
      </c>
      <c r="B1992" t="str">
        <f>"688516"</f>
        <v>688516</v>
      </c>
      <c r="C1992" t="s">
        <v>4026</v>
      </c>
      <c r="D1992" t="s">
        <v>188</v>
      </c>
      <c r="F1992">
        <v>11915176</v>
      </c>
      <c r="G1992">
        <v>91423120</v>
      </c>
      <c r="H1992">
        <v>-45243643</v>
      </c>
      <c r="P1992">
        <v>152</v>
      </c>
      <c r="Q1992" t="s">
        <v>4027</v>
      </c>
    </row>
    <row r="1993" spans="1:17" x14ac:dyDescent="0.3">
      <c r="A1993" t="s">
        <v>17</v>
      </c>
      <c r="B1993" t="str">
        <f>"688517"</f>
        <v>688517</v>
      </c>
      <c r="C1993" t="s">
        <v>4028</v>
      </c>
      <c r="D1993" t="s">
        <v>188</v>
      </c>
      <c r="F1993">
        <v>-42198962</v>
      </c>
      <c r="G1993">
        <v>-78981259</v>
      </c>
      <c r="P1993">
        <v>19</v>
      </c>
      <c r="Q1993" t="s">
        <v>4029</v>
      </c>
    </row>
    <row r="1994" spans="1:17" x14ac:dyDescent="0.3">
      <c r="A1994" t="s">
        <v>17</v>
      </c>
      <c r="B1994" t="str">
        <f>"688518"</f>
        <v>688518</v>
      </c>
      <c r="C1994" t="s">
        <v>4030</v>
      </c>
      <c r="D1994" t="s">
        <v>78</v>
      </c>
      <c r="F1994">
        <v>-27738094</v>
      </c>
      <c r="G1994">
        <v>64317715</v>
      </c>
      <c r="H1994">
        <v>105490195</v>
      </c>
      <c r="P1994">
        <v>65</v>
      </c>
      <c r="Q1994" t="s">
        <v>4031</v>
      </c>
    </row>
    <row r="1995" spans="1:17" x14ac:dyDescent="0.3">
      <c r="A1995" t="s">
        <v>17</v>
      </c>
      <c r="B1995" t="str">
        <f>"688519"</f>
        <v>688519</v>
      </c>
      <c r="C1995" t="s">
        <v>4032</v>
      </c>
      <c r="D1995" t="s">
        <v>150</v>
      </c>
      <c r="F1995">
        <v>-610420203</v>
      </c>
      <c r="G1995">
        <v>-147662520</v>
      </c>
      <c r="H1995">
        <v>-19760768</v>
      </c>
      <c r="I1995">
        <v>29762098</v>
      </c>
      <c r="P1995">
        <v>80</v>
      </c>
      <c r="Q1995" t="s">
        <v>4033</v>
      </c>
    </row>
    <row r="1996" spans="1:17" x14ac:dyDescent="0.3">
      <c r="A1996" t="s">
        <v>17</v>
      </c>
      <c r="B1996" t="str">
        <f>"688520"</f>
        <v>688520</v>
      </c>
      <c r="C1996" t="s">
        <v>4034</v>
      </c>
      <c r="D1996" t="s">
        <v>113</v>
      </c>
      <c r="F1996">
        <v>-708441720</v>
      </c>
      <c r="G1996">
        <v>-461170236</v>
      </c>
      <c r="H1996">
        <v>-375577699</v>
      </c>
      <c r="P1996">
        <v>90</v>
      </c>
      <c r="Q1996" t="s">
        <v>4035</v>
      </c>
    </row>
    <row r="1997" spans="1:17" x14ac:dyDescent="0.3">
      <c r="A1997" t="s">
        <v>17</v>
      </c>
      <c r="B1997" t="str">
        <f>"688521"</f>
        <v>688521</v>
      </c>
      <c r="C1997" t="s">
        <v>4036</v>
      </c>
      <c r="D1997" t="s">
        <v>150</v>
      </c>
      <c r="F1997">
        <v>-118870974</v>
      </c>
      <c r="G1997">
        <v>-250447437</v>
      </c>
      <c r="H1997">
        <v>-126000784</v>
      </c>
      <c r="P1997">
        <v>140</v>
      </c>
      <c r="Q1997" t="s">
        <v>4037</v>
      </c>
    </row>
    <row r="1998" spans="1:17" x14ac:dyDescent="0.3">
      <c r="A1998" t="s">
        <v>17</v>
      </c>
      <c r="B1998" t="str">
        <f>"688526"</f>
        <v>688526</v>
      </c>
      <c r="C1998" t="s">
        <v>4038</v>
      </c>
      <c r="D1998" t="s">
        <v>205</v>
      </c>
      <c r="F1998">
        <v>180004826</v>
      </c>
      <c r="G1998">
        <v>283580152</v>
      </c>
      <c r="H1998">
        <v>41228169</v>
      </c>
      <c r="P1998">
        <v>147</v>
      </c>
      <c r="Q1998" t="s">
        <v>4039</v>
      </c>
    </row>
    <row r="1999" spans="1:17" x14ac:dyDescent="0.3">
      <c r="A1999" t="s">
        <v>17</v>
      </c>
      <c r="B1999" t="str">
        <f>"688528"</f>
        <v>688528</v>
      </c>
      <c r="C1999" t="s">
        <v>4040</v>
      </c>
      <c r="D1999" t="s">
        <v>78</v>
      </c>
      <c r="F1999">
        <v>-112143574</v>
      </c>
      <c r="G1999">
        <v>-75475682</v>
      </c>
      <c r="H1999">
        <v>-9558096</v>
      </c>
      <c r="P1999">
        <v>42</v>
      </c>
      <c r="Q1999" t="s">
        <v>4041</v>
      </c>
    </row>
    <row r="2000" spans="1:17" x14ac:dyDescent="0.3">
      <c r="A2000" t="s">
        <v>17</v>
      </c>
      <c r="B2000" t="str">
        <f>"688529"</f>
        <v>688529</v>
      </c>
      <c r="C2000" t="s">
        <v>4042</v>
      </c>
      <c r="D2000" t="s">
        <v>78</v>
      </c>
      <c r="F2000">
        <v>-262570287</v>
      </c>
      <c r="G2000">
        <v>-60139445</v>
      </c>
      <c r="H2000">
        <v>5636553</v>
      </c>
      <c r="P2000">
        <v>34</v>
      </c>
      <c r="Q2000" t="s">
        <v>4043</v>
      </c>
    </row>
    <row r="2001" spans="1:17" x14ac:dyDescent="0.3">
      <c r="A2001" t="s">
        <v>17</v>
      </c>
      <c r="B2001" t="str">
        <f>"688533"</f>
        <v>688533</v>
      </c>
      <c r="C2001" t="s">
        <v>4044</v>
      </c>
      <c r="D2001" t="s">
        <v>27</v>
      </c>
      <c r="F2001">
        <v>-46130392</v>
      </c>
      <c r="G2001">
        <v>39539472</v>
      </c>
      <c r="P2001">
        <v>39</v>
      </c>
      <c r="Q2001" t="s">
        <v>4045</v>
      </c>
    </row>
    <row r="2002" spans="1:17" x14ac:dyDescent="0.3">
      <c r="A2002" t="s">
        <v>17</v>
      </c>
      <c r="B2002" t="str">
        <f>"688536"</f>
        <v>688536</v>
      </c>
      <c r="C2002" t="s">
        <v>4046</v>
      </c>
      <c r="D2002" t="s">
        <v>150</v>
      </c>
      <c r="F2002">
        <v>-18316936</v>
      </c>
      <c r="G2002">
        <v>134525558</v>
      </c>
      <c r="H2002">
        <v>-21503869</v>
      </c>
      <c r="P2002">
        <v>200</v>
      </c>
      <c r="Q2002" t="s">
        <v>4047</v>
      </c>
    </row>
    <row r="2003" spans="1:17" x14ac:dyDescent="0.3">
      <c r="A2003" t="s">
        <v>17</v>
      </c>
      <c r="B2003" t="str">
        <f>"688538"</f>
        <v>688538</v>
      </c>
      <c r="C2003" t="s">
        <v>4048</v>
      </c>
      <c r="D2003" t="s">
        <v>150</v>
      </c>
      <c r="F2003">
        <v>-895986082</v>
      </c>
      <c r="P2003">
        <v>37</v>
      </c>
      <c r="Q2003" t="s">
        <v>4049</v>
      </c>
    </row>
    <row r="2004" spans="1:17" x14ac:dyDescent="0.3">
      <c r="A2004" t="s">
        <v>17</v>
      </c>
      <c r="B2004" t="str">
        <f>"688550"</f>
        <v>688550</v>
      </c>
      <c r="C2004" t="s">
        <v>4050</v>
      </c>
      <c r="D2004" t="s">
        <v>150</v>
      </c>
      <c r="F2004">
        <v>-90978996</v>
      </c>
      <c r="G2004">
        <v>22002288</v>
      </c>
      <c r="H2004">
        <v>24493226</v>
      </c>
      <c r="P2004">
        <v>54</v>
      </c>
      <c r="Q2004" t="s">
        <v>4051</v>
      </c>
    </row>
    <row r="2005" spans="1:17" x14ac:dyDescent="0.3">
      <c r="A2005" t="s">
        <v>17</v>
      </c>
      <c r="B2005" t="str">
        <f>"688551"</f>
        <v>688551</v>
      </c>
      <c r="C2005" t="s">
        <v>4052</v>
      </c>
      <c r="D2005" t="s">
        <v>188</v>
      </c>
      <c r="F2005">
        <v>-23498231</v>
      </c>
      <c r="G2005">
        <v>7217799</v>
      </c>
      <c r="H2005">
        <v>13208577</v>
      </c>
      <c r="P2005">
        <v>40</v>
      </c>
      <c r="Q2005" t="s">
        <v>4053</v>
      </c>
    </row>
    <row r="2006" spans="1:17" x14ac:dyDescent="0.3">
      <c r="A2006" t="s">
        <v>17</v>
      </c>
      <c r="B2006" t="str">
        <f>"688553"</f>
        <v>688553</v>
      </c>
      <c r="C2006" t="s">
        <v>4054</v>
      </c>
      <c r="D2006" t="s">
        <v>113</v>
      </c>
      <c r="F2006">
        <v>24482514</v>
      </c>
      <c r="G2006">
        <v>246786505</v>
      </c>
      <c r="P2006">
        <v>30</v>
      </c>
      <c r="Q2006" t="s">
        <v>4055</v>
      </c>
    </row>
    <row r="2007" spans="1:17" x14ac:dyDescent="0.3">
      <c r="A2007" t="s">
        <v>17</v>
      </c>
      <c r="B2007" t="str">
        <f>"688555"</f>
        <v>688555</v>
      </c>
      <c r="C2007" t="s">
        <v>4056</v>
      </c>
      <c r="D2007" t="s">
        <v>212</v>
      </c>
      <c r="F2007">
        <v>-317973960</v>
      </c>
      <c r="G2007">
        <v>-65834144</v>
      </c>
      <c r="H2007">
        <v>6458927</v>
      </c>
      <c r="P2007">
        <v>55</v>
      </c>
      <c r="Q2007" t="s">
        <v>4057</v>
      </c>
    </row>
    <row r="2008" spans="1:17" x14ac:dyDescent="0.3">
      <c r="A2008" t="s">
        <v>17</v>
      </c>
      <c r="B2008" t="str">
        <f>"688556"</f>
        <v>688556</v>
      </c>
      <c r="C2008" t="s">
        <v>4058</v>
      </c>
      <c r="D2008" t="s">
        <v>188</v>
      </c>
      <c r="F2008">
        <v>-53938327</v>
      </c>
      <c r="G2008">
        <v>-51711682</v>
      </c>
      <c r="H2008">
        <v>-49395586</v>
      </c>
      <c r="P2008">
        <v>69</v>
      </c>
      <c r="Q2008" t="s">
        <v>4059</v>
      </c>
    </row>
    <row r="2009" spans="1:17" x14ac:dyDescent="0.3">
      <c r="A2009" t="s">
        <v>17</v>
      </c>
      <c r="B2009" t="str">
        <f>"688557"</f>
        <v>688557</v>
      </c>
      <c r="C2009" t="s">
        <v>4060</v>
      </c>
      <c r="D2009" t="s">
        <v>78</v>
      </c>
      <c r="F2009">
        <v>-81320636</v>
      </c>
      <c r="G2009">
        <v>-36510681</v>
      </c>
      <c r="H2009">
        <v>37437897</v>
      </c>
      <c r="P2009">
        <v>48</v>
      </c>
      <c r="Q2009" t="s">
        <v>4061</v>
      </c>
    </row>
    <row r="2010" spans="1:17" x14ac:dyDescent="0.3">
      <c r="A2010" t="s">
        <v>17</v>
      </c>
      <c r="B2010" t="str">
        <f>"688558"</f>
        <v>688558</v>
      </c>
      <c r="C2010" t="s">
        <v>4062</v>
      </c>
      <c r="D2010" t="s">
        <v>78</v>
      </c>
      <c r="F2010">
        <v>21168706</v>
      </c>
      <c r="G2010">
        <v>2741628</v>
      </c>
      <c r="H2010">
        <v>54746057</v>
      </c>
      <c r="P2010">
        <v>96</v>
      </c>
      <c r="Q2010" t="s">
        <v>4063</v>
      </c>
    </row>
    <row r="2011" spans="1:17" x14ac:dyDescent="0.3">
      <c r="A2011" t="s">
        <v>17</v>
      </c>
      <c r="B2011" t="str">
        <f>"688559"</f>
        <v>688559</v>
      </c>
      <c r="C2011" t="s">
        <v>4064</v>
      </c>
      <c r="D2011" t="s">
        <v>78</v>
      </c>
      <c r="F2011">
        <v>-201315100</v>
      </c>
      <c r="G2011">
        <v>-250065604</v>
      </c>
      <c r="H2011">
        <v>-195254930</v>
      </c>
      <c r="P2011">
        <v>68</v>
      </c>
      <c r="Q2011" t="s">
        <v>4065</v>
      </c>
    </row>
    <row r="2012" spans="1:17" x14ac:dyDescent="0.3">
      <c r="A2012" t="s">
        <v>17</v>
      </c>
      <c r="B2012" t="str">
        <f>"688560"</f>
        <v>688560</v>
      </c>
      <c r="C2012" t="s">
        <v>4066</v>
      </c>
      <c r="D2012" t="s">
        <v>188</v>
      </c>
      <c r="F2012">
        <v>-374247565</v>
      </c>
      <c r="G2012">
        <v>-13746845</v>
      </c>
      <c r="H2012">
        <v>32903600</v>
      </c>
      <c r="P2012">
        <v>39</v>
      </c>
      <c r="Q2012" t="s">
        <v>4067</v>
      </c>
    </row>
    <row r="2013" spans="1:17" x14ac:dyDescent="0.3">
      <c r="A2013" t="s">
        <v>17</v>
      </c>
      <c r="B2013" t="str">
        <f>"688561"</f>
        <v>688561</v>
      </c>
      <c r="C2013" t="s">
        <v>4068</v>
      </c>
      <c r="D2013" t="s">
        <v>212</v>
      </c>
      <c r="F2013">
        <v>-1801710086</v>
      </c>
      <c r="G2013">
        <v>-1379312496</v>
      </c>
      <c r="H2013">
        <v>-1523314624</v>
      </c>
      <c r="P2013">
        <v>192</v>
      </c>
      <c r="Q2013" t="s">
        <v>4069</v>
      </c>
    </row>
    <row r="2014" spans="1:17" x14ac:dyDescent="0.3">
      <c r="A2014" t="s">
        <v>17</v>
      </c>
      <c r="B2014" t="str">
        <f>"688565"</f>
        <v>688565</v>
      </c>
      <c r="C2014" t="s">
        <v>4070</v>
      </c>
      <c r="D2014" t="s">
        <v>33</v>
      </c>
      <c r="F2014">
        <v>-91844719</v>
      </c>
      <c r="G2014">
        <v>-18225621</v>
      </c>
      <c r="P2014">
        <v>38</v>
      </c>
      <c r="Q2014" t="s">
        <v>4071</v>
      </c>
    </row>
    <row r="2015" spans="1:17" x14ac:dyDescent="0.3">
      <c r="A2015" t="s">
        <v>17</v>
      </c>
      <c r="B2015" t="str">
        <f>"688566"</f>
        <v>688566</v>
      </c>
      <c r="C2015" t="s">
        <v>4072</v>
      </c>
      <c r="D2015" t="s">
        <v>113</v>
      </c>
      <c r="F2015">
        <v>57696828</v>
      </c>
      <c r="G2015">
        <v>64811778</v>
      </c>
      <c r="H2015">
        <v>38345866</v>
      </c>
      <c r="P2015">
        <v>69</v>
      </c>
      <c r="Q2015" t="s">
        <v>4073</v>
      </c>
    </row>
    <row r="2016" spans="1:17" x14ac:dyDescent="0.3">
      <c r="A2016" t="s">
        <v>17</v>
      </c>
      <c r="B2016" t="str">
        <f>"688567"</f>
        <v>688567</v>
      </c>
      <c r="C2016" t="s">
        <v>4074</v>
      </c>
      <c r="D2016" t="s">
        <v>188</v>
      </c>
      <c r="F2016">
        <v>-2223499771</v>
      </c>
      <c r="G2016">
        <v>-3055958546</v>
      </c>
      <c r="H2016">
        <v>-839662939</v>
      </c>
      <c r="P2016">
        <v>107</v>
      </c>
      <c r="Q2016" t="s">
        <v>4075</v>
      </c>
    </row>
    <row r="2017" spans="1:17" x14ac:dyDescent="0.3">
      <c r="A2017" t="s">
        <v>17</v>
      </c>
      <c r="B2017" t="str">
        <f>"688568"</f>
        <v>688568</v>
      </c>
      <c r="C2017" t="s">
        <v>4076</v>
      </c>
      <c r="D2017" t="s">
        <v>212</v>
      </c>
      <c r="F2017">
        <v>-235695696</v>
      </c>
      <c r="G2017">
        <v>-118168832</v>
      </c>
      <c r="H2017">
        <v>-69275967</v>
      </c>
      <c r="P2017">
        <v>98</v>
      </c>
      <c r="Q2017" t="s">
        <v>4077</v>
      </c>
    </row>
    <row r="2018" spans="1:17" x14ac:dyDescent="0.3">
      <c r="A2018" t="s">
        <v>17</v>
      </c>
      <c r="B2018" t="str">
        <f>"688569"</f>
        <v>688569</v>
      </c>
      <c r="C2018" t="s">
        <v>4078</v>
      </c>
      <c r="D2018" t="s">
        <v>78</v>
      </c>
      <c r="F2018">
        <v>-175513378</v>
      </c>
      <c r="G2018">
        <v>125030954</v>
      </c>
      <c r="H2018">
        <v>-116373018</v>
      </c>
      <c r="I2018">
        <v>-103068700</v>
      </c>
      <c r="P2018">
        <v>31</v>
      </c>
      <c r="Q2018" t="s">
        <v>4079</v>
      </c>
    </row>
    <row r="2019" spans="1:17" x14ac:dyDescent="0.3">
      <c r="A2019" t="s">
        <v>17</v>
      </c>
      <c r="B2019" t="str">
        <f>"688571"</f>
        <v>688571</v>
      </c>
      <c r="C2019" t="s">
        <v>4080</v>
      </c>
      <c r="D2019" t="s">
        <v>133</v>
      </c>
      <c r="F2019">
        <v>62408342</v>
      </c>
      <c r="G2019">
        <v>61368512</v>
      </c>
      <c r="H2019">
        <v>99921800</v>
      </c>
      <c r="P2019">
        <v>29</v>
      </c>
      <c r="Q2019" t="s">
        <v>4081</v>
      </c>
    </row>
    <row r="2020" spans="1:17" x14ac:dyDescent="0.3">
      <c r="A2020" t="s">
        <v>17</v>
      </c>
      <c r="B2020" t="str">
        <f>"688575"</f>
        <v>688575</v>
      </c>
      <c r="C2020" t="s">
        <v>4082</v>
      </c>
      <c r="D2020" t="s">
        <v>113</v>
      </c>
      <c r="F2020">
        <v>-107930114</v>
      </c>
      <c r="G2020">
        <v>30336434</v>
      </c>
      <c r="P2020">
        <v>48</v>
      </c>
      <c r="Q2020" t="s">
        <v>4083</v>
      </c>
    </row>
    <row r="2021" spans="1:17" x14ac:dyDescent="0.3">
      <c r="A2021" t="s">
        <v>17</v>
      </c>
      <c r="B2021" t="str">
        <f>"688577"</f>
        <v>688577</v>
      </c>
      <c r="C2021" t="s">
        <v>4084</v>
      </c>
      <c r="D2021" t="s">
        <v>78</v>
      </c>
      <c r="F2021">
        <v>-118179817</v>
      </c>
      <c r="G2021">
        <v>7484932</v>
      </c>
      <c r="H2021">
        <v>13980804</v>
      </c>
      <c r="P2021">
        <v>56</v>
      </c>
      <c r="Q2021" t="s">
        <v>4085</v>
      </c>
    </row>
    <row r="2022" spans="1:17" x14ac:dyDescent="0.3">
      <c r="A2022" t="s">
        <v>17</v>
      </c>
      <c r="B2022" t="str">
        <f>"688578"</f>
        <v>688578</v>
      </c>
      <c r="C2022" t="s">
        <v>4086</v>
      </c>
      <c r="D2022" t="s">
        <v>113</v>
      </c>
      <c r="F2022">
        <v>-54930702</v>
      </c>
      <c r="G2022">
        <v>-201502406</v>
      </c>
      <c r="H2022">
        <v>-136034628</v>
      </c>
      <c r="P2022">
        <v>47</v>
      </c>
      <c r="Q2022" t="s">
        <v>4087</v>
      </c>
    </row>
    <row r="2023" spans="1:17" x14ac:dyDescent="0.3">
      <c r="A2023" t="s">
        <v>17</v>
      </c>
      <c r="B2023" t="str">
        <f>"688579"</f>
        <v>688579</v>
      </c>
      <c r="C2023" t="s">
        <v>4088</v>
      </c>
      <c r="D2023" t="s">
        <v>212</v>
      </c>
      <c r="F2023">
        <v>-165774416</v>
      </c>
      <c r="G2023">
        <v>-199173703</v>
      </c>
      <c r="H2023">
        <v>-238944184</v>
      </c>
      <c r="P2023">
        <v>34</v>
      </c>
      <c r="Q2023" t="s">
        <v>4089</v>
      </c>
    </row>
    <row r="2024" spans="1:17" x14ac:dyDescent="0.3">
      <c r="A2024" t="s">
        <v>17</v>
      </c>
      <c r="B2024" t="str">
        <f>"688580"</f>
        <v>688580</v>
      </c>
      <c r="C2024" t="s">
        <v>4090</v>
      </c>
      <c r="D2024" t="s">
        <v>113</v>
      </c>
      <c r="F2024">
        <v>3028340</v>
      </c>
      <c r="G2024">
        <v>42514964</v>
      </c>
      <c r="H2024">
        <v>55141819</v>
      </c>
      <c r="P2024">
        <v>247</v>
      </c>
      <c r="Q2024" t="s">
        <v>4091</v>
      </c>
    </row>
    <row r="2025" spans="1:17" x14ac:dyDescent="0.3">
      <c r="A2025" t="s">
        <v>17</v>
      </c>
      <c r="B2025" t="str">
        <f>"688585"</f>
        <v>688585</v>
      </c>
      <c r="C2025" t="s">
        <v>4092</v>
      </c>
      <c r="D2025" t="s">
        <v>133</v>
      </c>
      <c r="F2025">
        <v>-165279896</v>
      </c>
      <c r="G2025">
        <v>-55092932</v>
      </c>
      <c r="H2025">
        <v>88744172</v>
      </c>
      <c r="I2025">
        <v>-130827400</v>
      </c>
      <c r="P2025">
        <v>26</v>
      </c>
      <c r="Q2025" t="s">
        <v>4093</v>
      </c>
    </row>
    <row r="2026" spans="1:17" x14ac:dyDescent="0.3">
      <c r="A2026" t="s">
        <v>17</v>
      </c>
      <c r="B2026" t="str">
        <f>"688586"</f>
        <v>688586</v>
      </c>
      <c r="C2026" t="s">
        <v>4094</v>
      </c>
      <c r="D2026" t="s">
        <v>92</v>
      </c>
      <c r="F2026">
        <v>120011255</v>
      </c>
      <c r="G2026">
        <v>-115495492</v>
      </c>
      <c r="H2026">
        <v>-192349093</v>
      </c>
      <c r="P2026">
        <v>71</v>
      </c>
      <c r="Q2026" t="s">
        <v>4095</v>
      </c>
    </row>
    <row r="2027" spans="1:17" x14ac:dyDescent="0.3">
      <c r="A2027" t="s">
        <v>17</v>
      </c>
      <c r="B2027" t="str">
        <f>"688588"</f>
        <v>688588</v>
      </c>
      <c r="C2027" t="s">
        <v>4096</v>
      </c>
      <c r="D2027" t="s">
        <v>212</v>
      </c>
      <c r="F2027">
        <v>55880452</v>
      </c>
      <c r="G2027">
        <v>87449773</v>
      </c>
      <c r="H2027">
        <v>67862351</v>
      </c>
      <c r="I2027">
        <v>-19639405</v>
      </c>
      <c r="P2027">
        <v>80</v>
      </c>
      <c r="Q2027" t="s">
        <v>4097</v>
      </c>
    </row>
    <row r="2028" spans="1:17" x14ac:dyDescent="0.3">
      <c r="A2028" t="s">
        <v>17</v>
      </c>
      <c r="B2028" t="str">
        <f>"688589"</f>
        <v>688589</v>
      </c>
      <c r="C2028" t="s">
        <v>4098</v>
      </c>
      <c r="D2028" t="s">
        <v>150</v>
      </c>
      <c r="F2028">
        <v>-27748677</v>
      </c>
      <c r="G2028">
        <v>-42552792</v>
      </c>
      <c r="H2028">
        <v>-18800719</v>
      </c>
      <c r="P2028">
        <v>74</v>
      </c>
      <c r="Q2028" t="s">
        <v>4099</v>
      </c>
    </row>
    <row r="2029" spans="1:17" x14ac:dyDescent="0.3">
      <c r="A2029" t="s">
        <v>17</v>
      </c>
      <c r="B2029" t="str">
        <f>"688590"</f>
        <v>688590</v>
      </c>
      <c r="C2029" t="s">
        <v>4100</v>
      </c>
      <c r="D2029" t="s">
        <v>212</v>
      </c>
      <c r="F2029">
        <v>-282649077</v>
      </c>
      <c r="G2029">
        <v>-211128101</v>
      </c>
      <c r="H2029">
        <v>-228081153</v>
      </c>
      <c r="P2029">
        <v>29</v>
      </c>
      <c r="Q2029" t="s">
        <v>4101</v>
      </c>
    </row>
    <row r="2030" spans="1:17" x14ac:dyDescent="0.3">
      <c r="A2030" t="s">
        <v>17</v>
      </c>
      <c r="B2030" t="str">
        <f>"688595"</f>
        <v>688595</v>
      </c>
      <c r="C2030" t="s">
        <v>4102</v>
      </c>
      <c r="D2030" t="s">
        <v>150</v>
      </c>
      <c r="F2030">
        <v>17866908</v>
      </c>
      <c r="G2030">
        <v>-68532434</v>
      </c>
      <c r="H2030">
        <v>-73310774</v>
      </c>
      <c r="P2030">
        <v>128</v>
      </c>
      <c r="Q2030" t="s">
        <v>4103</v>
      </c>
    </row>
    <row r="2031" spans="1:17" x14ac:dyDescent="0.3">
      <c r="A2031" t="s">
        <v>17</v>
      </c>
      <c r="B2031" t="str">
        <f>"688596"</f>
        <v>688596</v>
      </c>
      <c r="C2031" t="s">
        <v>4104</v>
      </c>
      <c r="D2031" t="s">
        <v>78</v>
      </c>
      <c r="F2031">
        <v>-161485693</v>
      </c>
      <c r="G2031">
        <v>-135080638</v>
      </c>
      <c r="H2031">
        <v>-54371903</v>
      </c>
      <c r="P2031">
        <v>60</v>
      </c>
      <c r="Q2031" t="s">
        <v>4105</v>
      </c>
    </row>
    <row r="2032" spans="1:17" x14ac:dyDescent="0.3">
      <c r="A2032" t="s">
        <v>17</v>
      </c>
      <c r="B2032" t="str">
        <f>"688597"</f>
        <v>688597</v>
      </c>
      <c r="C2032" t="s">
        <v>4106</v>
      </c>
      <c r="D2032" t="s">
        <v>188</v>
      </c>
      <c r="F2032">
        <v>5814838</v>
      </c>
      <c r="G2032">
        <v>-63280961</v>
      </c>
      <c r="P2032">
        <v>17</v>
      </c>
      <c r="Q2032" t="s">
        <v>4107</v>
      </c>
    </row>
    <row r="2033" spans="1:17" x14ac:dyDescent="0.3">
      <c r="A2033" t="s">
        <v>17</v>
      </c>
      <c r="B2033" t="str">
        <f>"688598"</f>
        <v>688598</v>
      </c>
      <c r="C2033" t="s">
        <v>4108</v>
      </c>
      <c r="D2033" t="s">
        <v>188</v>
      </c>
      <c r="F2033">
        <v>-537450898</v>
      </c>
      <c r="G2033">
        <v>-82933193</v>
      </c>
      <c r="H2033">
        <v>24128676</v>
      </c>
      <c r="P2033">
        <v>262</v>
      </c>
      <c r="Q2033" t="s">
        <v>4109</v>
      </c>
    </row>
    <row r="2034" spans="1:17" x14ac:dyDescent="0.3">
      <c r="A2034" t="s">
        <v>17</v>
      </c>
      <c r="B2034" t="str">
        <f>"688599"</f>
        <v>688599</v>
      </c>
      <c r="C2034" t="s">
        <v>4110</v>
      </c>
      <c r="D2034" t="s">
        <v>188</v>
      </c>
      <c r="F2034">
        <v>-6562058149</v>
      </c>
      <c r="G2034">
        <v>-3111658935</v>
      </c>
      <c r="H2034">
        <v>280022593</v>
      </c>
      <c r="P2034">
        <v>371</v>
      </c>
      <c r="Q2034" t="s">
        <v>4111</v>
      </c>
    </row>
    <row r="2035" spans="1:17" x14ac:dyDescent="0.3">
      <c r="A2035" t="s">
        <v>17</v>
      </c>
      <c r="B2035" t="str">
        <f>"688600"</f>
        <v>688600</v>
      </c>
      <c r="C2035" t="s">
        <v>4112</v>
      </c>
      <c r="D2035" t="s">
        <v>33</v>
      </c>
      <c r="F2035">
        <v>-87823510</v>
      </c>
      <c r="G2035">
        <v>-732328</v>
      </c>
      <c r="H2035">
        <v>-11692559</v>
      </c>
      <c r="P2035">
        <v>62</v>
      </c>
      <c r="Q2035" t="s">
        <v>4113</v>
      </c>
    </row>
    <row r="2036" spans="1:17" x14ac:dyDescent="0.3">
      <c r="A2036" t="s">
        <v>17</v>
      </c>
      <c r="B2036" t="str">
        <f>"688601"</f>
        <v>688601</v>
      </c>
      <c r="C2036" t="s">
        <v>4114</v>
      </c>
      <c r="D2036" t="s">
        <v>150</v>
      </c>
      <c r="F2036">
        <v>27930552</v>
      </c>
      <c r="G2036">
        <v>2022805</v>
      </c>
      <c r="P2036">
        <v>58</v>
      </c>
      <c r="Q2036" t="s">
        <v>4115</v>
      </c>
    </row>
    <row r="2037" spans="1:17" x14ac:dyDescent="0.3">
      <c r="A2037" t="s">
        <v>17</v>
      </c>
      <c r="B2037" t="str">
        <f>"688606"</f>
        <v>688606</v>
      </c>
      <c r="C2037" t="s">
        <v>4116</v>
      </c>
      <c r="D2037" t="s">
        <v>113</v>
      </c>
      <c r="F2037">
        <v>294789135</v>
      </c>
      <c r="G2037">
        <v>322047833</v>
      </c>
      <c r="H2037">
        <v>50395035</v>
      </c>
      <c r="P2037">
        <v>104</v>
      </c>
      <c r="Q2037" t="s">
        <v>4117</v>
      </c>
    </row>
    <row r="2038" spans="1:17" x14ac:dyDescent="0.3">
      <c r="A2038" t="s">
        <v>17</v>
      </c>
      <c r="B2038" t="str">
        <f>"688607"</f>
        <v>688607</v>
      </c>
      <c r="C2038" t="s">
        <v>4118</v>
      </c>
      <c r="D2038" t="s">
        <v>113</v>
      </c>
      <c r="F2038">
        <v>5080984</v>
      </c>
      <c r="G2038">
        <v>40736892</v>
      </c>
      <c r="H2038">
        <v>-164400</v>
      </c>
      <c r="P2038">
        <v>55</v>
      </c>
      <c r="Q2038" t="s">
        <v>4119</v>
      </c>
    </row>
    <row r="2039" spans="1:17" x14ac:dyDescent="0.3">
      <c r="A2039" t="s">
        <v>17</v>
      </c>
      <c r="B2039" t="str">
        <f>"688608"</f>
        <v>688608</v>
      </c>
      <c r="C2039" t="s">
        <v>4120</v>
      </c>
      <c r="D2039" t="s">
        <v>150</v>
      </c>
      <c r="F2039">
        <v>-185844059</v>
      </c>
      <c r="G2039">
        <v>131504293</v>
      </c>
      <c r="H2039">
        <v>-23469932</v>
      </c>
      <c r="P2039">
        <v>122</v>
      </c>
      <c r="Q2039" t="s">
        <v>4121</v>
      </c>
    </row>
    <row r="2040" spans="1:17" x14ac:dyDescent="0.3">
      <c r="A2040" t="s">
        <v>17</v>
      </c>
      <c r="B2040" t="str">
        <f>"688609"</f>
        <v>688609</v>
      </c>
      <c r="C2040" t="s">
        <v>4122</v>
      </c>
      <c r="D2040" t="s">
        <v>126</v>
      </c>
      <c r="F2040">
        <v>-569084986</v>
      </c>
      <c r="G2040">
        <v>-63379817</v>
      </c>
      <c r="P2040">
        <v>31</v>
      </c>
      <c r="Q2040" t="s">
        <v>4123</v>
      </c>
    </row>
    <row r="2041" spans="1:17" x14ac:dyDescent="0.3">
      <c r="A2041" t="s">
        <v>17</v>
      </c>
      <c r="B2041" t="str">
        <f>"688611"</f>
        <v>688611</v>
      </c>
      <c r="C2041" t="s">
        <v>4124</v>
      </c>
      <c r="D2041" t="s">
        <v>188</v>
      </c>
      <c r="F2041">
        <v>-91212406</v>
      </c>
      <c r="G2041">
        <v>-40443807</v>
      </c>
      <c r="P2041">
        <v>38</v>
      </c>
      <c r="Q2041" t="s">
        <v>4125</v>
      </c>
    </row>
    <row r="2042" spans="1:17" x14ac:dyDescent="0.3">
      <c r="A2042" t="s">
        <v>17</v>
      </c>
      <c r="B2042" t="str">
        <f>"688613"</f>
        <v>688613</v>
      </c>
      <c r="C2042" t="s">
        <v>4126</v>
      </c>
      <c r="D2042" t="s">
        <v>113</v>
      </c>
      <c r="F2042">
        <v>51254014</v>
      </c>
      <c r="G2042">
        <v>-17324643</v>
      </c>
      <c r="P2042">
        <v>51</v>
      </c>
      <c r="Q2042" t="s">
        <v>4127</v>
      </c>
    </row>
    <row r="2043" spans="1:17" x14ac:dyDescent="0.3">
      <c r="A2043" t="s">
        <v>17</v>
      </c>
      <c r="B2043" t="str">
        <f>"688616"</f>
        <v>688616</v>
      </c>
      <c r="C2043" t="s">
        <v>4128</v>
      </c>
      <c r="D2043" t="s">
        <v>188</v>
      </c>
      <c r="F2043">
        <v>-47126646</v>
      </c>
      <c r="G2043">
        <v>23942916</v>
      </c>
      <c r="P2043">
        <v>23</v>
      </c>
      <c r="Q2043" t="s">
        <v>4129</v>
      </c>
    </row>
    <row r="2044" spans="1:17" x14ac:dyDescent="0.3">
      <c r="A2044" t="s">
        <v>17</v>
      </c>
      <c r="B2044" t="str">
        <f>"688617"</f>
        <v>688617</v>
      </c>
      <c r="C2044" t="s">
        <v>4130</v>
      </c>
      <c r="D2044" t="s">
        <v>113</v>
      </c>
      <c r="F2044">
        <v>-13585456</v>
      </c>
      <c r="G2044">
        <v>50953323</v>
      </c>
      <c r="H2044">
        <v>-21836597</v>
      </c>
      <c r="P2044">
        <v>137</v>
      </c>
      <c r="Q2044" t="s">
        <v>4131</v>
      </c>
    </row>
    <row r="2045" spans="1:17" x14ac:dyDescent="0.3">
      <c r="A2045" t="s">
        <v>17</v>
      </c>
      <c r="B2045" t="str">
        <f>"688618"</f>
        <v>688618</v>
      </c>
      <c r="C2045" t="s">
        <v>4132</v>
      </c>
      <c r="D2045" t="s">
        <v>100</v>
      </c>
      <c r="F2045">
        <v>-44720333</v>
      </c>
      <c r="G2045">
        <v>-1635438</v>
      </c>
      <c r="H2045">
        <v>9212242</v>
      </c>
      <c r="P2045">
        <v>41</v>
      </c>
      <c r="Q2045" t="s">
        <v>4133</v>
      </c>
    </row>
    <row r="2046" spans="1:17" x14ac:dyDescent="0.3">
      <c r="A2046" t="s">
        <v>17</v>
      </c>
      <c r="B2046" t="str">
        <f>"688619"</f>
        <v>688619</v>
      </c>
      <c r="C2046" t="s">
        <v>4134</v>
      </c>
      <c r="D2046" t="s">
        <v>212</v>
      </c>
      <c r="F2046">
        <v>-174055302</v>
      </c>
      <c r="G2046">
        <v>-64917011</v>
      </c>
      <c r="H2046">
        <v>-80905945</v>
      </c>
      <c r="P2046">
        <v>31</v>
      </c>
      <c r="Q2046" t="s">
        <v>4135</v>
      </c>
    </row>
    <row r="2047" spans="1:17" x14ac:dyDescent="0.3">
      <c r="A2047" t="s">
        <v>17</v>
      </c>
      <c r="B2047" t="str">
        <f>"688621"</f>
        <v>688621</v>
      </c>
      <c r="C2047" t="s">
        <v>4136</v>
      </c>
      <c r="D2047" t="s">
        <v>113</v>
      </c>
      <c r="F2047">
        <v>12900265</v>
      </c>
      <c r="G2047">
        <v>25442231</v>
      </c>
      <c r="P2047">
        <v>63</v>
      </c>
      <c r="Q2047" t="s">
        <v>4137</v>
      </c>
    </row>
    <row r="2048" spans="1:17" x14ac:dyDescent="0.3">
      <c r="A2048" t="s">
        <v>17</v>
      </c>
      <c r="B2048" t="str">
        <f>"688622"</f>
        <v>688622</v>
      </c>
      <c r="C2048" t="s">
        <v>4138</v>
      </c>
      <c r="D2048" t="s">
        <v>78</v>
      </c>
      <c r="F2048">
        <v>-145516914</v>
      </c>
      <c r="G2048">
        <v>-89355426</v>
      </c>
      <c r="P2048">
        <v>29</v>
      </c>
      <c r="Q2048" t="s">
        <v>4139</v>
      </c>
    </row>
    <row r="2049" spans="1:17" x14ac:dyDescent="0.3">
      <c r="A2049" t="s">
        <v>17</v>
      </c>
      <c r="B2049" t="str">
        <f>"688625"</f>
        <v>688625</v>
      </c>
      <c r="C2049" t="s">
        <v>4140</v>
      </c>
      <c r="D2049" t="s">
        <v>133</v>
      </c>
      <c r="F2049">
        <v>18211398</v>
      </c>
      <c r="G2049">
        <v>52632286</v>
      </c>
      <c r="P2049">
        <v>63</v>
      </c>
      <c r="Q2049" t="s">
        <v>4141</v>
      </c>
    </row>
    <row r="2050" spans="1:17" x14ac:dyDescent="0.3">
      <c r="A2050" t="s">
        <v>17</v>
      </c>
      <c r="B2050" t="str">
        <f>"688626"</f>
        <v>688626</v>
      </c>
      <c r="C2050" t="s">
        <v>4142</v>
      </c>
      <c r="D2050" t="s">
        <v>113</v>
      </c>
      <c r="F2050">
        <v>24494530</v>
      </c>
      <c r="G2050">
        <v>67383647</v>
      </c>
      <c r="P2050">
        <v>82</v>
      </c>
      <c r="Q2050" t="s">
        <v>4143</v>
      </c>
    </row>
    <row r="2051" spans="1:17" x14ac:dyDescent="0.3">
      <c r="A2051" t="s">
        <v>17</v>
      </c>
      <c r="B2051" t="str">
        <f>"688628"</f>
        <v>688628</v>
      </c>
      <c r="C2051" t="s">
        <v>4144</v>
      </c>
      <c r="D2051" t="s">
        <v>78</v>
      </c>
      <c r="F2051">
        <v>-192663298</v>
      </c>
      <c r="G2051">
        <v>78402168</v>
      </c>
      <c r="H2051">
        <v>18820901</v>
      </c>
      <c r="P2051">
        <v>35</v>
      </c>
      <c r="Q2051" t="s">
        <v>4145</v>
      </c>
    </row>
    <row r="2052" spans="1:17" x14ac:dyDescent="0.3">
      <c r="A2052" t="s">
        <v>17</v>
      </c>
      <c r="B2052" t="str">
        <f>"688630"</f>
        <v>688630</v>
      </c>
      <c r="C2052" t="s">
        <v>4146</v>
      </c>
      <c r="D2052" t="s">
        <v>78</v>
      </c>
      <c r="F2052">
        <v>-145210239</v>
      </c>
      <c r="G2052">
        <v>-120413393</v>
      </c>
      <c r="P2052">
        <v>63</v>
      </c>
      <c r="Q2052" t="s">
        <v>4147</v>
      </c>
    </row>
    <row r="2053" spans="1:17" x14ac:dyDescent="0.3">
      <c r="A2053" t="s">
        <v>17</v>
      </c>
      <c r="B2053" t="str">
        <f>"688633"</f>
        <v>688633</v>
      </c>
      <c r="C2053" t="s">
        <v>4148</v>
      </c>
      <c r="D2053" t="s">
        <v>78</v>
      </c>
      <c r="F2053">
        <v>-39942583</v>
      </c>
      <c r="G2053">
        <v>96913622</v>
      </c>
      <c r="P2053">
        <v>38</v>
      </c>
      <c r="Q2053" t="s">
        <v>4149</v>
      </c>
    </row>
    <row r="2054" spans="1:17" x14ac:dyDescent="0.3">
      <c r="A2054" t="s">
        <v>17</v>
      </c>
      <c r="B2054" t="str">
        <f>"688636"</f>
        <v>688636</v>
      </c>
      <c r="C2054" t="s">
        <v>4150</v>
      </c>
      <c r="D2054" t="s">
        <v>92</v>
      </c>
      <c r="F2054">
        <v>-175695789</v>
      </c>
      <c r="G2054">
        <v>-39651648</v>
      </c>
      <c r="H2054">
        <v>-33422597</v>
      </c>
      <c r="P2054">
        <v>32</v>
      </c>
      <c r="Q2054" t="s">
        <v>4151</v>
      </c>
    </row>
    <row r="2055" spans="1:17" x14ac:dyDescent="0.3">
      <c r="A2055" t="s">
        <v>17</v>
      </c>
      <c r="B2055" t="str">
        <f>"688639"</f>
        <v>688639</v>
      </c>
      <c r="C2055" t="s">
        <v>4152</v>
      </c>
      <c r="D2055" t="s">
        <v>133</v>
      </c>
      <c r="F2055">
        <v>-76361122</v>
      </c>
      <c r="G2055">
        <v>36151386</v>
      </c>
      <c r="H2055">
        <v>77839180</v>
      </c>
      <c r="P2055">
        <v>58</v>
      </c>
      <c r="Q2055" t="s">
        <v>4153</v>
      </c>
    </row>
    <row r="2056" spans="1:17" x14ac:dyDescent="0.3">
      <c r="A2056" t="s">
        <v>17</v>
      </c>
      <c r="B2056" t="str">
        <f>"688655"</f>
        <v>688655</v>
      </c>
      <c r="C2056" t="s">
        <v>4154</v>
      </c>
      <c r="D2056" t="s">
        <v>150</v>
      </c>
      <c r="F2056">
        <v>39897852</v>
      </c>
      <c r="G2056">
        <v>32266490</v>
      </c>
      <c r="P2056">
        <v>21</v>
      </c>
      <c r="Q2056" t="s">
        <v>4155</v>
      </c>
    </row>
    <row r="2057" spans="1:17" x14ac:dyDescent="0.3">
      <c r="A2057" t="s">
        <v>17</v>
      </c>
      <c r="B2057" t="str">
        <f>"688656"</f>
        <v>688656</v>
      </c>
      <c r="C2057" t="s">
        <v>4156</v>
      </c>
      <c r="D2057" t="s">
        <v>113</v>
      </c>
      <c r="F2057">
        <v>-47573189</v>
      </c>
      <c r="G2057">
        <v>-3955512</v>
      </c>
      <c r="H2057">
        <v>14779978</v>
      </c>
      <c r="P2057">
        <v>60</v>
      </c>
      <c r="Q2057" t="s">
        <v>4157</v>
      </c>
    </row>
    <row r="2058" spans="1:17" x14ac:dyDescent="0.3">
      <c r="A2058" t="s">
        <v>17</v>
      </c>
      <c r="B2058" t="str">
        <f>"688658"</f>
        <v>688658</v>
      </c>
      <c r="C2058" t="s">
        <v>4158</v>
      </c>
      <c r="D2058" t="s">
        <v>113</v>
      </c>
      <c r="F2058">
        <v>192051766</v>
      </c>
      <c r="G2058">
        <v>213098213</v>
      </c>
      <c r="H2058">
        <v>-21656649</v>
      </c>
      <c r="P2058">
        <v>76</v>
      </c>
      <c r="Q2058" t="s">
        <v>4159</v>
      </c>
    </row>
    <row r="2059" spans="1:17" x14ac:dyDescent="0.3">
      <c r="A2059" t="s">
        <v>17</v>
      </c>
      <c r="B2059" t="str">
        <f>"688659"</f>
        <v>688659</v>
      </c>
      <c r="C2059" t="s">
        <v>4160</v>
      </c>
      <c r="D2059" t="s">
        <v>133</v>
      </c>
      <c r="F2059">
        <v>-14089052</v>
      </c>
      <c r="G2059">
        <v>-37035293</v>
      </c>
      <c r="H2059">
        <v>8990642</v>
      </c>
      <c r="P2059">
        <v>40</v>
      </c>
      <c r="Q2059" t="s">
        <v>4161</v>
      </c>
    </row>
    <row r="2060" spans="1:17" x14ac:dyDescent="0.3">
      <c r="A2060" t="s">
        <v>17</v>
      </c>
      <c r="B2060" t="str">
        <f>"688660"</f>
        <v>688660</v>
      </c>
      <c r="C2060" t="s">
        <v>4162</v>
      </c>
      <c r="D2060" t="s">
        <v>188</v>
      </c>
      <c r="F2060">
        <v>-4028304141</v>
      </c>
      <c r="G2060">
        <v>2096362281</v>
      </c>
      <c r="P2060">
        <v>54</v>
      </c>
      <c r="Q2060" t="s">
        <v>4163</v>
      </c>
    </row>
    <row r="2061" spans="1:17" x14ac:dyDescent="0.3">
      <c r="A2061" t="s">
        <v>17</v>
      </c>
      <c r="B2061" t="str">
        <f>"688661"</f>
        <v>688661</v>
      </c>
      <c r="C2061" t="s">
        <v>4164</v>
      </c>
      <c r="D2061" t="s">
        <v>150</v>
      </c>
      <c r="F2061">
        <v>8922705</v>
      </c>
      <c r="G2061">
        <v>21171089</v>
      </c>
      <c r="P2061">
        <v>65</v>
      </c>
      <c r="Q2061" t="s">
        <v>4165</v>
      </c>
    </row>
    <row r="2062" spans="1:17" x14ac:dyDescent="0.3">
      <c r="A2062" t="s">
        <v>17</v>
      </c>
      <c r="B2062" t="str">
        <f>"688662"</f>
        <v>688662</v>
      </c>
      <c r="C2062" t="s">
        <v>4166</v>
      </c>
      <c r="D2062" t="s">
        <v>150</v>
      </c>
      <c r="F2062">
        <v>-36537751</v>
      </c>
      <c r="G2062">
        <v>14738915</v>
      </c>
      <c r="P2062">
        <v>24</v>
      </c>
      <c r="Q2062" t="s">
        <v>4167</v>
      </c>
    </row>
    <row r="2063" spans="1:17" x14ac:dyDescent="0.3">
      <c r="A2063" t="s">
        <v>17</v>
      </c>
      <c r="B2063" t="str">
        <f>"688663"</f>
        <v>688663</v>
      </c>
      <c r="C2063" t="s">
        <v>4168</v>
      </c>
      <c r="D2063" t="s">
        <v>188</v>
      </c>
      <c r="F2063">
        <v>-21518182</v>
      </c>
      <c r="G2063">
        <v>43981357</v>
      </c>
      <c r="P2063">
        <v>32</v>
      </c>
      <c r="Q2063" t="s">
        <v>4169</v>
      </c>
    </row>
    <row r="2064" spans="1:17" x14ac:dyDescent="0.3">
      <c r="A2064" t="s">
        <v>17</v>
      </c>
      <c r="B2064" t="str">
        <f>"688665"</f>
        <v>688665</v>
      </c>
      <c r="C2064" t="s">
        <v>4170</v>
      </c>
      <c r="D2064" t="s">
        <v>78</v>
      </c>
      <c r="F2064">
        <v>-47565231</v>
      </c>
      <c r="G2064">
        <v>29252846</v>
      </c>
      <c r="H2064">
        <v>21510767</v>
      </c>
      <c r="P2064">
        <v>63</v>
      </c>
      <c r="Q2064" t="s">
        <v>4171</v>
      </c>
    </row>
    <row r="2065" spans="1:17" x14ac:dyDescent="0.3">
      <c r="A2065" t="s">
        <v>17</v>
      </c>
      <c r="B2065" t="str">
        <f>"688667"</f>
        <v>688667</v>
      </c>
      <c r="C2065" t="s">
        <v>4172</v>
      </c>
      <c r="D2065" t="s">
        <v>27</v>
      </c>
      <c r="F2065">
        <v>-35520203</v>
      </c>
      <c r="G2065">
        <v>-42144834</v>
      </c>
      <c r="P2065">
        <v>66</v>
      </c>
      <c r="Q2065" t="s">
        <v>4173</v>
      </c>
    </row>
    <row r="2066" spans="1:17" x14ac:dyDescent="0.3">
      <c r="A2066" t="s">
        <v>17</v>
      </c>
      <c r="B2066" t="str">
        <f>"688668"</f>
        <v>688668</v>
      </c>
      <c r="C2066" t="s">
        <v>4174</v>
      </c>
      <c r="D2066" t="s">
        <v>100</v>
      </c>
      <c r="F2066">
        <v>-79680764</v>
      </c>
      <c r="G2066">
        <v>-53479288</v>
      </c>
      <c r="H2066">
        <v>21243900</v>
      </c>
      <c r="P2066">
        <v>44</v>
      </c>
      <c r="Q2066" t="s">
        <v>4175</v>
      </c>
    </row>
    <row r="2067" spans="1:17" x14ac:dyDescent="0.3">
      <c r="A2067" t="s">
        <v>17</v>
      </c>
      <c r="B2067" t="str">
        <f>"688669"</f>
        <v>688669</v>
      </c>
      <c r="C2067" t="s">
        <v>4176</v>
      </c>
      <c r="D2067" t="s">
        <v>133</v>
      </c>
      <c r="F2067">
        <v>-520786022</v>
      </c>
      <c r="G2067">
        <v>-53872209</v>
      </c>
      <c r="H2067">
        <v>-23369300</v>
      </c>
      <c r="P2067">
        <v>36</v>
      </c>
      <c r="Q2067" t="s">
        <v>4177</v>
      </c>
    </row>
    <row r="2068" spans="1:17" x14ac:dyDescent="0.3">
      <c r="A2068" t="s">
        <v>17</v>
      </c>
      <c r="B2068" t="str">
        <f>"688670"</f>
        <v>688670</v>
      </c>
      <c r="C2068" t="s">
        <v>4178</v>
      </c>
      <c r="D2068" t="s">
        <v>113</v>
      </c>
      <c r="F2068">
        <v>-171874532</v>
      </c>
      <c r="P2068">
        <v>19</v>
      </c>
      <c r="Q2068" t="s">
        <v>4179</v>
      </c>
    </row>
    <row r="2069" spans="1:17" x14ac:dyDescent="0.3">
      <c r="A2069" t="s">
        <v>17</v>
      </c>
      <c r="B2069" t="str">
        <f>"688676"</f>
        <v>688676</v>
      </c>
      <c r="C2069" t="s">
        <v>4180</v>
      </c>
      <c r="D2069" t="s">
        <v>188</v>
      </c>
      <c r="F2069">
        <v>-181736550</v>
      </c>
      <c r="G2069">
        <v>-200154550</v>
      </c>
      <c r="P2069">
        <v>43</v>
      </c>
      <c r="Q2069" t="s">
        <v>4181</v>
      </c>
    </row>
    <row r="2070" spans="1:17" x14ac:dyDescent="0.3">
      <c r="A2070" t="s">
        <v>17</v>
      </c>
      <c r="B2070" t="str">
        <f>"688677"</f>
        <v>688677</v>
      </c>
      <c r="C2070" t="s">
        <v>4182</v>
      </c>
      <c r="D2070" t="s">
        <v>113</v>
      </c>
      <c r="F2070">
        <v>16212897</v>
      </c>
      <c r="G2070">
        <v>36584777</v>
      </c>
      <c r="H2070">
        <v>59589800</v>
      </c>
      <c r="P2070">
        <v>94</v>
      </c>
      <c r="Q2070" t="s">
        <v>4183</v>
      </c>
    </row>
    <row r="2071" spans="1:17" x14ac:dyDescent="0.3">
      <c r="A2071" t="s">
        <v>17</v>
      </c>
      <c r="B2071" t="str">
        <f>"688678"</f>
        <v>688678</v>
      </c>
      <c r="C2071" t="s">
        <v>4184</v>
      </c>
      <c r="D2071" t="s">
        <v>150</v>
      </c>
      <c r="F2071">
        <v>-102611322</v>
      </c>
      <c r="G2071">
        <v>-14276190</v>
      </c>
      <c r="H2071">
        <v>-30225837</v>
      </c>
      <c r="P2071">
        <v>29</v>
      </c>
      <c r="Q2071" t="s">
        <v>4185</v>
      </c>
    </row>
    <row r="2072" spans="1:17" x14ac:dyDescent="0.3">
      <c r="A2072" t="s">
        <v>17</v>
      </c>
      <c r="B2072" t="str">
        <f>"688679"</f>
        <v>688679</v>
      </c>
      <c r="C2072" t="s">
        <v>4186</v>
      </c>
      <c r="D2072" t="s">
        <v>33</v>
      </c>
      <c r="F2072">
        <v>-264692516</v>
      </c>
      <c r="G2072">
        <v>-51772874</v>
      </c>
      <c r="H2072">
        <v>15704900</v>
      </c>
      <c r="P2072">
        <v>31</v>
      </c>
      <c r="Q2072" t="s">
        <v>4187</v>
      </c>
    </row>
    <row r="2073" spans="1:17" x14ac:dyDescent="0.3">
      <c r="A2073" t="s">
        <v>17</v>
      </c>
      <c r="B2073" t="str">
        <f>"688680"</f>
        <v>688680</v>
      </c>
      <c r="C2073" t="s">
        <v>4188</v>
      </c>
      <c r="D2073" t="s">
        <v>188</v>
      </c>
      <c r="F2073">
        <v>-1288325776</v>
      </c>
      <c r="G2073">
        <v>-118377464</v>
      </c>
      <c r="H2073">
        <v>-35675216</v>
      </c>
      <c r="I2073">
        <v>-7426263</v>
      </c>
      <c r="P2073">
        <v>79</v>
      </c>
      <c r="Q2073" t="s">
        <v>4189</v>
      </c>
    </row>
    <row r="2074" spans="1:17" x14ac:dyDescent="0.3">
      <c r="A2074" t="s">
        <v>17</v>
      </c>
      <c r="B2074" t="str">
        <f>"688681"</f>
        <v>688681</v>
      </c>
      <c r="C2074" t="s">
        <v>4190</v>
      </c>
      <c r="D2074" t="s">
        <v>188</v>
      </c>
      <c r="F2074">
        <v>-52580477</v>
      </c>
      <c r="G2074">
        <v>-14404335</v>
      </c>
      <c r="P2074">
        <v>31</v>
      </c>
      <c r="Q2074" t="s">
        <v>4191</v>
      </c>
    </row>
    <row r="2075" spans="1:17" x14ac:dyDescent="0.3">
      <c r="A2075" t="s">
        <v>17</v>
      </c>
      <c r="B2075" t="str">
        <f>"688682"</f>
        <v>688682</v>
      </c>
      <c r="C2075" t="s">
        <v>4192</v>
      </c>
      <c r="D2075" t="s">
        <v>92</v>
      </c>
      <c r="F2075">
        <v>-42909447</v>
      </c>
      <c r="G2075">
        <v>-16038306</v>
      </c>
      <c r="H2075">
        <v>-18586862</v>
      </c>
      <c r="P2075">
        <v>33</v>
      </c>
      <c r="Q2075" t="s">
        <v>4193</v>
      </c>
    </row>
    <row r="2076" spans="1:17" x14ac:dyDescent="0.3">
      <c r="A2076" t="s">
        <v>17</v>
      </c>
      <c r="B2076" t="str">
        <f>"688683"</f>
        <v>688683</v>
      </c>
      <c r="C2076" t="s">
        <v>4194</v>
      </c>
      <c r="D2076" t="s">
        <v>150</v>
      </c>
      <c r="F2076">
        <v>-39374686</v>
      </c>
      <c r="P2076">
        <v>18</v>
      </c>
      <c r="Q2076" t="s">
        <v>4195</v>
      </c>
    </row>
    <row r="2077" spans="1:17" x14ac:dyDescent="0.3">
      <c r="A2077" t="s">
        <v>17</v>
      </c>
      <c r="B2077" t="str">
        <f>"688685"</f>
        <v>688685</v>
      </c>
      <c r="C2077" t="s">
        <v>4196</v>
      </c>
      <c r="D2077" t="s">
        <v>92</v>
      </c>
      <c r="F2077">
        <v>-19224158</v>
      </c>
      <c r="G2077">
        <v>-100775450</v>
      </c>
      <c r="P2077">
        <v>21</v>
      </c>
      <c r="Q2077" t="s">
        <v>4197</v>
      </c>
    </row>
    <row r="2078" spans="1:17" x14ac:dyDescent="0.3">
      <c r="A2078" t="s">
        <v>17</v>
      </c>
      <c r="B2078" t="str">
        <f>"688686"</f>
        <v>688686</v>
      </c>
      <c r="C2078" t="s">
        <v>4198</v>
      </c>
      <c r="D2078" t="s">
        <v>78</v>
      </c>
      <c r="F2078">
        <v>4784966</v>
      </c>
      <c r="G2078">
        <v>-18355753</v>
      </c>
      <c r="H2078">
        <v>166777600</v>
      </c>
      <c r="P2078">
        <v>117</v>
      </c>
      <c r="Q2078" t="s">
        <v>4199</v>
      </c>
    </row>
    <row r="2079" spans="1:17" x14ac:dyDescent="0.3">
      <c r="A2079" t="s">
        <v>17</v>
      </c>
      <c r="B2079" t="str">
        <f>"688687"</f>
        <v>688687</v>
      </c>
      <c r="C2079" t="s">
        <v>4200</v>
      </c>
      <c r="D2079" t="s">
        <v>113</v>
      </c>
      <c r="F2079">
        <v>85624935</v>
      </c>
      <c r="G2079">
        <v>68316439</v>
      </c>
      <c r="H2079">
        <v>34735000</v>
      </c>
      <c r="P2079">
        <v>41</v>
      </c>
      <c r="Q2079" t="s">
        <v>4201</v>
      </c>
    </row>
    <row r="2080" spans="1:17" x14ac:dyDescent="0.3">
      <c r="A2080" t="s">
        <v>17</v>
      </c>
      <c r="B2080" t="str">
        <f>"688689"</f>
        <v>688689</v>
      </c>
      <c r="C2080" t="s">
        <v>4202</v>
      </c>
      <c r="D2080" t="s">
        <v>150</v>
      </c>
      <c r="F2080">
        <v>-17186650</v>
      </c>
      <c r="G2080">
        <v>16595601</v>
      </c>
      <c r="H2080">
        <v>76014600</v>
      </c>
      <c r="P2080">
        <v>46</v>
      </c>
      <c r="Q2080" t="s">
        <v>4203</v>
      </c>
    </row>
    <row r="2081" spans="1:17" x14ac:dyDescent="0.3">
      <c r="A2081" t="s">
        <v>17</v>
      </c>
      <c r="B2081" t="str">
        <f>"688690"</f>
        <v>688690</v>
      </c>
      <c r="C2081" t="s">
        <v>4204</v>
      </c>
      <c r="D2081" t="s">
        <v>113</v>
      </c>
      <c r="F2081">
        <v>33531944</v>
      </c>
      <c r="G2081">
        <v>4387624</v>
      </c>
      <c r="P2081">
        <v>116</v>
      </c>
      <c r="Q2081" t="s">
        <v>4205</v>
      </c>
    </row>
    <row r="2082" spans="1:17" x14ac:dyDescent="0.3">
      <c r="A2082" t="s">
        <v>17</v>
      </c>
      <c r="B2082" t="str">
        <f>"688696"</f>
        <v>688696</v>
      </c>
      <c r="C2082" t="s">
        <v>4206</v>
      </c>
      <c r="D2082" t="s">
        <v>126</v>
      </c>
      <c r="F2082">
        <v>-928011</v>
      </c>
      <c r="G2082">
        <v>24075861</v>
      </c>
      <c r="P2082">
        <v>150</v>
      </c>
      <c r="Q2082" t="s">
        <v>4207</v>
      </c>
    </row>
    <row r="2083" spans="1:17" x14ac:dyDescent="0.3">
      <c r="A2083" t="s">
        <v>17</v>
      </c>
      <c r="B2083" t="str">
        <f>"688697"</f>
        <v>688697</v>
      </c>
      <c r="C2083" t="s">
        <v>4208</v>
      </c>
      <c r="D2083" t="s">
        <v>78</v>
      </c>
      <c r="F2083">
        <v>127326942</v>
      </c>
      <c r="G2083">
        <v>83445637</v>
      </c>
      <c r="P2083">
        <v>16</v>
      </c>
      <c r="Q2083" t="s">
        <v>4209</v>
      </c>
    </row>
    <row r="2084" spans="1:17" x14ac:dyDescent="0.3">
      <c r="A2084" t="s">
        <v>17</v>
      </c>
      <c r="B2084" t="str">
        <f>"688698"</f>
        <v>688698</v>
      </c>
      <c r="C2084" t="s">
        <v>4210</v>
      </c>
      <c r="D2084" t="s">
        <v>78</v>
      </c>
      <c r="F2084">
        <v>-40178943</v>
      </c>
      <c r="G2084">
        <v>25796026</v>
      </c>
      <c r="H2084">
        <v>23761600</v>
      </c>
      <c r="P2084">
        <v>75</v>
      </c>
      <c r="Q2084" t="s">
        <v>4211</v>
      </c>
    </row>
    <row r="2085" spans="1:17" x14ac:dyDescent="0.3">
      <c r="A2085" t="s">
        <v>17</v>
      </c>
      <c r="B2085" t="str">
        <f>"688699"</f>
        <v>688699</v>
      </c>
      <c r="C2085" t="s">
        <v>4212</v>
      </c>
      <c r="D2085" t="s">
        <v>150</v>
      </c>
      <c r="F2085">
        <v>352106259</v>
      </c>
      <c r="G2085">
        <v>-31983116</v>
      </c>
      <c r="H2085">
        <v>22711807</v>
      </c>
      <c r="P2085">
        <v>140</v>
      </c>
      <c r="Q2085" t="s">
        <v>4213</v>
      </c>
    </row>
    <row r="2086" spans="1:17" x14ac:dyDescent="0.3">
      <c r="A2086" t="s">
        <v>17</v>
      </c>
      <c r="B2086" t="str">
        <f>"688700"</f>
        <v>688700</v>
      </c>
      <c r="C2086" t="s">
        <v>4214</v>
      </c>
      <c r="D2086" t="s">
        <v>78</v>
      </c>
      <c r="F2086">
        <v>3404029</v>
      </c>
      <c r="G2086">
        <v>-7420672</v>
      </c>
      <c r="P2086">
        <v>34</v>
      </c>
      <c r="Q2086" t="s">
        <v>4215</v>
      </c>
    </row>
    <row r="2087" spans="1:17" x14ac:dyDescent="0.3">
      <c r="A2087" t="s">
        <v>17</v>
      </c>
      <c r="B2087" t="str">
        <f>"688701"</f>
        <v>688701</v>
      </c>
      <c r="C2087" t="s">
        <v>4216</v>
      </c>
      <c r="D2087" t="s">
        <v>33</v>
      </c>
      <c r="F2087">
        <v>-102152479</v>
      </c>
      <c r="G2087">
        <v>4659994</v>
      </c>
      <c r="P2087">
        <v>19</v>
      </c>
      <c r="Q2087" t="s">
        <v>4217</v>
      </c>
    </row>
    <row r="2088" spans="1:17" x14ac:dyDescent="0.3">
      <c r="A2088" t="s">
        <v>17</v>
      </c>
      <c r="B2088" t="str">
        <f>"688707"</f>
        <v>688707</v>
      </c>
      <c r="C2088" t="s">
        <v>4218</v>
      </c>
      <c r="D2088" t="s">
        <v>188</v>
      </c>
      <c r="F2088">
        <v>-274151271</v>
      </c>
      <c r="G2088">
        <v>-551019002</v>
      </c>
      <c r="P2088">
        <v>31</v>
      </c>
      <c r="Q2088" t="s">
        <v>4219</v>
      </c>
    </row>
    <row r="2089" spans="1:17" x14ac:dyDescent="0.3">
      <c r="A2089" t="s">
        <v>17</v>
      </c>
      <c r="B2089" t="str">
        <f>"688711"</f>
        <v>688711</v>
      </c>
      <c r="C2089" t="s">
        <v>4220</v>
      </c>
      <c r="D2089" t="s">
        <v>150</v>
      </c>
      <c r="F2089">
        <v>-72828755</v>
      </c>
      <c r="G2089">
        <v>-10493233</v>
      </c>
      <c r="P2089">
        <v>38</v>
      </c>
      <c r="Q2089" t="s">
        <v>4221</v>
      </c>
    </row>
    <row r="2090" spans="1:17" x14ac:dyDescent="0.3">
      <c r="A2090" t="s">
        <v>17</v>
      </c>
      <c r="B2090" t="str">
        <f>"688718"</f>
        <v>688718</v>
      </c>
      <c r="C2090" t="s">
        <v>4222</v>
      </c>
      <c r="D2090" t="s">
        <v>133</v>
      </c>
      <c r="F2090">
        <v>-104681772</v>
      </c>
      <c r="G2090">
        <v>14209850</v>
      </c>
      <c r="P2090">
        <v>20</v>
      </c>
      <c r="Q2090" t="s">
        <v>4223</v>
      </c>
    </row>
    <row r="2091" spans="1:17" x14ac:dyDescent="0.3">
      <c r="A2091" t="s">
        <v>17</v>
      </c>
      <c r="B2091" t="str">
        <f>"688722"</f>
        <v>688722</v>
      </c>
      <c r="C2091" t="s">
        <v>4224</v>
      </c>
      <c r="D2091" t="s">
        <v>133</v>
      </c>
      <c r="F2091">
        <v>17171180</v>
      </c>
      <c r="G2091">
        <v>31836186</v>
      </c>
      <c r="P2091">
        <v>13</v>
      </c>
      <c r="Q2091" t="s">
        <v>4225</v>
      </c>
    </row>
    <row r="2092" spans="1:17" x14ac:dyDescent="0.3">
      <c r="A2092" t="s">
        <v>17</v>
      </c>
      <c r="B2092" t="str">
        <f>"688728"</f>
        <v>688728</v>
      </c>
      <c r="C2092" t="s">
        <v>4226</v>
      </c>
      <c r="D2092" t="s">
        <v>150</v>
      </c>
      <c r="F2092">
        <v>-1195523849</v>
      </c>
      <c r="G2092">
        <v>-998145214</v>
      </c>
      <c r="P2092">
        <v>58</v>
      </c>
      <c r="Q2092" t="s">
        <v>4227</v>
      </c>
    </row>
    <row r="2093" spans="1:17" x14ac:dyDescent="0.3">
      <c r="A2093" t="s">
        <v>17</v>
      </c>
      <c r="B2093" t="str">
        <f>"688733"</f>
        <v>688733</v>
      </c>
      <c r="C2093" t="s">
        <v>4228</v>
      </c>
      <c r="D2093" t="s">
        <v>188</v>
      </c>
      <c r="F2093">
        <v>-121422342</v>
      </c>
      <c r="G2093">
        <v>-46808066</v>
      </c>
      <c r="P2093">
        <v>47</v>
      </c>
      <c r="Q2093" t="s">
        <v>4229</v>
      </c>
    </row>
    <row r="2094" spans="1:17" x14ac:dyDescent="0.3">
      <c r="A2094" t="s">
        <v>17</v>
      </c>
      <c r="B2094" t="str">
        <f>"688737"</f>
        <v>688737</v>
      </c>
      <c r="C2094" t="s">
        <v>4230</v>
      </c>
      <c r="D2094" t="s">
        <v>27</v>
      </c>
      <c r="F2094">
        <v>167306524</v>
      </c>
      <c r="G2094">
        <v>-516755904</v>
      </c>
      <c r="P2094">
        <v>15</v>
      </c>
      <c r="Q2094" t="s">
        <v>4231</v>
      </c>
    </row>
    <row r="2095" spans="1:17" x14ac:dyDescent="0.3">
      <c r="A2095" t="s">
        <v>17</v>
      </c>
      <c r="B2095" t="str">
        <f>"688739"</f>
        <v>688739</v>
      </c>
      <c r="C2095" t="s">
        <v>4232</v>
      </c>
      <c r="D2095" t="s">
        <v>113</v>
      </c>
      <c r="F2095">
        <v>-146975998</v>
      </c>
      <c r="G2095">
        <v>558752446</v>
      </c>
      <c r="P2095">
        <v>36</v>
      </c>
      <c r="Q2095" t="s">
        <v>4233</v>
      </c>
    </row>
    <row r="2096" spans="1:17" x14ac:dyDescent="0.3">
      <c r="A2096" t="s">
        <v>17</v>
      </c>
      <c r="B2096" t="str">
        <f>"688766"</f>
        <v>688766</v>
      </c>
      <c r="C2096" t="s">
        <v>4234</v>
      </c>
      <c r="D2096" t="s">
        <v>150</v>
      </c>
      <c r="F2096">
        <v>137756101</v>
      </c>
      <c r="G2096">
        <v>-75768152</v>
      </c>
      <c r="P2096">
        <v>42</v>
      </c>
      <c r="Q2096" t="s">
        <v>4235</v>
      </c>
    </row>
    <row r="2097" spans="1:17" x14ac:dyDescent="0.3">
      <c r="A2097" t="s">
        <v>17</v>
      </c>
      <c r="B2097" t="str">
        <f>"688767"</f>
        <v>688767</v>
      </c>
      <c r="C2097" t="s">
        <v>4236</v>
      </c>
      <c r="D2097" t="s">
        <v>113</v>
      </c>
      <c r="F2097">
        <v>651264029</v>
      </c>
      <c r="G2097">
        <v>316459981</v>
      </c>
      <c r="P2097">
        <v>43</v>
      </c>
      <c r="Q2097" t="s">
        <v>4237</v>
      </c>
    </row>
    <row r="2098" spans="1:17" x14ac:dyDescent="0.3">
      <c r="A2098" t="s">
        <v>17</v>
      </c>
      <c r="B2098" t="str">
        <f>"688768"</f>
        <v>688768</v>
      </c>
      <c r="C2098" t="s">
        <v>4238</v>
      </c>
      <c r="D2098" t="s">
        <v>78</v>
      </c>
      <c r="F2098">
        <v>-129155</v>
      </c>
      <c r="G2098">
        <v>-19512988</v>
      </c>
      <c r="P2098">
        <v>30</v>
      </c>
      <c r="Q2098" t="s">
        <v>4239</v>
      </c>
    </row>
    <row r="2099" spans="1:17" x14ac:dyDescent="0.3">
      <c r="A2099" t="s">
        <v>17</v>
      </c>
      <c r="B2099" t="str">
        <f>"688772"</f>
        <v>688772</v>
      </c>
      <c r="C2099" t="s">
        <v>4240</v>
      </c>
      <c r="D2099" t="s">
        <v>188</v>
      </c>
      <c r="F2099">
        <v>-946310913</v>
      </c>
      <c r="G2099">
        <v>83847296</v>
      </c>
      <c r="P2099">
        <v>33</v>
      </c>
      <c r="Q2099" t="s">
        <v>4241</v>
      </c>
    </row>
    <row r="2100" spans="1:17" x14ac:dyDescent="0.3">
      <c r="A2100" t="s">
        <v>17</v>
      </c>
      <c r="B2100" t="str">
        <f>"688776"</f>
        <v>688776</v>
      </c>
      <c r="C2100" t="s">
        <v>4242</v>
      </c>
      <c r="D2100" t="s">
        <v>92</v>
      </c>
      <c r="F2100">
        <v>-61932639</v>
      </c>
      <c r="G2100">
        <v>-20420934</v>
      </c>
      <c r="P2100">
        <v>23</v>
      </c>
      <c r="Q2100" t="s">
        <v>4243</v>
      </c>
    </row>
    <row r="2101" spans="1:17" x14ac:dyDescent="0.3">
      <c r="A2101" t="s">
        <v>17</v>
      </c>
      <c r="B2101" t="str">
        <f>"688777"</f>
        <v>688777</v>
      </c>
      <c r="C2101" t="s">
        <v>4244</v>
      </c>
      <c r="D2101" t="s">
        <v>78</v>
      </c>
      <c r="F2101">
        <v>-259950227</v>
      </c>
      <c r="G2101">
        <v>254994365</v>
      </c>
      <c r="H2101">
        <v>162549194</v>
      </c>
      <c r="P2101">
        <v>180</v>
      </c>
      <c r="Q2101" t="s">
        <v>4245</v>
      </c>
    </row>
    <row r="2102" spans="1:17" x14ac:dyDescent="0.3">
      <c r="A2102" t="s">
        <v>17</v>
      </c>
      <c r="B2102" t="str">
        <f>"688778"</f>
        <v>688778</v>
      </c>
      <c r="C2102" t="s">
        <v>4246</v>
      </c>
      <c r="D2102" t="s">
        <v>188</v>
      </c>
      <c r="F2102">
        <v>439592305</v>
      </c>
      <c r="G2102">
        <v>122695268</v>
      </c>
      <c r="P2102">
        <v>44</v>
      </c>
      <c r="Q2102" t="s">
        <v>4247</v>
      </c>
    </row>
    <row r="2103" spans="1:17" x14ac:dyDescent="0.3">
      <c r="A2103" t="s">
        <v>17</v>
      </c>
      <c r="B2103" t="str">
        <f>"688779"</f>
        <v>688779</v>
      </c>
      <c r="C2103" t="s">
        <v>4248</v>
      </c>
      <c r="D2103" t="s">
        <v>188</v>
      </c>
      <c r="F2103">
        <v>-533322337</v>
      </c>
      <c r="P2103">
        <v>53</v>
      </c>
      <c r="Q2103" t="s">
        <v>4249</v>
      </c>
    </row>
    <row r="2104" spans="1:17" x14ac:dyDescent="0.3">
      <c r="A2104" t="s">
        <v>17</v>
      </c>
      <c r="B2104" t="str">
        <f>"688786"</f>
        <v>688786</v>
      </c>
      <c r="C2104" t="s">
        <v>4250</v>
      </c>
      <c r="D2104" t="s">
        <v>234</v>
      </c>
      <c r="F2104">
        <v>23020201</v>
      </c>
      <c r="G2104">
        <v>-48531326</v>
      </c>
      <c r="P2104">
        <v>31</v>
      </c>
      <c r="Q2104" t="s">
        <v>4251</v>
      </c>
    </row>
    <row r="2105" spans="1:17" x14ac:dyDescent="0.3">
      <c r="A2105" t="s">
        <v>17</v>
      </c>
      <c r="B2105" t="str">
        <f>"688787"</f>
        <v>688787</v>
      </c>
      <c r="C2105" t="s">
        <v>4252</v>
      </c>
      <c r="D2105" t="s">
        <v>212</v>
      </c>
      <c r="F2105">
        <v>-16833686</v>
      </c>
      <c r="G2105">
        <v>41445027</v>
      </c>
      <c r="P2105">
        <v>32</v>
      </c>
      <c r="Q2105" t="s">
        <v>4253</v>
      </c>
    </row>
    <row r="2106" spans="1:17" x14ac:dyDescent="0.3">
      <c r="A2106" t="s">
        <v>17</v>
      </c>
      <c r="B2106" t="str">
        <f>"688788"</f>
        <v>688788</v>
      </c>
      <c r="C2106" t="s">
        <v>4254</v>
      </c>
      <c r="D2106" t="s">
        <v>92</v>
      </c>
      <c r="F2106">
        <v>-50776076</v>
      </c>
      <c r="G2106">
        <v>87793475</v>
      </c>
      <c r="H2106">
        <v>-197973664</v>
      </c>
      <c r="P2106">
        <v>57</v>
      </c>
      <c r="Q2106" t="s">
        <v>4255</v>
      </c>
    </row>
    <row r="2107" spans="1:17" x14ac:dyDescent="0.3">
      <c r="A2107" t="s">
        <v>17</v>
      </c>
      <c r="B2107" t="str">
        <f>"688789"</f>
        <v>688789</v>
      </c>
      <c r="C2107" t="s">
        <v>4256</v>
      </c>
      <c r="D2107" t="s">
        <v>78</v>
      </c>
      <c r="F2107">
        <v>-4991438</v>
      </c>
      <c r="G2107">
        <v>25387365</v>
      </c>
      <c r="P2107">
        <v>43</v>
      </c>
      <c r="Q2107" t="s">
        <v>4257</v>
      </c>
    </row>
    <row r="2108" spans="1:17" x14ac:dyDescent="0.3">
      <c r="A2108" t="s">
        <v>17</v>
      </c>
      <c r="B2108" t="str">
        <f>"688793"</f>
        <v>688793</v>
      </c>
      <c r="C2108" t="s">
        <v>4258</v>
      </c>
      <c r="D2108" t="s">
        <v>126</v>
      </c>
      <c r="F2108">
        <v>46067996</v>
      </c>
      <c r="G2108">
        <v>-9759355</v>
      </c>
      <c r="P2108">
        <v>48</v>
      </c>
      <c r="Q2108" t="s">
        <v>4259</v>
      </c>
    </row>
    <row r="2109" spans="1:17" x14ac:dyDescent="0.3">
      <c r="A2109" t="s">
        <v>17</v>
      </c>
      <c r="B2109" t="str">
        <f>"688798"</f>
        <v>688798</v>
      </c>
      <c r="C2109" t="s">
        <v>4260</v>
      </c>
      <c r="D2109" t="s">
        <v>150</v>
      </c>
      <c r="F2109">
        <v>-118189939</v>
      </c>
      <c r="G2109">
        <v>4962975</v>
      </c>
      <c r="P2109">
        <v>67</v>
      </c>
      <c r="Q2109" t="s">
        <v>4261</v>
      </c>
    </row>
    <row r="2110" spans="1:17" x14ac:dyDescent="0.3">
      <c r="A2110" t="s">
        <v>17</v>
      </c>
      <c r="B2110" t="str">
        <f>"688799"</f>
        <v>688799</v>
      </c>
      <c r="C2110" t="s">
        <v>4262</v>
      </c>
      <c r="D2110" t="s">
        <v>113</v>
      </c>
      <c r="F2110">
        <v>36028985</v>
      </c>
      <c r="G2110">
        <v>-909833</v>
      </c>
      <c r="P2110">
        <v>35</v>
      </c>
      <c r="Q2110" t="s">
        <v>4263</v>
      </c>
    </row>
    <row r="2111" spans="1:17" x14ac:dyDescent="0.3">
      <c r="A2111" t="s">
        <v>17</v>
      </c>
      <c r="B2111" t="str">
        <f>"688800"</f>
        <v>688800</v>
      </c>
      <c r="C2111" t="s">
        <v>4264</v>
      </c>
      <c r="D2111" t="s">
        <v>150</v>
      </c>
      <c r="F2111">
        <v>-7470047</v>
      </c>
      <c r="G2111">
        <v>35592572</v>
      </c>
      <c r="P2111">
        <v>51</v>
      </c>
      <c r="Q2111" t="s">
        <v>4265</v>
      </c>
    </row>
    <row r="2112" spans="1:17" x14ac:dyDescent="0.3">
      <c r="A2112" t="s">
        <v>17</v>
      </c>
      <c r="B2112" t="str">
        <f>"688819"</f>
        <v>688819</v>
      </c>
      <c r="C2112" t="s">
        <v>4266</v>
      </c>
      <c r="D2112" t="s">
        <v>188</v>
      </c>
      <c r="F2112">
        <v>-1215595177</v>
      </c>
      <c r="G2112">
        <v>603936364</v>
      </c>
      <c r="H2112">
        <v>236342600</v>
      </c>
      <c r="P2112">
        <v>160</v>
      </c>
      <c r="Q2112" t="s">
        <v>4267</v>
      </c>
    </row>
    <row r="2113" spans="1:17" x14ac:dyDescent="0.3">
      <c r="A2113" t="s">
        <v>17</v>
      </c>
      <c r="B2113" t="str">
        <f>"688981"</f>
        <v>688981</v>
      </c>
      <c r="C2113" t="s">
        <v>4268</v>
      </c>
      <c r="D2113" t="s">
        <v>150</v>
      </c>
      <c r="F2113">
        <v>-463772000</v>
      </c>
      <c r="G2113">
        <v>-13619778000</v>
      </c>
      <c r="H2113">
        <v>2247520069</v>
      </c>
      <c r="P2113">
        <v>1041</v>
      </c>
      <c r="Q2113" t="s">
        <v>4269</v>
      </c>
    </row>
    <row r="2114" spans="1:17" x14ac:dyDescent="0.3">
      <c r="A2114" t="s">
        <v>17</v>
      </c>
      <c r="B2114" t="str">
        <f>"689009"</f>
        <v>689009</v>
      </c>
      <c r="C2114" t="s">
        <v>4270</v>
      </c>
      <c r="D2114" t="s">
        <v>27</v>
      </c>
      <c r="F2114">
        <v>57166233</v>
      </c>
      <c r="G2114">
        <v>822716539</v>
      </c>
      <c r="H2114">
        <v>599861075</v>
      </c>
      <c r="P2114">
        <v>115</v>
      </c>
      <c r="Q2114" t="s">
        <v>4271</v>
      </c>
    </row>
    <row r="2115" spans="1:17" x14ac:dyDescent="0.3">
      <c r="A2115" t="s">
        <v>17</v>
      </c>
      <c r="B2115" t="str">
        <f>"900901"</f>
        <v>900901</v>
      </c>
      <c r="C2115" t="s">
        <v>4272</v>
      </c>
      <c r="G2115">
        <v>-16255756.2754</v>
      </c>
      <c r="H2115">
        <v>-67483538.937199995</v>
      </c>
      <c r="I2115">
        <v>-68067947.497500002</v>
      </c>
      <c r="J2115">
        <v>-55063334.269000001</v>
      </c>
      <c r="K2115">
        <v>-26223466.126600001</v>
      </c>
      <c r="L2115">
        <v>-39837832.448700003</v>
      </c>
      <c r="M2115">
        <v>-15314702.0616</v>
      </c>
      <c r="N2115">
        <v>-13128640.8126</v>
      </c>
      <c r="O2115">
        <v>-26677651.895599999</v>
      </c>
      <c r="P2115">
        <v>7</v>
      </c>
      <c r="Q2115" t="s">
        <v>4273</v>
      </c>
    </row>
    <row r="2116" spans="1:17" x14ac:dyDescent="0.3">
      <c r="A2116" t="s">
        <v>17</v>
      </c>
      <c r="B2116" t="str">
        <f>"900902"</f>
        <v>900902</v>
      </c>
      <c r="C2116" t="s">
        <v>4274</v>
      </c>
      <c r="G2116">
        <v>-197665839.42559999</v>
      </c>
      <c r="H2116">
        <v>-87966548.498099998</v>
      </c>
      <c r="I2116">
        <v>-168872077.05599999</v>
      </c>
      <c r="J2116">
        <v>-183075566.47099999</v>
      </c>
      <c r="K2116">
        <v>-44218962.175899997</v>
      </c>
      <c r="L2116">
        <v>-176584659.89449999</v>
      </c>
      <c r="M2116">
        <v>-27535400.440200001</v>
      </c>
      <c r="N2116">
        <v>-16402202.6218</v>
      </c>
      <c r="O2116">
        <v>-8625779.7598999999</v>
      </c>
      <c r="P2116">
        <v>10</v>
      </c>
      <c r="Q2116" t="s">
        <v>4275</v>
      </c>
    </row>
    <row r="2117" spans="1:17" x14ac:dyDescent="0.3">
      <c r="A2117" t="s">
        <v>17</v>
      </c>
      <c r="B2117" t="str">
        <f>"900903"</f>
        <v>900903</v>
      </c>
      <c r="C2117" t="s">
        <v>4276</v>
      </c>
      <c r="G2117">
        <v>-59515850.873899996</v>
      </c>
      <c r="H2117">
        <v>-133283820.5205</v>
      </c>
      <c r="I2117">
        <v>-18455172.276000001</v>
      </c>
      <c r="J2117">
        <v>-1161682.6978</v>
      </c>
      <c r="K2117">
        <v>144796684.62990001</v>
      </c>
      <c r="L2117">
        <v>115641507.03820001</v>
      </c>
      <c r="M2117">
        <v>10778617.006200001</v>
      </c>
      <c r="N2117">
        <v>-15078110.6566</v>
      </c>
      <c r="O2117">
        <v>-126940024.3012</v>
      </c>
      <c r="P2117">
        <v>32</v>
      </c>
      <c r="Q2117" t="s">
        <v>4277</v>
      </c>
    </row>
    <row r="2118" spans="1:17" x14ac:dyDescent="0.3">
      <c r="A2118" t="s">
        <v>17</v>
      </c>
      <c r="B2118" t="str">
        <f>"900904"</f>
        <v>900904</v>
      </c>
      <c r="C2118" t="s">
        <v>4278</v>
      </c>
      <c r="G2118">
        <v>-5155707.9347000001</v>
      </c>
      <c r="H2118">
        <v>11946287.4981</v>
      </c>
      <c r="I2118">
        <v>7331918.8724999996</v>
      </c>
      <c r="J2118">
        <v>-7724715.4060000004</v>
      </c>
      <c r="K2118">
        <v>3781054.6653</v>
      </c>
      <c r="L2118">
        <v>-10975782.574899999</v>
      </c>
      <c r="M2118">
        <v>-13092008.4504</v>
      </c>
      <c r="N2118">
        <v>-4863149.3624</v>
      </c>
      <c r="O2118">
        <v>-1064150.3733000001</v>
      </c>
      <c r="P2118">
        <v>8</v>
      </c>
      <c r="Q2118" t="s">
        <v>4279</v>
      </c>
    </row>
    <row r="2119" spans="1:17" x14ac:dyDescent="0.3">
      <c r="A2119" t="s">
        <v>17</v>
      </c>
      <c r="B2119" t="str">
        <f>"900905"</f>
        <v>900905</v>
      </c>
      <c r="C2119" t="s">
        <v>4280</v>
      </c>
      <c r="G2119">
        <v>171579651.97409999</v>
      </c>
      <c r="H2119">
        <v>-159426454.9226</v>
      </c>
      <c r="I2119">
        <v>21612173.221500002</v>
      </c>
      <c r="J2119">
        <v>16378549.6876</v>
      </c>
      <c r="K2119">
        <v>-302287100.47689998</v>
      </c>
      <c r="L2119">
        <v>-76818786.544499993</v>
      </c>
      <c r="M2119">
        <v>83868215.639400005</v>
      </c>
      <c r="N2119">
        <v>79064425.157399997</v>
      </c>
      <c r="O2119">
        <v>131605327.4429</v>
      </c>
      <c r="P2119">
        <v>473</v>
      </c>
      <c r="Q2119" t="s">
        <v>4281</v>
      </c>
    </row>
    <row r="2120" spans="1:17" x14ac:dyDescent="0.3">
      <c r="A2120" t="s">
        <v>17</v>
      </c>
      <c r="B2120" t="str">
        <f>"900906"</f>
        <v>900906</v>
      </c>
      <c r="C2120" t="s">
        <v>4282</v>
      </c>
      <c r="F2120">
        <v>14681416.325200001</v>
      </c>
      <c r="G2120">
        <v>-3783048.5806</v>
      </c>
      <c r="H2120">
        <v>-9.3733000000000004</v>
      </c>
      <c r="I2120">
        <v>-1104270.0674999999</v>
      </c>
      <c r="J2120">
        <v>-33401391.737799998</v>
      </c>
      <c r="K2120">
        <v>-3583690.0295000002</v>
      </c>
      <c r="L2120">
        <v>-5577545.4448999995</v>
      </c>
      <c r="M2120">
        <v>-4347052.1486999998</v>
      </c>
      <c r="N2120">
        <v>-5349287.7286</v>
      </c>
      <c r="O2120">
        <v>-8391465.0757999998</v>
      </c>
      <c r="P2120">
        <v>4</v>
      </c>
      <c r="Q2120" t="s">
        <v>4283</v>
      </c>
    </row>
    <row r="2121" spans="1:17" x14ac:dyDescent="0.3">
      <c r="A2121" t="s">
        <v>17</v>
      </c>
      <c r="B2121" t="str">
        <f>"900907"</f>
        <v>900907</v>
      </c>
      <c r="C2121" t="s">
        <v>4284</v>
      </c>
      <c r="G2121">
        <v>-2118592.4906000001</v>
      </c>
      <c r="H2121">
        <v>-9992322.5250000004</v>
      </c>
      <c r="I2121">
        <v>-20141993.642999999</v>
      </c>
      <c r="J2121">
        <v>-72893330.692000002</v>
      </c>
      <c r="K2121">
        <v>-32292638.7623</v>
      </c>
      <c r="L2121">
        <v>-90945031.091199994</v>
      </c>
      <c r="M2121">
        <v>-16561836.279899999</v>
      </c>
      <c r="N2121">
        <v>-775674.99620000005</v>
      </c>
      <c r="O2121">
        <v>-16799852.186700001</v>
      </c>
      <c r="P2121">
        <v>4</v>
      </c>
      <c r="Q2121" t="s">
        <v>4285</v>
      </c>
    </row>
    <row r="2122" spans="1:17" x14ac:dyDescent="0.3">
      <c r="A2122" t="s">
        <v>17</v>
      </c>
      <c r="B2122" t="str">
        <f>"900908"</f>
        <v>900908</v>
      </c>
      <c r="C2122" t="s">
        <v>4286</v>
      </c>
      <c r="F2122">
        <v>-38038958.351800002</v>
      </c>
      <c r="G2122">
        <v>28680251.044500001</v>
      </c>
      <c r="H2122">
        <v>53895861.258699998</v>
      </c>
      <c r="I2122">
        <v>67636873.047000006</v>
      </c>
      <c r="J2122">
        <v>45364737.325400002</v>
      </c>
      <c r="K2122">
        <v>33947528.7663</v>
      </c>
      <c r="L2122">
        <v>3048239.7803000002</v>
      </c>
      <c r="M2122">
        <v>-32316381.2106</v>
      </c>
      <c r="N2122">
        <v>3175079.6488000001</v>
      </c>
      <c r="O2122">
        <v>49586222.5638</v>
      </c>
      <c r="P2122">
        <v>50</v>
      </c>
      <c r="Q2122" t="s">
        <v>4287</v>
      </c>
    </row>
    <row r="2123" spans="1:17" x14ac:dyDescent="0.3">
      <c r="A2123" t="s">
        <v>17</v>
      </c>
      <c r="B2123" t="str">
        <f>"900909"</f>
        <v>900909</v>
      </c>
      <c r="C2123" t="s">
        <v>4288</v>
      </c>
      <c r="G2123">
        <v>-111109748.2846</v>
      </c>
      <c r="H2123">
        <v>-316414306.92949998</v>
      </c>
      <c r="I2123">
        <v>-31513468.300500002</v>
      </c>
      <c r="J2123">
        <v>-160973851.40720001</v>
      </c>
      <c r="K2123">
        <v>99676123.870700002</v>
      </c>
      <c r="L2123">
        <v>157231857.48269999</v>
      </c>
      <c r="M2123">
        <v>-41611231.223099999</v>
      </c>
      <c r="N2123">
        <v>-71660478.017800003</v>
      </c>
      <c r="O2123">
        <v>-116771174.53</v>
      </c>
      <c r="P2123">
        <v>24</v>
      </c>
      <c r="Q2123" t="s">
        <v>4289</v>
      </c>
    </row>
    <row r="2124" spans="1:17" x14ac:dyDescent="0.3">
      <c r="A2124" t="s">
        <v>17</v>
      </c>
      <c r="B2124" t="str">
        <f>"900910"</f>
        <v>900910</v>
      </c>
      <c r="C2124" t="s">
        <v>4290</v>
      </c>
      <c r="G2124">
        <v>-205732332.3362</v>
      </c>
      <c r="H2124">
        <v>-25844396.421500001</v>
      </c>
      <c r="I2124">
        <v>-97600645.437000006</v>
      </c>
      <c r="J2124">
        <v>-46919338.116400003</v>
      </c>
      <c r="K2124">
        <v>53572445.760300003</v>
      </c>
      <c r="L2124">
        <v>23300233.170499999</v>
      </c>
      <c r="M2124">
        <v>778984.05330000003</v>
      </c>
      <c r="N2124">
        <v>-20805524.285999998</v>
      </c>
      <c r="O2124">
        <v>7957987.2615999999</v>
      </c>
      <c r="P2124">
        <v>13</v>
      </c>
      <c r="Q2124" t="s">
        <v>4291</v>
      </c>
    </row>
    <row r="2125" spans="1:17" x14ac:dyDescent="0.3">
      <c r="A2125" t="s">
        <v>17</v>
      </c>
      <c r="B2125" t="str">
        <f>"900911"</f>
        <v>900911</v>
      </c>
      <c r="C2125" t="s">
        <v>4292</v>
      </c>
      <c r="G2125">
        <v>424322929.19859999</v>
      </c>
      <c r="H2125">
        <v>-320107710.5783</v>
      </c>
      <c r="I2125">
        <v>-76011906.154499993</v>
      </c>
      <c r="J2125">
        <v>38991893.114200003</v>
      </c>
      <c r="K2125">
        <v>60272287.569399998</v>
      </c>
      <c r="L2125">
        <v>-95379208.138500005</v>
      </c>
      <c r="M2125">
        <v>-21181.072499999998</v>
      </c>
      <c r="N2125">
        <v>-6237031.5952000003</v>
      </c>
      <c r="O2125">
        <v>-29904650.9441</v>
      </c>
      <c r="P2125">
        <v>73</v>
      </c>
      <c r="Q2125" t="s">
        <v>4293</v>
      </c>
    </row>
    <row r="2126" spans="1:17" x14ac:dyDescent="0.3">
      <c r="A2126" t="s">
        <v>17</v>
      </c>
      <c r="B2126" t="str">
        <f>"900912"</f>
        <v>900912</v>
      </c>
      <c r="C2126" t="s">
        <v>4294</v>
      </c>
      <c r="G2126">
        <v>237022968.3998</v>
      </c>
      <c r="H2126">
        <v>78295545.774900004</v>
      </c>
      <c r="I2126">
        <v>-12167398.3605</v>
      </c>
      <c r="J2126">
        <v>161403703.38</v>
      </c>
      <c r="K2126">
        <v>-56713960.320100002</v>
      </c>
      <c r="L2126">
        <v>-56242052.180600002</v>
      </c>
      <c r="M2126">
        <v>33688148.2641</v>
      </c>
      <c r="N2126">
        <v>-184045321.37040001</v>
      </c>
      <c r="O2126">
        <v>-35777562.383500002</v>
      </c>
      <c r="P2126">
        <v>18</v>
      </c>
      <c r="Q2126" t="s">
        <v>4295</v>
      </c>
    </row>
    <row r="2127" spans="1:17" x14ac:dyDescent="0.3">
      <c r="A2127" t="s">
        <v>17</v>
      </c>
      <c r="B2127" t="str">
        <f>"900913"</f>
        <v>900913</v>
      </c>
      <c r="C2127" t="s">
        <v>4296</v>
      </c>
      <c r="G2127">
        <v>-30919540.1021</v>
      </c>
      <c r="H2127">
        <v>-156819061.3978</v>
      </c>
      <c r="I2127">
        <v>-154457252.23050001</v>
      </c>
      <c r="J2127">
        <v>-225184320.91659999</v>
      </c>
      <c r="K2127">
        <v>-227010045.9587</v>
      </c>
      <c r="L2127">
        <v>-204794225.43579999</v>
      </c>
      <c r="M2127">
        <v>-275409632.63429999</v>
      </c>
      <c r="N2127">
        <v>130620.48940000001</v>
      </c>
      <c r="O2127">
        <v>-1047439.9412</v>
      </c>
      <c r="P2127">
        <v>7</v>
      </c>
      <c r="Q2127" t="s">
        <v>4297</v>
      </c>
    </row>
    <row r="2128" spans="1:17" x14ac:dyDescent="0.3">
      <c r="A2128" t="s">
        <v>17</v>
      </c>
      <c r="B2128" t="str">
        <f>"900914"</f>
        <v>900914</v>
      </c>
      <c r="C2128" t="s">
        <v>4298</v>
      </c>
      <c r="G2128">
        <v>11244126.7938</v>
      </c>
      <c r="H2128">
        <v>15907939.1842</v>
      </c>
      <c r="I2128">
        <v>470296.158</v>
      </c>
      <c r="J2128">
        <v>14333902.0208</v>
      </c>
      <c r="K2128">
        <v>-5798249.9713000003</v>
      </c>
      <c r="L2128">
        <v>-4396256.5789999999</v>
      </c>
      <c r="M2128">
        <v>-1205638.3755000001</v>
      </c>
      <c r="N2128">
        <v>2766107.4227999998</v>
      </c>
      <c r="O2128">
        <v>16179625.179</v>
      </c>
      <c r="P2128">
        <v>20</v>
      </c>
      <c r="Q2128" t="s">
        <v>4299</v>
      </c>
    </row>
    <row r="2129" spans="1:17" x14ac:dyDescent="0.3">
      <c r="A2129" t="s">
        <v>17</v>
      </c>
      <c r="B2129" t="str">
        <f>"900915"</f>
        <v>900915</v>
      </c>
      <c r="C2129" t="s">
        <v>4300</v>
      </c>
      <c r="G2129">
        <v>-4357435.2259</v>
      </c>
      <c r="H2129">
        <v>-2502650.9544000002</v>
      </c>
      <c r="I2129">
        <v>-20427963.999000002</v>
      </c>
      <c r="J2129">
        <v>-12946281.573799999</v>
      </c>
      <c r="K2129">
        <v>19931316.191599999</v>
      </c>
      <c r="L2129">
        <v>-9482610.7519000005</v>
      </c>
      <c r="M2129">
        <v>-8061666.3872999996</v>
      </c>
      <c r="N2129">
        <v>-2204290.6734000002</v>
      </c>
      <c r="O2129">
        <v>-2310151.5693000001</v>
      </c>
      <c r="P2129">
        <v>6</v>
      </c>
      <c r="Q2129" t="s">
        <v>4301</v>
      </c>
    </row>
    <row r="2130" spans="1:17" x14ac:dyDescent="0.3">
      <c r="A2130" t="s">
        <v>17</v>
      </c>
      <c r="B2130" t="str">
        <f>"900916"</f>
        <v>900916</v>
      </c>
      <c r="C2130" t="s">
        <v>4302</v>
      </c>
      <c r="G2130">
        <v>-668024.52300000004</v>
      </c>
      <c r="H2130">
        <v>-24598.057400000002</v>
      </c>
      <c r="I2130">
        <v>-10241182.0605</v>
      </c>
      <c r="J2130">
        <v>3436821.7272000001</v>
      </c>
      <c r="K2130">
        <v>-2415090.1658000001</v>
      </c>
      <c r="L2130">
        <v>833828.26670000004</v>
      </c>
      <c r="M2130">
        <v>-3805389.9378</v>
      </c>
      <c r="N2130">
        <v>-11174374.3616</v>
      </c>
      <c r="O2130">
        <v>4974499.5136000002</v>
      </c>
      <c r="P2130">
        <v>7</v>
      </c>
      <c r="Q2130" t="s">
        <v>4303</v>
      </c>
    </row>
    <row r="2131" spans="1:17" x14ac:dyDescent="0.3">
      <c r="A2131" t="s">
        <v>17</v>
      </c>
      <c r="B2131" t="str">
        <f>"900917"</f>
        <v>900917</v>
      </c>
      <c r="C2131" t="s">
        <v>4304</v>
      </c>
      <c r="G2131">
        <v>-7188384.7145999996</v>
      </c>
      <c r="H2131">
        <v>-17384387.264600001</v>
      </c>
      <c r="I2131">
        <v>-6181719.693</v>
      </c>
      <c r="J2131">
        <v>-11934258.3062</v>
      </c>
      <c r="K2131">
        <v>-15032760.773800001</v>
      </c>
      <c r="L2131">
        <v>-12573187.198000001</v>
      </c>
      <c r="M2131">
        <v>-14324362.100099999</v>
      </c>
      <c r="N2131">
        <v>-19770050.152600002</v>
      </c>
      <c r="O2131">
        <v>-10251370.486400001</v>
      </c>
      <c r="P2131">
        <v>12</v>
      </c>
      <c r="Q2131" t="s">
        <v>4305</v>
      </c>
    </row>
    <row r="2132" spans="1:17" x14ac:dyDescent="0.3">
      <c r="A2132" t="s">
        <v>17</v>
      </c>
      <c r="B2132" t="str">
        <f>"900918"</f>
        <v>900918</v>
      </c>
      <c r="C2132" t="s">
        <v>4306</v>
      </c>
      <c r="F2132">
        <v>15421932.436799999</v>
      </c>
      <c r="G2132">
        <v>-801414.42420000001</v>
      </c>
      <c r="H2132">
        <v>-4003738.9223000002</v>
      </c>
      <c r="I2132">
        <v>-18440328.947999999</v>
      </c>
      <c r="J2132">
        <v>-31486099.915800001</v>
      </c>
      <c r="K2132">
        <v>-1111176.7712999999</v>
      </c>
      <c r="L2132">
        <v>-13068241.757999999</v>
      </c>
      <c r="M2132">
        <v>-30449403.206999999</v>
      </c>
      <c r="N2132">
        <v>-31338644.007800002</v>
      </c>
      <c r="O2132">
        <v>-15746016.4255</v>
      </c>
      <c r="P2132">
        <v>10</v>
      </c>
      <c r="Q2132" t="s">
        <v>4307</v>
      </c>
    </row>
    <row r="2133" spans="1:17" x14ac:dyDescent="0.3">
      <c r="A2133" t="s">
        <v>17</v>
      </c>
      <c r="B2133" t="str">
        <f>"900919"</f>
        <v>900919</v>
      </c>
      <c r="C2133" t="s">
        <v>4308</v>
      </c>
      <c r="G2133">
        <v>8797065.3433999997</v>
      </c>
      <c r="H2133">
        <v>-2105255.0715000001</v>
      </c>
      <c r="I2133">
        <v>-3504869.3295</v>
      </c>
      <c r="J2133">
        <v>2667596.6094</v>
      </c>
      <c r="K2133">
        <v>7450645.0396999996</v>
      </c>
      <c r="L2133">
        <v>2231877.3191</v>
      </c>
      <c r="M2133">
        <v>-13691422.946699999</v>
      </c>
      <c r="N2133">
        <v>-9086277.7550000008</v>
      </c>
      <c r="O2133">
        <v>-13495115.1281</v>
      </c>
      <c r="P2133">
        <v>5</v>
      </c>
      <c r="Q2133" t="s">
        <v>4309</v>
      </c>
    </row>
    <row r="2134" spans="1:17" x14ac:dyDescent="0.3">
      <c r="A2134" t="s">
        <v>17</v>
      </c>
      <c r="B2134" t="str">
        <f>"900920"</f>
        <v>900920</v>
      </c>
      <c r="C2134" t="s">
        <v>4310</v>
      </c>
      <c r="G2134">
        <v>-90756728.463499993</v>
      </c>
      <c r="H2134">
        <v>28556685.4274</v>
      </c>
      <c r="I2134">
        <v>-28513916.688000001</v>
      </c>
      <c r="J2134">
        <v>-18819468.963</v>
      </c>
      <c r="K2134">
        <v>-9518549.5669999998</v>
      </c>
      <c r="L2134">
        <v>7754668.3642999995</v>
      </c>
      <c r="M2134">
        <v>-21684055.897799999</v>
      </c>
      <c r="N2134">
        <v>-24673624.184799999</v>
      </c>
      <c r="O2134">
        <v>-43566440.664099999</v>
      </c>
      <c r="P2134">
        <v>12</v>
      </c>
      <c r="Q2134" t="s">
        <v>4311</v>
      </c>
    </row>
    <row r="2135" spans="1:17" x14ac:dyDescent="0.3">
      <c r="A2135" t="s">
        <v>17</v>
      </c>
      <c r="B2135" t="str">
        <f>"900921"</f>
        <v>900921</v>
      </c>
      <c r="C2135" t="s">
        <v>4312</v>
      </c>
      <c r="G2135">
        <v>5455646.0168000003</v>
      </c>
      <c r="H2135">
        <v>-17718003.576900002</v>
      </c>
      <c r="I2135">
        <v>22461463.705499999</v>
      </c>
      <c r="J2135">
        <v>6227608.9220000003</v>
      </c>
      <c r="K2135">
        <v>-4276265.0548</v>
      </c>
      <c r="L2135">
        <v>18154559.751899999</v>
      </c>
      <c r="M2135">
        <v>35573421.892499998</v>
      </c>
      <c r="N2135">
        <v>22256018.896400001</v>
      </c>
      <c r="O2135">
        <v>29476549.5962</v>
      </c>
      <c r="P2135">
        <v>6</v>
      </c>
      <c r="Q2135" t="s">
        <v>4313</v>
      </c>
    </row>
    <row r="2136" spans="1:17" x14ac:dyDescent="0.3">
      <c r="A2136" t="s">
        <v>17</v>
      </c>
      <c r="B2136" t="str">
        <f>"900922"</f>
        <v>900922</v>
      </c>
      <c r="C2136" t="s">
        <v>4314</v>
      </c>
      <c r="G2136">
        <v>5434756.1699000001</v>
      </c>
      <c r="H2136">
        <v>-1992664.1111000001</v>
      </c>
      <c r="I2136">
        <v>-3571273.929</v>
      </c>
      <c r="J2136">
        <v>-1557823.3319999999</v>
      </c>
      <c r="K2136">
        <v>10237636.356000001</v>
      </c>
      <c r="L2136">
        <v>-1133267.3781000001</v>
      </c>
      <c r="M2136">
        <v>-7641377.7083999999</v>
      </c>
      <c r="N2136">
        <v>-30652524.139800001</v>
      </c>
      <c r="O2136">
        <v>-29518048.921999998</v>
      </c>
      <c r="P2136">
        <v>9</v>
      </c>
      <c r="Q2136" t="s">
        <v>4315</v>
      </c>
    </row>
    <row r="2137" spans="1:17" x14ac:dyDescent="0.3">
      <c r="A2137" t="s">
        <v>17</v>
      </c>
      <c r="B2137" t="str">
        <f>"900923"</f>
        <v>900923</v>
      </c>
      <c r="C2137" t="s">
        <v>4316</v>
      </c>
      <c r="G2137">
        <v>298690764.44819999</v>
      </c>
      <c r="H2137">
        <v>231550217.90490001</v>
      </c>
      <c r="I2137">
        <v>117529903.9665</v>
      </c>
      <c r="J2137">
        <v>103127876.0404</v>
      </c>
      <c r="K2137">
        <v>-1327924.9761000001</v>
      </c>
      <c r="L2137">
        <v>16812260.650899999</v>
      </c>
      <c r="M2137">
        <v>32522921.143199999</v>
      </c>
      <c r="N2137">
        <v>526428600.12059999</v>
      </c>
      <c r="O2137">
        <v>122340097.2587</v>
      </c>
      <c r="P2137">
        <v>26</v>
      </c>
      <c r="Q2137" t="s">
        <v>4317</v>
      </c>
    </row>
    <row r="2138" spans="1:17" x14ac:dyDescent="0.3">
      <c r="A2138" t="s">
        <v>17</v>
      </c>
      <c r="B2138" t="str">
        <f>"900924"</f>
        <v>900924</v>
      </c>
      <c r="C2138" t="s">
        <v>4318</v>
      </c>
      <c r="G2138">
        <v>4902654.5220999997</v>
      </c>
      <c r="H2138">
        <v>-44147355.474399999</v>
      </c>
      <c r="I2138">
        <v>-22892220.5295</v>
      </c>
      <c r="J2138">
        <v>-8177411.4469999997</v>
      </c>
      <c r="K2138">
        <v>-9881393.0099999998</v>
      </c>
      <c r="L2138">
        <v>1451716.1945</v>
      </c>
      <c r="M2138">
        <v>-5150390.7293999996</v>
      </c>
      <c r="N2138">
        <v>-9222287.6666000001</v>
      </c>
      <c r="O2138">
        <v>12735206.911800001</v>
      </c>
      <c r="P2138">
        <v>11</v>
      </c>
      <c r="Q2138" t="s">
        <v>4319</v>
      </c>
    </row>
    <row r="2139" spans="1:17" x14ac:dyDescent="0.3">
      <c r="A2139" t="s">
        <v>17</v>
      </c>
      <c r="B2139" t="str">
        <f>"900925"</f>
        <v>900925</v>
      </c>
      <c r="C2139" t="s">
        <v>4320</v>
      </c>
      <c r="G2139">
        <v>126653543.7059</v>
      </c>
      <c r="H2139">
        <v>-4691542.7226999998</v>
      </c>
      <c r="I2139">
        <v>-60458852.434500001</v>
      </c>
      <c r="J2139">
        <v>195528364.29260001</v>
      </c>
      <c r="K2139">
        <v>214183595.23030001</v>
      </c>
      <c r="L2139">
        <v>213705807.92989999</v>
      </c>
      <c r="M2139">
        <v>240690941.50319999</v>
      </c>
      <c r="N2139">
        <v>213252064.00940001</v>
      </c>
      <c r="O2139">
        <v>344831277.10939997</v>
      </c>
      <c r="P2139">
        <v>83</v>
      </c>
      <c r="Q2139" t="s">
        <v>4321</v>
      </c>
    </row>
    <row r="2140" spans="1:17" x14ac:dyDescent="0.3">
      <c r="A2140" t="s">
        <v>17</v>
      </c>
      <c r="B2140" t="str">
        <f>"900926"</f>
        <v>900926</v>
      </c>
      <c r="C2140" t="s">
        <v>4322</v>
      </c>
      <c r="G2140">
        <v>178581933.95950001</v>
      </c>
      <c r="H2140">
        <v>31888836.498199999</v>
      </c>
      <c r="I2140">
        <v>37763712.3825</v>
      </c>
      <c r="J2140">
        <v>52364725.715400003</v>
      </c>
      <c r="K2140">
        <v>36816000.476099998</v>
      </c>
      <c r="L2140">
        <v>20551001.342300002</v>
      </c>
      <c r="M2140">
        <v>-24731511.883200001</v>
      </c>
      <c r="N2140">
        <v>-31053787.970800001</v>
      </c>
      <c r="O2140">
        <v>-19661781.807100002</v>
      </c>
      <c r="P2140">
        <v>63</v>
      </c>
      <c r="Q2140" t="s">
        <v>4323</v>
      </c>
    </row>
    <row r="2141" spans="1:17" x14ac:dyDescent="0.3">
      <c r="A2141" t="s">
        <v>17</v>
      </c>
      <c r="B2141" t="str">
        <f>"900927"</f>
        <v>900927</v>
      </c>
      <c r="C2141" t="s">
        <v>4324</v>
      </c>
      <c r="G2141">
        <v>-17064592.970899999</v>
      </c>
      <c r="H2141">
        <v>49850235.2971</v>
      </c>
      <c r="I2141">
        <v>-5738271.9225000003</v>
      </c>
      <c r="J2141">
        <v>-5565682.4786</v>
      </c>
      <c r="K2141">
        <v>-50849718.822499998</v>
      </c>
      <c r="L2141">
        <v>41383973.7883</v>
      </c>
      <c r="M2141">
        <v>79027981.948799998</v>
      </c>
      <c r="N2141">
        <v>108653942.1004</v>
      </c>
      <c r="O2141">
        <v>-50655802.224600002</v>
      </c>
      <c r="P2141">
        <v>5</v>
      </c>
      <c r="Q2141" t="s">
        <v>4325</v>
      </c>
    </row>
    <row r="2142" spans="1:17" x14ac:dyDescent="0.3">
      <c r="A2142" t="s">
        <v>17</v>
      </c>
      <c r="B2142" t="str">
        <f>"900928"</f>
        <v>900928</v>
      </c>
      <c r="C2142" t="s">
        <v>4326</v>
      </c>
      <c r="G2142">
        <v>-81828220.633599997</v>
      </c>
      <c r="H2142">
        <v>-514924223.75880003</v>
      </c>
      <c r="I2142">
        <v>-218505583.55399999</v>
      </c>
      <c r="J2142">
        <v>-28037921.266199999</v>
      </c>
      <c r="K2142">
        <v>-6180492.5729</v>
      </c>
      <c r="L2142">
        <v>-99942889.174700007</v>
      </c>
      <c r="M2142">
        <v>-22272603.009300001</v>
      </c>
      <c r="N2142">
        <v>-19803323.131200001</v>
      </c>
      <c r="O2142">
        <v>-16629244.6428</v>
      </c>
      <c r="P2142">
        <v>14</v>
      </c>
      <c r="Q2142" t="s">
        <v>4327</v>
      </c>
    </row>
    <row r="2143" spans="1:17" x14ac:dyDescent="0.3">
      <c r="A2143" t="s">
        <v>17</v>
      </c>
      <c r="B2143" t="str">
        <f>"900929"</f>
        <v>900929</v>
      </c>
      <c r="C2143" t="s">
        <v>4328</v>
      </c>
      <c r="F2143">
        <v>-4012936.7302999999</v>
      </c>
      <c r="G2143">
        <v>-5691516.4633999998</v>
      </c>
      <c r="H2143">
        <v>-10836854.196900001</v>
      </c>
      <c r="I2143">
        <v>-10666120.339500001</v>
      </c>
      <c r="J2143">
        <v>-3562766.3798000002</v>
      </c>
      <c r="K2143">
        <v>-2984053.4539000001</v>
      </c>
      <c r="L2143">
        <v>4793210.8366999999</v>
      </c>
      <c r="M2143">
        <v>-807876.81180000002</v>
      </c>
      <c r="N2143">
        <v>10194409.6592</v>
      </c>
      <c r="O2143">
        <v>1037088.0997</v>
      </c>
      <c r="P2143">
        <v>11</v>
      </c>
      <c r="Q2143" t="s">
        <v>4329</v>
      </c>
    </row>
    <row r="2144" spans="1:17" x14ac:dyDescent="0.3">
      <c r="A2144" t="s">
        <v>17</v>
      </c>
      <c r="B2144" t="str">
        <f>"900930"</f>
        <v>900930</v>
      </c>
      <c r="C2144" t="s">
        <v>4330</v>
      </c>
      <c r="H2144">
        <v>16251592.622</v>
      </c>
      <c r="I2144">
        <v>-2563527.2519999999</v>
      </c>
      <c r="J2144">
        <v>-10148170.627</v>
      </c>
      <c r="K2144">
        <v>-5463096.9556999998</v>
      </c>
      <c r="L2144">
        <v>-24194628.639800001</v>
      </c>
      <c r="M2144">
        <v>-49179845.904700004</v>
      </c>
      <c r="N2144">
        <v>-40721912.589699998</v>
      </c>
      <c r="O2144">
        <v>-37743198.368900001</v>
      </c>
      <c r="P2144">
        <v>1</v>
      </c>
      <c r="Q2144" t="s">
        <v>4331</v>
      </c>
    </row>
    <row r="2145" spans="1:17" x14ac:dyDescent="0.3">
      <c r="A2145" t="s">
        <v>17</v>
      </c>
      <c r="B2145" t="str">
        <f>"900931"</f>
        <v>900931</v>
      </c>
      <c r="C2145" t="s">
        <v>4332</v>
      </c>
      <c r="K2145">
        <v>-748248.28099999996</v>
      </c>
      <c r="L2145">
        <v>97103.2736</v>
      </c>
      <c r="M2145">
        <v>-267368.58779999998</v>
      </c>
      <c r="N2145">
        <v>-527385.44779999997</v>
      </c>
      <c r="O2145">
        <v>-480459.17389999999</v>
      </c>
      <c r="P2145">
        <v>1</v>
      </c>
      <c r="Q2145" t="s">
        <v>4333</v>
      </c>
    </row>
    <row r="2146" spans="1:17" x14ac:dyDescent="0.3">
      <c r="A2146" t="s">
        <v>17</v>
      </c>
      <c r="B2146" t="str">
        <f>"900932"</f>
        <v>900932</v>
      </c>
      <c r="C2146" t="s">
        <v>4334</v>
      </c>
      <c r="G2146">
        <v>-476190689.46619999</v>
      </c>
      <c r="H2146">
        <v>-1588376828.6268001</v>
      </c>
      <c r="I2146">
        <v>145232198.81099999</v>
      </c>
      <c r="J2146">
        <v>-321892356.96820003</v>
      </c>
      <c r="K2146">
        <v>635036799.65670002</v>
      </c>
      <c r="L2146">
        <v>317611400.74949998</v>
      </c>
      <c r="M2146">
        <v>-257885609.91119999</v>
      </c>
      <c r="N2146">
        <v>21288342.854400001</v>
      </c>
      <c r="O2146">
        <v>280040189.08670002</v>
      </c>
      <c r="P2146">
        <v>138</v>
      </c>
      <c r="Q2146" t="s">
        <v>4335</v>
      </c>
    </row>
    <row r="2147" spans="1:17" x14ac:dyDescent="0.3">
      <c r="A2147" t="s">
        <v>17</v>
      </c>
      <c r="B2147" t="str">
        <f>"900933"</f>
        <v>900933</v>
      </c>
      <c r="C2147" t="s">
        <v>4336</v>
      </c>
      <c r="G2147">
        <v>443494393.05250001</v>
      </c>
      <c r="H2147">
        <v>616715373.10360003</v>
      </c>
      <c r="I2147">
        <v>570070678.05149996</v>
      </c>
      <c r="J2147">
        <v>201127344.30880001</v>
      </c>
      <c r="K2147">
        <v>132892100.31389999</v>
      </c>
      <c r="L2147">
        <v>90159813.243499994</v>
      </c>
      <c r="M2147">
        <v>196481273.48370001</v>
      </c>
      <c r="N2147">
        <v>82030213.752800003</v>
      </c>
      <c r="O2147">
        <v>-49736573.336599998</v>
      </c>
      <c r="P2147">
        <v>142</v>
      </c>
      <c r="Q2147" t="s">
        <v>4337</v>
      </c>
    </row>
    <row r="2148" spans="1:17" x14ac:dyDescent="0.3">
      <c r="A2148" t="s">
        <v>17</v>
      </c>
      <c r="B2148" t="str">
        <f>"900934"</f>
        <v>900934</v>
      </c>
      <c r="C2148" t="s">
        <v>4338</v>
      </c>
      <c r="G2148">
        <v>-150397047.04859999</v>
      </c>
      <c r="H2148">
        <v>131871208.95</v>
      </c>
      <c r="I2148">
        <v>291975572.11650002</v>
      </c>
      <c r="J2148">
        <v>284870951.17199999</v>
      </c>
      <c r="K2148">
        <v>161575591.2299</v>
      </c>
      <c r="L2148">
        <v>62872261.652199998</v>
      </c>
      <c r="M2148">
        <v>21331157.6457</v>
      </c>
      <c r="N2148">
        <v>-28483288.648800001</v>
      </c>
      <c r="O2148">
        <v>37789724.2667</v>
      </c>
      <c r="P2148">
        <v>47</v>
      </c>
      <c r="Q2148" t="s">
        <v>4339</v>
      </c>
    </row>
    <row r="2149" spans="1:17" x14ac:dyDescent="0.3">
      <c r="A2149" t="s">
        <v>17</v>
      </c>
      <c r="B2149" t="str">
        <f>"900935"</f>
        <v>900935</v>
      </c>
      <c r="C2149" t="s">
        <v>4340</v>
      </c>
      <c r="K2149">
        <v>18919998.2269</v>
      </c>
      <c r="L2149">
        <v>21188197.2678</v>
      </c>
      <c r="M2149">
        <v>23317582.258400001</v>
      </c>
      <c r="N2149">
        <v>32722006.641600002</v>
      </c>
      <c r="O2149">
        <v>35990188.838799998</v>
      </c>
      <c r="P2149">
        <v>1</v>
      </c>
      <c r="Q2149" t="s">
        <v>4341</v>
      </c>
    </row>
    <row r="2150" spans="1:17" x14ac:dyDescent="0.3">
      <c r="A2150" t="s">
        <v>17</v>
      </c>
      <c r="B2150" t="str">
        <f>"900936"</f>
        <v>900936</v>
      </c>
      <c r="C2150" t="s">
        <v>4342</v>
      </c>
      <c r="G2150">
        <v>572385692.15180004</v>
      </c>
      <c r="H2150">
        <v>282637046.2299</v>
      </c>
      <c r="I2150">
        <v>830147769.22500002</v>
      </c>
      <c r="J2150">
        <v>283770674.58999997</v>
      </c>
      <c r="K2150">
        <v>527051361.87410003</v>
      </c>
      <c r="L2150">
        <v>274942515.93379998</v>
      </c>
      <c r="M2150">
        <v>312338260.18889999</v>
      </c>
      <c r="N2150">
        <v>-126663513.46340001</v>
      </c>
      <c r="O2150">
        <v>-219833741.14210001</v>
      </c>
      <c r="P2150">
        <v>53</v>
      </c>
      <c r="Q2150" t="s">
        <v>4343</v>
      </c>
    </row>
    <row r="2151" spans="1:17" x14ac:dyDescent="0.3">
      <c r="A2151" t="s">
        <v>17</v>
      </c>
      <c r="B2151" t="str">
        <f>"900937"</f>
        <v>900937</v>
      </c>
      <c r="C2151" t="s">
        <v>4344</v>
      </c>
      <c r="G2151">
        <v>46412474.888599999</v>
      </c>
      <c r="H2151">
        <v>44101756.6083</v>
      </c>
      <c r="I2151">
        <v>69190977.0255</v>
      </c>
      <c r="J2151">
        <v>-235872953.34979999</v>
      </c>
      <c r="K2151">
        <v>-80835774.033000007</v>
      </c>
      <c r="L2151">
        <v>110496743.9147</v>
      </c>
      <c r="M2151">
        <v>204315190.68419999</v>
      </c>
      <c r="N2151">
        <v>155187669.59599999</v>
      </c>
      <c r="O2151">
        <v>25535693.508200001</v>
      </c>
      <c r="P2151">
        <v>10</v>
      </c>
      <c r="Q2151" t="s">
        <v>4345</v>
      </c>
    </row>
    <row r="2152" spans="1:17" x14ac:dyDescent="0.3">
      <c r="A2152" t="s">
        <v>17</v>
      </c>
      <c r="B2152" t="str">
        <f>"900938"</f>
        <v>900938</v>
      </c>
      <c r="C2152" t="s">
        <v>4346</v>
      </c>
      <c r="G2152">
        <v>961019081.12</v>
      </c>
      <c r="H2152">
        <v>287645172.30000001</v>
      </c>
      <c r="I2152">
        <v>1035516079.5</v>
      </c>
      <c r="J2152">
        <v>-856460376.60000002</v>
      </c>
      <c r="K2152">
        <v>-80367973.458100006</v>
      </c>
      <c r="L2152">
        <v>3238166.9463</v>
      </c>
      <c r="M2152">
        <v>-4958121.1626000004</v>
      </c>
      <c r="N2152">
        <v>-5546954.8328</v>
      </c>
      <c r="O2152">
        <v>27144668.307999998</v>
      </c>
      <c r="P2152">
        <v>12</v>
      </c>
      <c r="Q2152" t="s">
        <v>4347</v>
      </c>
    </row>
    <row r="2153" spans="1:17" x14ac:dyDescent="0.3">
      <c r="A2153" t="s">
        <v>17</v>
      </c>
      <c r="B2153" t="str">
        <f>"900939"</f>
        <v>900939</v>
      </c>
      <c r="C2153" t="s">
        <v>4348</v>
      </c>
      <c r="F2153">
        <v>1218187.0464999999</v>
      </c>
      <c r="G2153">
        <v>2076872.6586</v>
      </c>
      <c r="H2153">
        <v>510299.10009999998</v>
      </c>
      <c r="I2153">
        <v>934198.02749999997</v>
      </c>
      <c r="J2153">
        <v>1211184.1118000001</v>
      </c>
      <c r="K2153">
        <v>1189230.9005</v>
      </c>
      <c r="L2153">
        <v>935978.41480000003</v>
      </c>
      <c r="M2153">
        <v>452499.54749999999</v>
      </c>
      <c r="N2153">
        <v>2077671.6865999999</v>
      </c>
      <c r="O2153">
        <v>560590.12280000001</v>
      </c>
      <c r="P2153">
        <v>7</v>
      </c>
      <c r="Q2153" t="s">
        <v>4349</v>
      </c>
    </row>
    <row r="2154" spans="1:17" x14ac:dyDescent="0.3">
      <c r="A2154" t="s">
        <v>17</v>
      </c>
      <c r="B2154" t="str">
        <f>"900940"</f>
        <v>900940</v>
      </c>
      <c r="C2154" t="s">
        <v>4350</v>
      </c>
      <c r="G2154">
        <v>-385684571.23390001</v>
      </c>
      <c r="H2154">
        <v>667796691.32720006</v>
      </c>
      <c r="I2154">
        <v>671058857.10749996</v>
      </c>
      <c r="J2154">
        <v>-50316801.135200001</v>
      </c>
      <c r="K2154">
        <v>-356603990.85970002</v>
      </c>
      <c r="L2154">
        <v>-902662108.84850001</v>
      </c>
      <c r="M2154">
        <v>-339372795.90869999</v>
      </c>
      <c r="N2154">
        <v>-198126827.48559999</v>
      </c>
      <c r="O2154">
        <v>-213221044.4544</v>
      </c>
      <c r="P2154">
        <v>15</v>
      </c>
      <c r="Q2154" t="s">
        <v>4351</v>
      </c>
    </row>
    <row r="2155" spans="1:17" x14ac:dyDescent="0.3">
      <c r="A2155" t="s">
        <v>17</v>
      </c>
      <c r="B2155" t="str">
        <f>"900941"</f>
        <v>900941</v>
      </c>
      <c r="C2155" t="s">
        <v>4352</v>
      </c>
      <c r="G2155">
        <v>-55862138.174099997</v>
      </c>
      <c r="H2155">
        <v>-45462124.622299999</v>
      </c>
      <c r="I2155">
        <v>-48401510.564999998</v>
      </c>
      <c r="J2155">
        <v>-72793195.055600002</v>
      </c>
      <c r="K2155">
        <v>-69449666.085500002</v>
      </c>
      <c r="L2155">
        <v>-80178590.749400005</v>
      </c>
      <c r="M2155">
        <v>-68947986.842099994</v>
      </c>
      <c r="N2155">
        <v>-43839409.0458</v>
      </c>
      <c r="O2155">
        <v>-35177027.819200002</v>
      </c>
      <c r="P2155">
        <v>8</v>
      </c>
      <c r="Q2155" t="s">
        <v>4353</v>
      </c>
    </row>
    <row r="2156" spans="1:17" x14ac:dyDescent="0.3">
      <c r="A2156" t="s">
        <v>17</v>
      </c>
      <c r="B2156" t="str">
        <f>"900942"</f>
        <v>900942</v>
      </c>
      <c r="C2156" t="s">
        <v>4354</v>
      </c>
      <c r="G2156">
        <v>-28121637.679499999</v>
      </c>
      <c r="H2156">
        <v>33568455.892499998</v>
      </c>
      <c r="I2156">
        <v>52535989.094999999</v>
      </c>
      <c r="J2156">
        <v>60124992.860600002</v>
      </c>
      <c r="K2156">
        <v>49677871.675099999</v>
      </c>
      <c r="L2156">
        <v>50655957.166100003</v>
      </c>
      <c r="M2156">
        <v>22059120.930300001</v>
      </c>
      <c r="N2156">
        <v>2605758.2642000001</v>
      </c>
      <c r="O2156">
        <v>1948016.8998</v>
      </c>
      <c r="P2156">
        <v>55</v>
      </c>
      <c r="Q2156" t="s">
        <v>4355</v>
      </c>
    </row>
    <row r="2157" spans="1:17" x14ac:dyDescent="0.3">
      <c r="A2157" t="s">
        <v>17</v>
      </c>
      <c r="B2157" t="str">
        <f>"900943"</f>
        <v>900943</v>
      </c>
      <c r="C2157" t="s">
        <v>4356</v>
      </c>
      <c r="G2157">
        <v>2550621.1214000001</v>
      </c>
      <c r="H2157">
        <v>-1841061.6159999999</v>
      </c>
      <c r="I2157">
        <v>-3136878.0044999998</v>
      </c>
      <c r="J2157">
        <v>192604.46400000001</v>
      </c>
      <c r="K2157">
        <v>-1222369.2934999999</v>
      </c>
      <c r="L2157">
        <v>177989.98360000001</v>
      </c>
      <c r="M2157">
        <v>-668407.37040000001</v>
      </c>
      <c r="N2157">
        <v>-768766.44420000003</v>
      </c>
      <c r="O2157">
        <v>-1819415.2561000001</v>
      </c>
      <c r="P2157">
        <v>3</v>
      </c>
      <c r="Q2157" t="s">
        <v>4357</v>
      </c>
    </row>
    <row r="2158" spans="1:17" x14ac:dyDescent="0.3">
      <c r="A2158" t="s">
        <v>17</v>
      </c>
      <c r="B2158" t="str">
        <f>"900945"</f>
        <v>900945</v>
      </c>
      <c r="C2158" t="s">
        <v>4358</v>
      </c>
      <c r="G2158">
        <v>-1769116014.4000001</v>
      </c>
      <c r="H2158">
        <v>842111961.5</v>
      </c>
      <c r="I2158">
        <v>398133396</v>
      </c>
      <c r="J2158">
        <v>751583376.79999995</v>
      </c>
      <c r="K2158">
        <v>1458787226.4000001</v>
      </c>
      <c r="L2158">
        <v>346209906.89999998</v>
      </c>
      <c r="M2158">
        <v>722205421.20000005</v>
      </c>
      <c r="N2158">
        <v>411214891</v>
      </c>
      <c r="O2158">
        <v>157275441.19999999</v>
      </c>
      <c r="P2158">
        <v>7</v>
      </c>
      <c r="Q2158" t="s">
        <v>4359</v>
      </c>
    </row>
    <row r="2159" spans="1:17" x14ac:dyDescent="0.3">
      <c r="A2159" t="s">
        <v>17</v>
      </c>
      <c r="B2159" t="str">
        <f>"900946"</f>
        <v>900946</v>
      </c>
      <c r="C2159" t="s">
        <v>4360</v>
      </c>
      <c r="G2159">
        <v>4309811.0877</v>
      </c>
      <c r="H2159">
        <v>1485548.9950999999</v>
      </c>
      <c r="I2159">
        <v>-2317772.8050000002</v>
      </c>
      <c r="J2159">
        <v>-5877853.2019999996</v>
      </c>
      <c r="K2159">
        <v>-6899850.5310000004</v>
      </c>
      <c r="L2159">
        <v>-12537596.971899999</v>
      </c>
      <c r="M2159">
        <v>-8367200.6498999996</v>
      </c>
      <c r="N2159">
        <v>-11958408.084799999</v>
      </c>
      <c r="O2159">
        <v>17281341.767000001</v>
      </c>
      <c r="P2159">
        <v>3</v>
      </c>
      <c r="Q2159" t="s">
        <v>4361</v>
      </c>
    </row>
    <row r="2160" spans="1:17" x14ac:dyDescent="0.3">
      <c r="A2160" t="s">
        <v>17</v>
      </c>
      <c r="B2160" t="str">
        <f>"900947"</f>
        <v>900947</v>
      </c>
      <c r="C2160" t="s">
        <v>4362</v>
      </c>
      <c r="G2160">
        <v>-267254585.51899999</v>
      </c>
      <c r="H2160">
        <v>-328332392.40630001</v>
      </c>
      <c r="I2160">
        <v>-299634753.80849999</v>
      </c>
      <c r="J2160">
        <v>-92226829.715800002</v>
      </c>
      <c r="K2160">
        <v>-90351954.430500001</v>
      </c>
      <c r="L2160">
        <v>-506927154.54809999</v>
      </c>
      <c r="M2160">
        <v>-339176873.79809999</v>
      </c>
      <c r="N2160">
        <v>90310264.469799995</v>
      </c>
      <c r="O2160">
        <v>241143065.4982</v>
      </c>
      <c r="P2160">
        <v>18</v>
      </c>
      <c r="Q2160" t="s">
        <v>4363</v>
      </c>
    </row>
    <row r="2161" spans="1:17" x14ac:dyDescent="0.3">
      <c r="A2161" t="s">
        <v>17</v>
      </c>
      <c r="B2161" t="str">
        <f>"900948"</f>
        <v>900948</v>
      </c>
      <c r="C2161" t="s">
        <v>4364</v>
      </c>
      <c r="F2161">
        <v>1495665737.8799</v>
      </c>
      <c r="G2161">
        <v>465162018.64499998</v>
      </c>
      <c r="H2161">
        <v>640788653.15250003</v>
      </c>
      <c r="I2161">
        <v>617746097.34749997</v>
      </c>
      <c r="J2161">
        <v>680100376.34440005</v>
      </c>
      <c r="K2161">
        <v>282422244.69880003</v>
      </c>
      <c r="L2161">
        <v>-386690707.81770003</v>
      </c>
      <c r="M2161">
        <v>-282780895.58999997</v>
      </c>
      <c r="N2161">
        <v>-92589801.006600007</v>
      </c>
      <c r="O2161">
        <v>328439273.477</v>
      </c>
      <c r="P2161">
        <v>225</v>
      </c>
      <c r="Q2161" t="s">
        <v>4365</v>
      </c>
    </row>
    <row r="2162" spans="1:17" x14ac:dyDescent="0.3">
      <c r="A2162" t="s">
        <v>17</v>
      </c>
      <c r="B2162" t="str">
        <f>"900949"</f>
        <v>900949</v>
      </c>
      <c r="C2162" t="s">
        <v>4366</v>
      </c>
      <c r="N2162">
        <v>227843348.1652</v>
      </c>
      <c r="O2162">
        <v>-16325681.5723</v>
      </c>
      <c r="P2162">
        <v>2</v>
      </c>
      <c r="Q2162" t="s">
        <v>4367</v>
      </c>
    </row>
    <row r="2163" spans="1:17" x14ac:dyDescent="0.3">
      <c r="A2163" t="s">
        <v>17</v>
      </c>
      <c r="B2163" t="str">
        <f>"900950"</f>
        <v>900950</v>
      </c>
      <c r="C2163" t="s">
        <v>4368</v>
      </c>
      <c r="L2163">
        <v>-18179598.982999999</v>
      </c>
      <c r="M2163">
        <v>-335304850.96569997</v>
      </c>
      <c r="N2163">
        <v>-371653988.28490001</v>
      </c>
      <c r="O2163">
        <v>264821279.83419999</v>
      </c>
      <c r="P2163">
        <v>7</v>
      </c>
      <c r="Q2163" t="s">
        <v>4369</v>
      </c>
    </row>
    <row r="2164" spans="1:17" x14ac:dyDescent="0.3">
      <c r="A2164" t="s">
        <v>17</v>
      </c>
      <c r="B2164" t="str">
        <f>"900951"</f>
        <v>900951</v>
      </c>
      <c r="C2164" t="s">
        <v>4370</v>
      </c>
      <c r="H2164">
        <v>-3548644.0824000002</v>
      </c>
      <c r="I2164">
        <v>-11701280.9625</v>
      </c>
      <c r="J2164">
        <v>1250545.2234</v>
      </c>
      <c r="K2164">
        <v>-1976434.7109000001</v>
      </c>
      <c r="L2164">
        <v>-2671619.4923</v>
      </c>
      <c r="M2164">
        <v>530680.74719999998</v>
      </c>
      <c r="N2164">
        <v>185219.84450000001</v>
      </c>
      <c r="O2164">
        <v>8345439.3406999996</v>
      </c>
      <c r="P2164">
        <v>2</v>
      </c>
      <c r="Q2164" t="s">
        <v>4371</v>
      </c>
    </row>
    <row r="2165" spans="1:17" x14ac:dyDescent="0.3">
      <c r="A2165" t="s">
        <v>17</v>
      </c>
      <c r="B2165" t="str">
        <f>"900952"</f>
        <v>900952</v>
      </c>
      <c r="C2165" t="s">
        <v>4372</v>
      </c>
      <c r="G2165">
        <v>51743584.089100003</v>
      </c>
      <c r="H2165">
        <v>28888191.9078</v>
      </c>
      <c r="I2165">
        <v>26934801.405000001</v>
      </c>
      <c r="J2165">
        <v>37049688.005599998</v>
      </c>
      <c r="K2165">
        <v>28006524.977699999</v>
      </c>
      <c r="L2165">
        <v>-60797539.774400003</v>
      </c>
      <c r="M2165">
        <v>-37456179.041699998</v>
      </c>
      <c r="N2165">
        <v>-45927506.306000002</v>
      </c>
      <c r="O2165">
        <v>-123882829.02339999</v>
      </c>
      <c r="P2165">
        <v>8</v>
      </c>
      <c r="Q2165" t="s">
        <v>4373</v>
      </c>
    </row>
    <row r="2166" spans="1:17" x14ac:dyDescent="0.3">
      <c r="A2166" t="s">
        <v>17</v>
      </c>
      <c r="B2166" t="str">
        <f>"900953"</f>
        <v>900953</v>
      </c>
      <c r="C2166" t="s">
        <v>4374</v>
      </c>
      <c r="F2166">
        <v>-20465014.691</v>
      </c>
      <c r="G2166">
        <v>7071564.1964999996</v>
      </c>
      <c r="H2166">
        <v>-2307136.7872000001</v>
      </c>
      <c r="I2166">
        <v>-21921299.465999998</v>
      </c>
      <c r="J2166">
        <v>6532149.3351999996</v>
      </c>
      <c r="K2166">
        <v>18753202.924400002</v>
      </c>
      <c r="L2166">
        <v>20278382.982000001</v>
      </c>
      <c r="M2166">
        <v>358783.01459999999</v>
      </c>
      <c r="N2166">
        <v>11938678.6786</v>
      </c>
      <c r="O2166">
        <v>5373118.1995999999</v>
      </c>
      <c r="P2166">
        <v>6</v>
      </c>
      <c r="Q2166" t="s">
        <v>4375</v>
      </c>
    </row>
    <row r="2167" spans="1:17" x14ac:dyDescent="0.3">
      <c r="A2167" t="s">
        <v>17</v>
      </c>
      <c r="B2167" t="str">
        <f>"900955"</f>
        <v>900955</v>
      </c>
      <c r="C2167" t="s">
        <v>4376</v>
      </c>
      <c r="G2167">
        <v>-2154751.7812999999</v>
      </c>
      <c r="H2167">
        <v>-3762375.6079000002</v>
      </c>
      <c r="I2167">
        <v>-23228391.149999999</v>
      </c>
      <c r="J2167">
        <v>8197759.9422000004</v>
      </c>
      <c r="K2167">
        <v>-12280769.308700001</v>
      </c>
      <c r="L2167">
        <v>-35686562.912</v>
      </c>
      <c r="M2167">
        <v>-14658921.721799999</v>
      </c>
      <c r="N2167">
        <v>-4784007.3893999998</v>
      </c>
      <c r="O2167">
        <v>-61807336.805100001</v>
      </c>
      <c r="P2167">
        <v>4</v>
      </c>
      <c r="Q2167" t="s">
        <v>4377</v>
      </c>
    </row>
    <row r="2168" spans="1:17" x14ac:dyDescent="0.3">
      <c r="A2168" t="s">
        <v>17</v>
      </c>
      <c r="B2168" t="str">
        <f>"900956"</f>
        <v>900956</v>
      </c>
      <c r="C2168" t="s">
        <v>4378</v>
      </c>
      <c r="G2168">
        <v>-1238181.9643000001</v>
      </c>
      <c r="H2168">
        <v>13291245.527100001</v>
      </c>
      <c r="I2168">
        <v>-4320622.9364999998</v>
      </c>
      <c r="J2168">
        <v>-3032322.7634000001</v>
      </c>
      <c r="K2168">
        <v>-4430548.2702000001</v>
      </c>
      <c r="L2168">
        <v>-8910687.8565999996</v>
      </c>
      <c r="M2168">
        <v>1287530.68</v>
      </c>
      <c r="N2168">
        <v>483577.97970000003</v>
      </c>
      <c r="O2168">
        <v>53763442.854099996</v>
      </c>
      <c r="P2168">
        <v>10</v>
      </c>
      <c r="Q2168" t="s">
        <v>4379</v>
      </c>
    </row>
    <row r="2169" spans="1:17" x14ac:dyDescent="0.3">
      <c r="A2169" t="s">
        <v>17</v>
      </c>
      <c r="B2169" t="str">
        <f>"900957"</f>
        <v>900957</v>
      </c>
      <c r="C2169" t="s">
        <v>4380</v>
      </c>
      <c r="F2169">
        <v>1183072.2744</v>
      </c>
      <c r="G2169">
        <v>7129649.4707000004</v>
      </c>
      <c r="H2169">
        <v>4017697.8645000001</v>
      </c>
      <c r="I2169">
        <v>2569436.1524999999</v>
      </c>
      <c r="J2169">
        <v>2651692.3820000002</v>
      </c>
      <c r="K2169">
        <v>-4256542.7117999997</v>
      </c>
      <c r="L2169">
        <v>-35904087.576499999</v>
      </c>
      <c r="M2169">
        <v>-18527214.517200001</v>
      </c>
      <c r="N2169">
        <v>-1864609.1978</v>
      </c>
      <c r="O2169">
        <v>-2697192.071</v>
      </c>
      <c r="P2169">
        <v>2</v>
      </c>
      <c r="Q2169" t="s">
        <v>4381</v>
      </c>
    </row>
    <row r="2170" spans="1:17" x14ac:dyDescent="0.3">
      <c r="A2170" t="s">
        <v>4382</v>
      </c>
      <c r="B2170" t="str">
        <f>"000001"</f>
        <v>000001</v>
      </c>
      <c r="C2170" t="s">
        <v>4383</v>
      </c>
      <c r="D2170" t="s">
        <v>19</v>
      </c>
      <c r="F2170">
        <v>-131208000000</v>
      </c>
      <c r="G2170">
        <v>29257000000</v>
      </c>
      <c r="H2170">
        <v>82689000000</v>
      </c>
      <c r="I2170">
        <v>-12720000000</v>
      </c>
      <c r="J2170">
        <v>-158839955137</v>
      </c>
      <c r="K2170">
        <v>-153848000000</v>
      </c>
      <c r="L2170">
        <v>89541000000</v>
      </c>
      <c r="M2170">
        <v>-7264000000</v>
      </c>
      <c r="N2170">
        <v>100375000000</v>
      </c>
      <c r="O2170">
        <v>82453971000</v>
      </c>
      <c r="P2170">
        <v>6180</v>
      </c>
      <c r="Q2170" t="s">
        <v>4384</v>
      </c>
    </row>
    <row r="2171" spans="1:17" x14ac:dyDescent="0.3">
      <c r="A2171" t="s">
        <v>4382</v>
      </c>
      <c r="B2171" t="str">
        <f>"000002"</f>
        <v>000002</v>
      </c>
      <c r="C2171" t="s">
        <v>4385</v>
      </c>
      <c r="D2171" t="s">
        <v>30</v>
      </c>
      <c r="F2171">
        <v>-3203705861</v>
      </c>
      <c r="G2171">
        <v>29949671857</v>
      </c>
      <c r="H2171">
        <v>-1666643225</v>
      </c>
      <c r="I2171">
        <v>-34069121760</v>
      </c>
      <c r="J2171">
        <v>15829562688</v>
      </c>
      <c r="K2171">
        <v>42058574168</v>
      </c>
      <c r="L2171">
        <v>-5278205099</v>
      </c>
      <c r="M2171">
        <v>16183818656</v>
      </c>
      <c r="N2171">
        <v>-12143535257</v>
      </c>
      <c r="O2171">
        <v>-3601944433</v>
      </c>
      <c r="P2171">
        <v>12434</v>
      </c>
      <c r="Q2171" t="s">
        <v>4386</v>
      </c>
    </row>
    <row r="2172" spans="1:17" x14ac:dyDescent="0.3">
      <c r="A2172" t="s">
        <v>4382</v>
      </c>
      <c r="B2172" t="str">
        <f>"000004"</f>
        <v>000004</v>
      </c>
      <c r="C2172" t="s">
        <v>4387</v>
      </c>
      <c r="D2172" t="s">
        <v>212</v>
      </c>
      <c r="F2172">
        <v>-55247299</v>
      </c>
      <c r="G2172">
        <v>-54124853</v>
      </c>
      <c r="H2172">
        <v>-14365131</v>
      </c>
      <c r="I2172">
        <v>-3928267</v>
      </c>
      <c r="J2172">
        <v>17178001</v>
      </c>
      <c r="K2172">
        <v>132391829</v>
      </c>
      <c r="L2172">
        <v>-9278051</v>
      </c>
      <c r="M2172">
        <v>-13206591</v>
      </c>
      <c r="N2172">
        <v>-27880250</v>
      </c>
      <c r="O2172">
        <v>-20841433</v>
      </c>
      <c r="P2172">
        <v>187</v>
      </c>
      <c r="Q2172" t="s">
        <v>4388</v>
      </c>
    </row>
    <row r="2173" spans="1:17" x14ac:dyDescent="0.3">
      <c r="A2173" t="s">
        <v>4382</v>
      </c>
      <c r="B2173" t="str">
        <f>"000005"</f>
        <v>000005</v>
      </c>
      <c r="C2173" t="s">
        <v>4389</v>
      </c>
      <c r="D2173" t="s">
        <v>33</v>
      </c>
      <c r="F2173">
        <v>-70218823</v>
      </c>
      <c r="G2173">
        <v>3171334</v>
      </c>
      <c r="H2173">
        <v>244794533</v>
      </c>
      <c r="I2173">
        <v>-34446041</v>
      </c>
      <c r="J2173">
        <v>-291102410</v>
      </c>
      <c r="K2173">
        <v>-101730488</v>
      </c>
      <c r="L2173">
        <v>32921923</v>
      </c>
      <c r="M2173">
        <v>-90054833</v>
      </c>
      <c r="N2173">
        <v>-99987892</v>
      </c>
      <c r="O2173">
        <v>88889779</v>
      </c>
      <c r="P2173">
        <v>87</v>
      </c>
      <c r="Q2173" t="s">
        <v>4390</v>
      </c>
    </row>
    <row r="2174" spans="1:17" x14ac:dyDescent="0.3">
      <c r="A2174" t="s">
        <v>4382</v>
      </c>
      <c r="B2174" t="str">
        <f>"000006"</f>
        <v>000006</v>
      </c>
      <c r="C2174" t="s">
        <v>4391</v>
      </c>
      <c r="D2174" t="s">
        <v>30</v>
      </c>
      <c r="F2174">
        <v>-3687427778</v>
      </c>
      <c r="G2174">
        <v>-47533077</v>
      </c>
      <c r="H2174">
        <v>467434441</v>
      </c>
      <c r="I2174">
        <v>682122121</v>
      </c>
      <c r="J2174">
        <v>1077366614</v>
      </c>
      <c r="K2174">
        <v>1516185924</v>
      </c>
      <c r="L2174">
        <v>-893789037</v>
      </c>
      <c r="M2174">
        <v>-946497958</v>
      </c>
      <c r="N2174">
        <v>-858317263</v>
      </c>
      <c r="O2174">
        <v>1534818335</v>
      </c>
      <c r="P2174">
        <v>424</v>
      </c>
      <c r="Q2174" t="s">
        <v>4392</v>
      </c>
    </row>
    <row r="2175" spans="1:17" x14ac:dyDescent="0.3">
      <c r="A2175" t="s">
        <v>4382</v>
      </c>
      <c r="B2175" t="str">
        <f>"000007"</f>
        <v>000007</v>
      </c>
      <c r="C2175" t="s">
        <v>4393</v>
      </c>
      <c r="D2175" t="s">
        <v>120</v>
      </c>
      <c r="F2175">
        <v>-12517523</v>
      </c>
      <c r="G2175">
        <v>-2078845</v>
      </c>
      <c r="H2175">
        <v>-21537216</v>
      </c>
      <c r="I2175">
        <v>-7020110</v>
      </c>
      <c r="J2175">
        <v>-6558725</v>
      </c>
      <c r="K2175">
        <v>-32681989</v>
      </c>
      <c r="L2175">
        <v>49009274</v>
      </c>
      <c r="M2175">
        <v>-38046349</v>
      </c>
      <c r="N2175">
        <v>77583736</v>
      </c>
      <c r="O2175">
        <v>105300641</v>
      </c>
      <c r="P2175">
        <v>93</v>
      </c>
      <c r="Q2175" t="s">
        <v>4394</v>
      </c>
    </row>
    <row r="2176" spans="1:17" x14ac:dyDescent="0.3">
      <c r="A2176" t="s">
        <v>4382</v>
      </c>
      <c r="B2176" t="str">
        <f>"000008"</f>
        <v>000008</v>
      </c>
      <c r="C2176" t="s">
        <v>4395</v>
      </c>
      <c r="D2176" t="s">
        <v>78</v>
      </c>
      <c r="F2176">
        <v>-350981238</v>
      </c>
      <c r="G2176">
        <v>-25720707</v>
      </c>
      <c r="H2176">
        <v>-242745160</v>
      </c>
      <c r="I2176">
        <v>-935796249</v>
      </c>
      <c r="J2176">
        <v>-328417149</v>
      </c>
      <c r="K2176">
        <v>-140930870</v>
      </c>
      <c r="L2176">
        <v>-151355448</v>
      </c>
      <c r="M2176">
        <v>46204037</v>
      </c>
      <c r="N2176">
        <v>32435903</v>
      </c>
      <c r="O2176">
        <v>-1434885</v>
      </c>
      <c r="P2176">
        <v>301</v>
      </c>
      <c r="Q2176" t="s">
        <v>4396</v>
      </c>
    </row>
    <row r="2177" spans="1:17" x14ac:dyDescent="0.3">
      <c r="A2177" t="s">
        <v>4382</v>
      </c>
      <c r="B2177" t="str">
        <f>"000009"</f>
        <v>000009</v>
      </c>
      <c r="C2177" t="s">
        <v>4397</v>
      </c>
      <c r="D2177" t="s">
        <v>188</v>
      </c>
      <c r="F2177">
        <v>-1129407656</v>
      </c>
      <c r="G2177">
        <v>162700192</v>
      </c>
      <c r="H2177">
        <v>632003620</v>
      </c>
      <c r="I2177">
        <v>1108376487</v>
      </c>
      <c r="J2177">
        <v>-445142452</v>
      </c>
      <c r="K2177">
        <v>-399183919</v>
      </c>
      <c r="L2177">
        <v>383874546</v>
      </c>
      <c r="M2177">
        <v>-258079436</v>
      </c>
      <c r="N2177">
        <v>-793536167</v>
      </c>
      <c r="O2177">
        <v>-123091569</v>
      </c>
      <c r="P2177">
        <v>468</v>
      </c>
      <c r="Q2177" t="s">
        <v>4398</v>
      </c>
    </row>
    <row r="2178" spans="1:17" x14ac:dyDescent="0.3">
      <c r="A2178" t="s">
        <v>4382</v>
      </c>
      <c r="B2178" t="str">
        <f>"000010"</f>
        <v>000010</v>
      </c>
      <c r="C2178" t="s">
        <v>4399</v>
      </c>
      <c r="D2178" t="s">
        <v>95</v>
      </c>
      <c r="F2178">
        <v>-191691008</v>
      </c>
      <c r="G2178">
        <v>-370229792</v>
      </c>
      <c r="H2178">
        <v>-95997411</v>
      </c>
      <c r="I2178">
        <v>-70785478</v>
      </c>
      <c r="J2178">
        <v>616973099</v>
      </c>
      <c r="K2178">
        <v>-253911226</v>
      </c>
      <c r="L2178">
        <v>-324108913</v>
      </c>
      <c r="M2178">
        <v>-87322103</v>
      </c>
      <c r="N2178">
        <v>3658562</v>
      </c>
      <c r="O2178">
        <v>-6317399</v>
      </c>
      <c r="P2178">
        <v>93</v>
      </c>
      <c r="Q2178" t="s">
        <v>4400</v>
      </c>
    </row>
    <row r="2179" spans="1:17" x14ac:dyDescent="0.3">
      <c r="A2179" t="s">
        <v>4382</v>
      </c>
      <c r="B2179" t="str">
        <f>"000011"</f>
        <v>000011</v>
      </c>
      <c r="C2179" t="s">
        <v>4401</v>
      </c>
      <c r="D2179" t="s">
        <v>30</v>
      </c>
      <c r="F2179">
        <v>-557915312</v>
      </c>
      <c r="G2179">
        <v>-481159185</v>
      </c>
      <c r="H2179">
        <v>498136326</v>
      </c>
      <c r="I2179">
        <v>46247174</v>
      </c>
      <c r="J2179">
        <v>-356397111</v>
      </c>
      <c r="K2179">
        <v>2097139018</v>
      </c>
      <c r="L2179">
        <v>-54675418</v>
      </c>
      <c r="M2179">
        <v>-99108251</v>
      </c>
      <c r="N2179">
        <v>69753212</v>
      </c>
      <c r="O2179">
        <v>586238057</v>
      </c>
      <c r="P2179">
        <v>481</v>
      </c>
      <c r="Q2179" t="s">
        <v>4402</v>
      </c>
    </row>
    <row r="2180" spans="1:17" x14ac:dyDescent="0.3">
      <c r="A2180" t="s">
        <v>4382</v>
      </c>
      <c r="B2180" t="str">
        <f>"000012"</f>
        <v>000012</v>
      </c>
      <c r="C2180" t="s">
        <v>4403</v>
      </c>
      <c r="D2180" t="s">
        <v>350</v>
      </c>
      <c r="F2180">
        <v>1364977902</v>
      </c>
      <c r="G2180">
        <v>914575693</v>
      </c>
      <c r="H2180">
        <v>1049856939</v>
      </c>
      <c r="I2180">
        <v>952113082</v>
      </c>
      <c r="J2180">
        <v>729823799</v>
      </c>
      <c r="K2180">
        <v>789933872</v>
      </c>
      <c r="L2180">
        <v>-149988155</v>
      </c>
      <c r="M2180">
        <v>-496998943</v>
      </c>
      <c r="N2180">
        <v>-410005200</v>
      </c>
      <c r="O2180">
        <v>329658693</v>
      </c>
      <c r="P2180">
        <v>409</v>
      </c>
      <c r="Q2180" t="s">
        <v>4404</v>
      </c>
    </row>
    <row r="2181" spans="1:17" x14ac:dyDescent="0.3">
      <c r="A2181" t="s">
        <v>4382</v>
      </c>
      <c r="B2181" t="str">
        <f>"000014"</f>
        <v>000014</v>
      </c>
      <c r="C2181" t="s">
        <v>4405</v>
      </c>
      <c r="D2181" t="s">
        <v>30</v>
      </c>
      <c r="F2181">
        <v>-60704367</v>
      </c>
      <c r="G2181">
        <v>118093538</v>
      </c>
      <c r="H2181">
        <v>70660868</v>
      </c>
      <c r="I2181">
        <v>86459197</v>
      </c>
      <c r="J2181">
        <v>365676538</v>
      </c>
      <c r="K2181">
        <v>165882313</v>
      </c>
      <c r="L2181">
        <v>-9820017</v>
      </c>
      <c r="M2181">
        <v>-255231580</v>
      </c>
      <c r="N2181">
        <v>75765902</v>
      </c>
      <c r="O2181">
        <v>-87323958</v>
      </c>
      <c r="P2181">
        <v>96</v>
      </c>
      <c r="Q2181" t="s">
        <v>4406</v>
      </c>
    </row>
    <row r="2182" spans="1:17" x14ac:dyDescent="0.3">
      <c r="A2182" t="s">
        <v>4382</v>
      </c>
      <c r="B2182" t="str">
        <f>"000015"</f>
        <v>000015</v>
      </c>
      <c r="C2182" t="s">
        <v>4407</v>
      </c>
      <c r="K2182">
        <v>-48106683.460000001</v>
      </c>
      <c r="P2182">
        <v>13</v>
      </c>
      <c r="Q2182" t="s">
        <v>4408</v>
      </c>
    </row>
    <row r="2183" spans="1:17" x14ac:dyDescent="0.3">
      <c r="A2183" t="s">
        <v>4382</v>
      </c>
      <c r="B2183" t="str">
        <f>"000016"</f>
        <v>000016</v>
      </c>
      <c r="C2183" t="s">
        <v>4409</v>
      </c>
      <c r="D2183" t="s">
        <v>126</v>
      </c>
      <c r="F2183">
        <v>-4328971219</v>
      </c>
      <c r="G2183">
        <v>-3288105821</v>
      </c>
      <c r="H2183">
        <v>-3730246516</v>
      </c>
      <c r="I2183">
        <v>-3162155558</v>
      </c>
      <c r="J2183">
        <v>-3676800111</v>
      </c>
      <c r="K2183">
        <v>-516910752</v>
      </c>
      <c r="L2183">
        <v>951868914</v>
      </c>
      <c r="M2183">
        <v>264423563</v>
      </c>
      <c r="N2183">
        <v>1643715300</v>
      </c>
      <c r="O2183">
        <v>695842539</v>
      </c>
      <c r="P2183">
        <v>266</v>
      </c>
      <c r="Q2183" t="s">
        <v>4410</v>
      </c>
    </row>
    <row r="2184" spans="1:17" x14ac:dyDescent="0.3">
      <c r="A2184" t="s">
        <v>4382</v>
      </c>
      <c r="B2184" t="str">
        <f>"000017"</f>
        <v>000017</v>
      </c>
      <c r="C2184" t="s">
        <v>4411</v>
      </c>
      <c r="D2184" t="s">
        <v>27</v>
      </c>
      <c r="F2184">
        <v>-5830379</v>
      </c>
      <c r="G2184">
        <v>3280898</v>
      </c>
      <c r="H2184">
        <v>-7852167</v>
      </c>
      <c r="I2184">
        <v>104915</v>
      </c>
      <c r="J2184">
        <v>-6939187</v>
      </c>
      <c r="K2184">
        <v>-8667699</v>
      </c>
      <c r="L2184">
        <v>-331583</v>
      </c>
      <c r="M2184">
        <v>2831573</v>
      </c>
      <c r="N2184">
        <v>-10395993</v>
      </c>
      <c r="O2184">
        <v>4133103</v>
      </c>
      <c r="P2184">
        <v>64</v>
      </c>
      <c r="Q2184" t="s">
        <v>4412</v>
      </c>
    </row>
    <row r="2185" spans="1:17" x14ac:dyDescent="0.3">
      <c r="A2185" t="s">
        <v>4382</v>
      </c>
      <c r="B2185" t="str">
        <f>"000018"</f>
        <v>000018</v>
      </c>
      <c r="C2185" t="s">
        <v>4413</v>
      </c>
      <c r="H2185">
        <v>-452372128</v>
      </c>
      <c r="I2185">
        <v>1275566806</v>
      </c>
      <c r="J2185">
        <v>-831224043</v>
      </c>
      <c r="K2185">
        <v>-1712351582</v>
      </c>
      <c r="L2185">
        <v>-363477706</v>
      </c>
      <c r="M2185">
        <v>4252979</v>
      </c>
      <c r="N2185">
        <v>7780590</v>
      </c>
      <c r="O2185">
        <v>703037</v>
      </c>
      <c r="P2185">
        <v>99</v>
      </c>
      <c r="Q2185" t="s">
        <v>4414</v>
      </c>
    </row>
    <row r="2186" spans="1:17" x14ac:dyDescent="0.3">
      <c r="A2186" t="s">
        <v>4382</v>
      </c>
      <c r="B2186" t="str">
        <f>"000019"</f>
        <v>000019</v>
      </c>
      <c r="C2186" t="s">
        <v>4415</v>
      </c>
      <c r="D2186" t="s">
        <v>205</v>
      </c>
      <c r="F2186">
        <v>-27747762</v>
      </c>
      <c r="G2186">
        <v>91989507</v>
      </c>
      <c r="H2186">
        <v>-383916673</v>
      </c>
      <c r="I2186">
        <v>4657437</v>
      </c>
      <c r="J2186">
        <v>-70182395</v>
      </c>
      <c r="K2186">
        <v>-24866904</v>
      </c>
      <c r="L2186">
        <v>-38111022</v>
      </c>
      <c r="M2186">
        <v>-109268371</v>
      </c>
      <c r="N2186">
        <v>-165689813</v>
      </c>
      <c r="O2186">
        <v>-109224097</v>
      </c>
      <c r="P2186">
        <v>176</v>
      </c>
      <c r="Q2186" t="s">
        <v>4416</v>
      </c>
    </row>
    <row r="2187" spans="1:17" x14ac:dyDescent="0.3">
      <c r="A2187" t="s">
        <v>4382</v>
      </c>
      <c r="B2187" t="str">
        <f>"000020"</f>
        <v>000020</v>
      </c>
      <c r="C2187" t="s">
        <v>4417</v>
      </c>
      <c r="D2187" t="s">
        <v>150</v>
      </c>
      <c r="F2187">
        <v>-27872545</v>
      </c>
      <c r="G2187">
        <v>10276613</v>
      </c>
      <c r="H2187">
        <v>46350847</v>
      </c>
      <c r="I2187">
        <v>-63702691</v>
      </c>
      <c r="J2187">
        <v>-21118170</v>
      </c>
      <c r="K2187">
        <v>-75605612</v>
      </c>
      <c r="L2187">
        <v>33537060</v>
      </c>
      <c r="M2187">
        <v>-387057988</v>
      </c>
      <c r="N2187">
        <v>-42622216</v>
      </c>
      <c r="O2187">
        <v>-12833089</v>
      </c>
      <c r="P2187">
        <v>75</v>
      </c>
      <c r="Q2187" t="s">
        <v>4418</v>
      </c>
    </row>
    <row r="2188" spans="1:17" x14ac:dyDescent="0.3">
      <c r="A2188" t="s">
        <v>4382</v>
      </c>
      <c r="B2188" t="str">
        <f>"000021"</f>
        <v>000021</v>
      </c>
      <c r="C2188" t="s">
        <v>4419</v>
      </c>
      <c r="D2188" t="s">
        <v>150</v>
      </c>
      <c r="F2188">
        <v>-1687262063</v>
      </c>
      <c r="G2188">
        <v>-289053183</v>
      </c>
      <c r="H2188">
        <v>-1584819494</v>
      </c>
      <c r="I2188">
        <v>109004317</v>
      </c>
      <c r="J2188">
        <v>107734154</v>
      </c>
      <c r="K2188">
        <v>-574429815</v>
      </c>
      <c r="L2188">
        <v>-585575121</v>
      </c>
      <c r="M2188">
        <v>-102332768</v>
      </c>
      <c r="N2188">
        <v>171479313</v>
      </c>
      <c r="O2188">
        <v>-219622471</v>
      </c>
      <c r="P2188">
        <v>442</v>
      </c>
      <c r="Q2188" t="s">
        <v>4420</v>
      </c>
    </row>
    <row r="2189" spans="1:17" x14ac:dyDescent="0.3">
      <c r="A2189" t="s">
        <v>4382</v>
      </c>
      <c r="B2189" t="str">
        <f>"000022"</f>
        <v>000022</v>
      </c>
      <c r="C2189" t="s">
        <v>4421</v>
      </c>
      <c r="I2189">
        <v>436871574</v>
      </c>
      <c r="J2189">
        <v>782055912</v>
      </c>
      <c r="K2189">
        <v>476074167.83999997</v>
      </c>
      <c r="L2189">
        <v>551863433.63999999</v>
      </c>
      <c r="M2189">
        <v>385050004.07999998</v>
      </c>
      <c r="N2189">
        <v>339161794</v>
      </c>
      <c r="O2189">
        <v>150738372</v>
      </c>
      <c r="P2189">
        <v>83</v>
      </c>
      <c r="Q2189" t="s">
        <v>4422</v>
      </c>
    </row>
    <row r="2190" spans="1:17" x14ac:dyDescent="0.3">
      <c r="A2190" t="s">
        <v>4382</v>
      </c>
      <c r="B2190" t="str">
        <f>"000023"</f>
        <v>000023</v>
      </c>
      <c r="C2190" t="s">
        <v>4423</v>
      </c>
      <c r="D2190" t="s">
        <v>350</v>
      </c>
      <c r="F2190">
        <v>-22517546</v>
      </c>
      <c r="G2190">
        <v>74174279</v>
      </c>
      <c r="H2190">
        <v>16638159</v>
      </c>
      <c r="I2190">
        <v>12722501</v>
      </c>
      <c r="J2190">
        <v>170717060</v>
      </c>
      <c r="K2190">
        <v>42037310</v>
      </c>
      <c r="L2190">
        <v>1452939</v>
      </c>
      <c r="M2190">
        <v>-56816557</v>
      </c>
      <c r="N2190">
        <v>5395101</v>
      </c>
      <c r="O2190">
        <v>-14865743</v>
      </c>
      <c r="P2190">
        <v>78</v>
      </c>
      <c r="Q2190" t="s">
        <v>4424</v>
      </c>
    </row>
    <row r="2191" spans="1:17" x14ac:dyDescent="0.3">
      <c r="A2191" t="s">
        <v>4382</v>
      </c>
      <c r="B2191" t="str">
        <f>"000024"</f>
        <v>000024</v>
      </c>
      <c r="C2191" t="s">
        <v>4425</v>
      </c>
      <c r="L2191">
        <v>-2674148371.8800001</v>
      </c>
      <c r="M2191">
        <v>-5535754175.0900002</v>
      </c>
      <c r="N2191">
        <v>755584826.30999994</v>
      </c>
      <c r="O2191">
        <v>3669200560</v>
      </c>
      <c r="P2191">
        <v>36</v>
      </c>
      <c r="Q2191" t="s">
        <v>4426</v>
      </c>
    </row>
    <row r="2192" spans="1:17" x14ac:dyDescent="0.3">
      <c r="A2192" t="s">
        <v>4382</v>
      </c>
      <c r="B2192" t="str">
        <f>"000025"</f>
        <v>000025</v>
      </c>
      <c r="C2192" t="s">
        <v>4427</v>
      </c>
      <c r="D2192" t="s">
        <v>27</v>
      </c>
      <c r="F2192">
        <v>30622744</v>
      </c>
      <c r="G2192">
        <v>-8046136</v>
      </c>
      <c r="H2192">
        <v>-36939470</v>
      </c>
      <c r="I2192">
        <v>-48587148</v>
      </c>
      <c r="J2192">
        <v>23412036</v>
      </c>
      <c r="K2192">
        <v>-9698503</v>
      </c>
      <c r="L2192">
        <v>-78291830</v>
      </c>
      <c r="M2192">
        <v>-68414814</v>
      </c>
      <c r="N2192">
        <v>41094823</v>
      </c>
      <c r="O2192">
        <v>-2892687</v>
      </c>
      <c r="P2192">
        <v>140</v>
      </c>
      <c r="Q2192" t="s">
        <v>4428</v>
      </c>
    </row>
    <row r="2193" spans="1:17" x14ac:dyDescent="0.3">
      <c r="A2193" t="s">
        <v>4382</v>
      </c>
      <c r="B2193" t="str">
        <f>"000026"</f>
        <v>000026</v>
      </c>
      <c r="C2193" t="s">
        <v>4429</v>
      </c>
      <c r="D2193" t="s">
        <v>227</v>
      </c>
      <c r="F2193">
        <v>213703923</v>
      </c>
      <c r="G2193">
        <v>125836801</v>
      </c>
      <c r="H2193">
        <v>183940638</v>
      </c>
      <c r="I2193">
        <v>201623249</v>
      </c>
      <c r="J2193">
        <v>279273537</v>
      </c>
      <c r="K2193">
        <v>160759807</v>
      </c>
      <c r="L2193">
        <v>99909180</v>
      </c>
      <c r="M2193">
        <v>112871957</v>
      </c>
      <c r="N2193">
        <v>58694665</v>
      </c>
      <c r="O2193">
        <v>-130168236</v>
      </c>
      <c r="P2193">
        <v>321</v>
      </c>
      <c r="Q2193" t="s">
        <v>4430</v>
      </c>
    </row>
    <row r="2194" spans="1:17" x14ac:dyDescent="0.3">
      <c r="A2194" t="s">
        <v>4382</v>
      </c>
      <c r="B2194" t="str">
        <f>"000027"</f>
        <v>000027</v>
      </c>
      <c r="C2194" t="s">
        <v>4431</v>
      </c>
      <c r="D2194" t="s">
        <v>41</v>
      </c>
      <c r="F2194">
        <v>-5503514195</v>
      </c>
      <c r="G2194">
        <v>-3980230772</v>
      </c>
      <c r="H2194">
        <v>-2514151259</v>
      </c>
      <c r="I2194">
        <v>-384467493</v>
      </c>
      <c r="J2194">
        <v>-3663478350</v>
      </c>
      <c r="K2194">
        <v>-1554988896</v>
      </c>
      <c r="L2194">
        <v>801274520</v>
      </c>
      <c r="M2194">
        <v>1509082694</v>
      </c>
      <c r="N2194">
        <v>887132419</v>
      </c>
      <c r="O2194">
        <v>592108024</v>
      </c>
      <c r="P2194">
        <v>509</v>
      </c>
      <c r="Q2194" t="s">
        <v>4432</v>
      </c>
    </row>
    <row r="2195" spans="1:17" x14ac:dyDescent="0.3">
      <c r="A2195" t="s">
        <v>4382</v>
      </c>
      <c r="B2195" t="str">
        <f>"000028"</f>
        <v>000028</v>
      </c>
      <c r="C2195" t="s">
        <v>4433</v>
      </c>
      <c r="D2195" t="s">
        <v>113</v>
      </c>
      <c r="F2195">
        <v>1178340155</v>
      </c>
      <c r="G2195">
        <v>1799741727</v>
      </c>
      <c r="H2195">
        <v>915158905</v>
      </c>
      <c r="I2195">
        <v>419389776</v>
      </c>
      <c r="J2195">
        <v>385096978</v>
      </c>
      <c r="K2195">
        <v>433543039</v>
      </c>
      <c r="L2195">
        <v>262989828</v>
      </c>
      <c r="M2195">
        <v>-824817761</v>
      </c>
      <c r="N2195">
        <v>174499423</v>
      </c>
      <c r="O2195">
        <v>-80283885</v>
      </c>
      <c r="P2195">
        <v>1098</v>
      </c>
      <c r="Q2195" t="s">
        <v>4434</v>
      </c>
    </row>
    <row r="2196" spans="1:17" x14ac:dyDescent="0.3">
      <c r="A2196" t="s">
        <v>4382</v>
      </c>
      <c r="B2196" t="str">
        <f>"000029"</f>
        <v>000029</v>
      </c>
      <c r="C2196" t="s">
        <v>4435</v>
      </c>
      <c r="D2196" t="s">
        <v>30</v>
      </c>
      <c r="F2196">
        <v>-1265158620</v>
      </c>
      <c r="G2196">
        <v>97311060</v>
      </c>
      <c r="H2196">
        <v>1041895810</v>
      </c>
      <c r="I2196">
        <v>664507867</v>
      </c>
      <c r="J2196">
        <v>-201318838</v>
      </c>
      <c r="K2196">
        <v>550270909</v>
      </c>
      <c r="L2196">
        <v>801264286</v>
      </c>
      <c r="M2196">
        <v>236659694</v>
      </c>
      <c r="N2196">
        <v>-7655923</v>
      </c>
      <c r="O2196">
        <v>-199081417</v>
      </c>
      <c r="P2196">
        <v>137</v>
      </c>
      <c r="Q2196" t="s">
        <v>4436</v>
      </c>
    </row>
    <row r="2197" spans="1:17" x14ac:dyDescent="0.3">
      <c r="A2197" t="s">
        <v>4382</v>
      </c>
      <c r="B2197" t="str">
        <f>"000030"</f>
        <v>000030</v>
      </c>
      <c r="C2197" t="s">
        <v>4437</v>
      </c>
      <c r="D2197" t="s">
        <v>27</v>
      </c>
      <c r="F2197">
        <v>-146875506</v>
      </c>
      <c r="G2197">
        <v>-188809789</v>
      </c>
      <c r="H2197">
        <v>-359109661</v>
      </c>
      <c r="I2197">
        <v>-263313802</v>
      </c>
      <c r="J2197">
        <v>8272921</v>
      </c>
      <c r="K2197">
        <v>91316537</v>
      </c>
      <c r="L2197">
        <v>392474361</v>
      </c>
      <c r="M2197">
        <v>118031676</v>
      </c>
      <c r="N2197">
        <v>-353847957</v>
      </c>
      <c r="O2197">
        <v>-67892</v>
      </c>
      <c r="P2197">
        <v>330</v>
      </c>
      <c r="Q2197" t="s">
        <v>4438</v>
      </c>
    </row>
    <row r="2198" spans="1:17" x14ac:dyDescent="0.3">
      <c r="A2198" t="s">
        <v>4382</v>
      </c>
      <c r="B2198" t="str">
        <f>"000031"</f>
        <v>000031</v>
      </c>
      <c r="C2198" t="s">
        <v>4439</v>
      </c>
      <c r="D2198" t="s">
        <v>30</v>
      </c>
      <c r="F2198">
        <v>-10549872783</v>
      </c>
      <c r="G2198">
        <v>5450932284</v>
      </c>
      <c r="H2198">
        <v>1468542669</v>
      </c>
      <c r="I2198">
        <v>-3162955009</v>
      </c>
      <c r="J2198">
        <v>-3420095351</v>
      </c>
      <c r="K2198">
        <v>3453784729</v>
      </c>
      <c r="L2198">
        <v>1549259023</v>
      </c>
      <c r="M2198">
        <v>-1666916738</v>
      </c>
      <c r="N2198">
        <v>-591902134</v>
      </c>
      <c r="O2198">
        <v>1106069320</v>
      </c>
      <c r="P2198">
        <v>328</v>
      </c>
      <c r="Q2198" t="s">
        <v>4440</v>
      </c>
    </row>
    <row r="2199" spans="1:17" x14ac:dyDescent="0.3">
      <c r="A2199" t="s">
        <v>4382</v>
      </c>
      <c r="B2199" t="str">
        <f>"000032"</f>
        <v>000032</v>
      </c>
      <c r="C2199" t="s">
        <v>4441</v>
      </c>
      <c r="D2199" t="s">
        <v>100</v>
      </c>
      <c r="F2199">
        <v>-2721080583</v>
      </c>
      <c r="G2199">
        <v>-69814593</v>
      </c>
      <c r="H2199">
        <v>70698044</v>
      </c>
      <c r="I2199">
        <v>57775766</v>
      </c>
      <c r="J2199">
        <v>4024004</v>
      </c>
      <c r="K2199">
        <v>-56740670</v>
      </c>
      <c r="L2199">
        <v>883483</v>
      </c>
      <c r="M2199">
        <v>61034294</v>
      </c>
      <c r="N2199">
        <v>-34931512</v>
      </c>
      <c r="O2199">
        <v>-12458914</v>
      </c>
      <c r="P2199">
        <v>121</v>
      </c>
      <c r="Q2199" t="s">
        <v>4442</v>
      </c>
    </row>
    <row r="2200" spans="1:17" x14ac:dyDescent="0.3">
      <c r="A2200" t="s">
        <v>4382</v>
      </c>
      <c r="B2200" t="str">
        <f>"000033"</f>
        <v>000033</v>
      </c>
      <c r="C2200" t="s">
        <v>4443</v>
      </c>
      <c r="K2200">
        <v>-44537750.740000002</v>
      </c>
      <c r="L2200">
        <v>5133314.47</v>
      </c>
      <c r="M2200">
        <v>178338.05</v>
      </c>
      <c r="N2200">
        <v>-98967338.209999993</v>
      </c>
      <c r="O2200">
        <v>5690472.6500000004</v>
      </c>
      <c r="P2200">
        <v>7</v>
      </c>
      <c r="Q2200" t="s">
        <v>4444</v>
      </c>
    </row>
    <row r="2201" spans="1:17" x14ac:dyDescent="0.3">
      <c r="A2201" t="s">
        <v>4382</v>
      </c>
      <c r="B2201" t="str">
        <f>"000034"</f>
        <v>000034</v>
      </c>
      <c r="C2201" t="s">
        <v>4445</v>
      </c>
      <c r="D2201" t="s">
        <v>212</v>
      </c>
      <c r="F2201">
        <v>-42344733</v>
      </c>
      <c r="G2201">
        <v>1295636787</v>
      </c>
      <c r="H2201">
        <v>960280021</v>
      </c>
      <c r="I2201">
        <v>-777514357</v>
      </c>
      <c r="J2201">
        <v>-1152914625</v>
      </c>
      <c r="K2201">
        <v>931933062</v>
      </c>
      <c r="L2201">
        <v>-26131994</v>
      </c>
      <c r="M2201">
        <v>-38435486</v>
      </c>
      <c r="N2201">
        <v>97204988</v>
      </c>
      <c r="O2201">
        <v>-33877760</v>
      </c>
      <c r="P2201">
        <v>412</v>
      </c>
      <c r="Q2201" t="s">
        <v>4446</v>
      </c>
    </row>
    <row r="2202" spans="1:17" x14ac:dyDescent="0.3">
      <c r="A2202" t="s">
        <v>4382</v>
      </c>
      <c r="B2202" t="str">
        <f>"000035"</f>
        <v>000035</v>
      </c>
      <c r="C2202" t="s">
        <v>4447</v>
      </c>
      <c r="D2202" t="s">
        <v>33</v>
      </c>
      <c r="F2202">
        <v>-329610297</v>
      </c>
      <c r="G2202">
        <v>-735146853</v>
      </c>
      <c r="H2202">
        <v>-698105751</v>
      </c>
      <c r="I2202">
        <v>-205697087</v>
      </c>
      <c r="J2202">
        <v>-656921519</v>
      </c>
      <c r="K2202">
        <v>-376369445</v>
      </c>
      <c r="L2202">
        <v>-159004337</v>
      </c>
      <c r="M2202">
        <v>-322650882</v>
      </c>
      <c r="N2202">
        <v>-93151143</v>
      </c>
      <c r="O2202">
        <v>-348620753</v>
      </c>
      <c r="P2202">
        <v>198</v>
      </c>
      <c r="Q2202" t="s">
        <v>4448</v>
      </c>
    </row>
    <row r="2203" spans="1:17" x14ac:dyDescent="0.3">
      <c r="A2203" t="s">
        <v>4382</v>
      </c>
      <c r="B2203" t="str">
        <f>"000036"</f>
        <v>000036</v>
      </c>
      <c r="C2203" t="s">
        <v>4449</v>
      </c>
      <c r="D2203" t="s">
        <v>30</v>
      </c>
      <c r="F2203">
        <v>-300364055</v>
      </c>
      <c r="G2203">
        <v>-807901922</v>
      </c>
      <c r="H2203">
        <v>1327720118</v>
      </c>
      <c r="I2203">
        <v>2102091804</v>
      </c>
      <c r="J2203">
        <v>-83195728</v>
      </c>
      <c r="K2203">
        <v>2342160307</v>
      </c>
      <c r="L2203">
        <v>-540783184</v>
      </c>
      <c r="M2203">
        <v>-1619437241</v>
      </c>
      <c r="N2203">
        <v>-153038521</v>
      </c>
      <c r="O2203">
        <v>-95457103</v>
      </c>
      <c r="P2203">
        <v>880</v>
      </c>
      <c r="Q2203" t="s">
        <v>4450</v>
      </c>
    </row>
    <row r="2204" spans="1:17" x14ac:dyDescent="0.3">
      <c r="A2204" t="s">
        <v>4382</v>
      </c>
      <c r="B2204" t="str">
        <f>"000037"</f>
        <v>000037</v>
      </c>
      <c r="C2204" t="s">
        <v>4451</v>
      </c>
      <c r="D2204" t="s">
        <v>41</v>
      </c>
      <c r="F2204">
        <v>61375352</v>
      </c>
      <c r="G2204">
        <v>198737218</v>
      </c>
      <c r="H2204">
        <v>35472743</v>
      </c>
      <c r="I2204">
        <v>67178591</v>
      </c>
      <c r="J2204">
        <v>-221605390</v>
      </c>
      <c r="K2204">
        <v>121619627</v>
      </c>
      <c r="L2204">
        <v>391663471</v>
      </c>
      <c r="M2204">
        <v>312039352</v>
      </c>
      <c r="N2204">
        <v>548954781</v>
      </c>
      <c r="O2204">
        <v>-12709993</v>
      </c>
      <c r="P2204">
        <v>112</v>
      </c>
      <c r="Q2204" t="s">
        <v>4452</v>
      </c>
    </row>
    <row r="2205" spans="1:17" x14ac:dyDescent="0.3">
      <c r="A2205" t="s">
        <v>4382</v>
      </c>
      <c r="B2205" t="str">
        <f>"000038"</f>
        <v>000038</v>
      </c>
      <c r="C2205" t="s">
        <v>4453</v>
      </c>
      <c r="D2205" t="s">
        <v>103</v>
      </c>
      <c r="F2205">
        <v>-364352061</v>
      </c>
      <c r="G2205">
        <v>-297101611</v>
      </c>
      <c r="H2205">
        <v>-69504431</v>
      </c>
      <c r="I2205">
        <v>-47096162</v>
      </c>
      <c r="J2205">
        <v>70440693</v>
      </c>
      <c r="K2205">
        <v>73904047</v>
      </c>
      <c r="L2205">
        <v>27588232</v>
      </c>
      <c r="M2205">
        <v>12177563</v>
      </c>
      <c r="N2205">
        <v>42566646</v>
      </c>
      <c r="O2205">
        <v>3030042</v>
      </c>
      <c r="P2205">
        <v>113</v>
      </c>
      <c r="Q2205" t="s">
        <v>4454</v>
      </c>
    </row>
    <row r="2206" spans="1:17" x14ac:dyDescent="0.3">
      <c r="A2206" t="s">
        <v>4382</v>
      </c>
      <c r="B2206" t="str">
        <f>"000039"</f>
        <v>000039</v>
      </c>
      <c r="C2206" t="s">
        <v>4455</v>
      </c>
      <c r="D2206" t="s">
        <v>78</v>
      </c>
      <c r="F2206">
        <v>10912793000</v>
      </c>
      <c r="G2206">
        <v>7028346000</v>
      </c>
      <c r="H2206">
        <v>-3228479000</v>
      </c>
      <c r="I2206">
        <v>-2417229000</v>
      </c>
      <c r="J2206">
        <v>1682595000</v>
      </c>
      <c r="K2206">
        <v>-4633223000</v>
      </c>
      <c r="L2206">
        <v>-9126481000</v>
      </c>
      <c r="M2206">
        <v>-8199677000</v>
      </c>
      <c r="N2206">
        <v>-4656035000</v>
      </c>
      <c r="O2206">
        <v>-501944000</v>
      </c>
      <c r="P2206">
        <v>679</v>
      </c>
      <c r="Q2206" t="s">
        <v>4456</v>
      </c>
    </row>
    <row r="2207" spans="1:17" x14ac:dyDescent="0.3">
      <c r="A2207" t="s">
        <v>4382</v>
      </c>
      <c r="B2207" t="str">
        <f>"000040"</f>
        <v>000040</v>
      </c>
      <c r="C2207" t="s">
        <v>4457</v>
      </c>
      <c r="D2207" t="s">
        <v>41</v>
      </c>
      <c r="F2207">
        <v>-165551407</v>
      </c>
      <c r="G2207">
        <v>184644621</v>
      </c>
      <c r="H2207">
        <v>-33832201</v>
      </c>
      <c r="I2207">
        <v>-4451924564</v>
      </c>
      <c r="J2207">
        <v>-2233858231</v>
      </c>
      <c r="K2207">
        <v>-2212668806</v>
      </c>
      <c r="L2207">
        <v>33607331</v>
      </c>
      <c r="M2207">
        <v>-235008699</v>
      </c>
      <c r="N2207">
        <v>-350926200</v>
      </c>
      <c r="O2207">
        <v>-156330010</v>
      </c>
      <c r="P2207">
        <v>220</v>
      </c>
      <c r="Q2207" t="s">
        <v>4458</v>
      </c>
    </row>
    <row r="2208" spans="1:17" x14ac:dyDescent="0.3">
      <c r="A2208" t="s">
        <v>4382</v>
      </c>
      <c r="B2208" t="str">
        <f>"000042"</f>
        <v>000042</v>
      </c>
      <c r="C2208" t="s">
        <v>4459</v>
      </c>
      <c r="D2208" t="s">
        <v>30</v>
      </c>
      <c r="F2208">
        <v>-272605834</v>
      </c>
      <c r="G2208">
        <v>114542439</v>
      </c>
      <c r="H2208">
        <v>615431204</v>
      </c>
      <c r="I2208">
        <v>1574075097</v>
      </c>
      <c r="J2208">
        <v>-6758897670</v>
      </c>
      <c r="K2208">
        <v>2388913859</v>
      </c>
      <c r="L2208">
        <v>-818246523</v>
      </c>
      <c r="M2208">
        <v>-269955458</v>
      </c>
      <c r="N2208">
        <v>223276872</v>
      </c>
      <c r="O2208">
        <v>207762087</v>
      </c>
      <c r="P2208">
        <v>121</v>
      </c>
      <c r="Q2208" t="s">
        <v>4460</v>
      </c>
    </row>
    <row r="2209" spans="1:17" x14ac:dyDescent="0.3">
      <c r="A2209" t="s">
        <v>4382</v>
      </c>
      <c r="B2209" t="str">
        <f>"000043"</f>
        <v>000043</v>
      </c>
      <c r="C2209" t="s">
        <v>4461</v>
      </c>
      <c r="H2209">
        <v>-409186176</v>
      </c>
      <c r="I2209">
        <v>713372537</v>
      </c>
      <c r="J2209">
        <v>1617715603</v>
      </c>
      <c r="K2209">
        <v>995987202</v>
      </c>
      <c r="L2209">
        <v>-598674597</v>
      </c>
      <c r="M2209">
        <v>-2765691128</v>
      </c>
      <c r="N2209">
        <v>-1608739473</v>
      </c>
      <c r="O2209">
        <v>-809744344</v>
      </c>
      <c r="P2209">
        <v>73</v>
      </c>
      <c r="Q2209" t="s">
        <v>4462</v>
      </c>
    </row>
    <row r="2210" spans="1:17" x14ac:dyDescent="0.3">
      <c r="A2210" t="s">
        <v>4382</v>
      </c>
      <c r="B2210" t="str">
        <f>"000045"</f>
        <v>000045</v>
      </c>
      <c r="C2210" t="s">
        <v>4463</v>
      </c>
      <c r="D2210" t="s">
        <v>150</v>
      </c>
      <c r="F2210">
        <v>-430620229</v>
      </c>
      <c r="G2210">
        <v>-462243883</v>
      </c>
      <c r="H2210">
        <v>147606874</v>
      </c>
      <c r="I2210">
        <v>-571375406</v>
      </c>
      <c r="J2210">
        <v>-368892198</v>
      </c>
      <c r="K2210">
        <v>-145170778</v>
      </c>
      <c r="L2210">
        <v>25832749</v>
      </c>
      <c r="M2210">
        <v>-109460998</v>
      </c>
      <c r="N2210">
        <v>-221006488</v>
      </c>
      <c r="O2210">
        <v>-201378697</v>
      </c>
      <c r="P2210">
        <v>86</v>
      </c>
      <c r="Q2210" t="s">
        <v>4464</v>
      </c>
    </row>
    <row r="2211" spans="1:17" x14ac:dyDescent="0.3">
      <c r="A2211" t="s">
        <v>4382</v>
      </c>
      <c r="B2211" t="str">
        <f>"000046"</f>
        <v>000046</v>
      </c>
      <c r="C2211" t="s">
        <v>4465</v>
      </c>
      <c r="D2211" t="s">
        <v>30</v>
      </c>
      <c r="F2211">
        <v>7628663660</v>
      </c>
      <c r="G2211">
        <v>216494620</v>
      </c>
      <c r="H2211">
        <v>2590694401</v>
      </c>
      <c r="I2211">
        <v>6291897115</v>
      </c>
      <c r="J2211">
        <v>-19155283930</v>
      </c>
      <c r="K2211">
        <v>-13145441515</v>
      </c>
      <c r="L2211">
        <v>2468944908</v>
      </c>
      <c r="M2211">
        <v>-731835363</v>
      </c>
      <c r="N2211">
        <v>-2743536128</v>
      </c>
      <c r="O2211">
        <v>-1337980947</v>
      </c>
      <c r="P2211">
        <v>210</v>
      </c>
      <c r="Q2211" t="s">
        <v>4466</v>
      </c>
    </row>
    <row r="2212" spans="1:17" x14ac:dyDescent="0.3">
      <c r="A2212" t="s">
        <v>4382</v>
      </c>
      <c r="B2212" t="str">
        <f>"000047"</f>
        <v>000047</v>
      </c>
      <c r="C2212" t="s">
        <v>4467</v>
      </c>
      <c r="K2212">
        <v>-13742557.369999999</v>
      </c>
      <c r="L2212">
        <v>-230293.49</v>
      </c>
      <c r="M2212">
        <v>-208919.27</v>
      </c>
      <c r="N2212">
        <v>-348110.65</v>
      </c>
      <c r="O2212">
        <v>-260483.7</v>
      </c>
      <c r="P2212">
        <v>6</v>
      </c>
      <c r="Q2212" t="s">
        <v>4468</v>
      </c>
    </row>
    <row r="2213" spans="1:17" x14ac:dyDescent="0.3">
      <c r="A2213" t="s">
        <v>4382</v>
      </c>
      <c r="B2213" t="str">
        <f>"000048"</f>
        <v>000048</v>
      </c>
      <c r="C2213" t="s">
        <v>4469</v>
      </c>
      <c r="D2213" t="s">
        <v>30</v>
      </c>
      <c r="F2213">
        <v>-1319581800</v>
      </c>
      <c r="G2213">
        <v>663783304</v>
      </c>
      <c r="H2213">
        <v>943649692</v>
      </c>
      <c r="I2213">
        <v>761619262</v>
      </c>
      <c r="J2213">
        <v>-294941200</v>
      </c>
      <c r="K2213">
        <v>-559456812</v>
      </c>
      <c r="L2213">
        <v>264412199</v>
      </c>
      <c r="M2213">
        <v>386920034</v>
      </c>
      <c r="N2213">
        <v>-155564952</v>
      </c>
      <c r="O2213">
        <v>-55696568</v>
      </c>
      <c r="P2213">
        <v>588</v>
      </c>
      <c r="Q2213" t="s">
        <v>4470</v>
      </c>
    </row>
    <row r="2214" spans="1:17" x14ac:dyDescent="0.3">
      <c r="A2214" t="s">
        <v>4382</v>
      </c>
      <c r="B2214" t="str">
        <f>"000049"</f>
        <v>000049</v>
      </c>
      <c r="C2214" t="s">
        <v>4471</v>
      </c>
      <c r="D2214" t="s">
        <v>188</v>
      </c>
      <c r="F2214">
        <v>-587858655</v>
      </c>
      <c r="G2214">
        <v>498707222</v>
      </c>
      <c r="H2214">
        <v>647862703</v>
      </c>
      <c r="I2214">
        <v>196520029</v>
      </c>
      <c r="J2214">
        <v>-354097322</v>
      </c>
      <c r="K2214">
        <v>-116237028</v>
      </c>
      <c r="L2214">
        <v>280627040</v>
      </c>
      <c r="M2214">
        <v>225719382</v>
      </c>
      <c r="N2214">
        <v>29128846</v>
      </c>
      <c r="O2214">
        <v>264790051</v>
      </c>
      <c r="P2214">
        <v>41592</v>
      </c>
      <c r="Q2214" t="s">
        <v>4472</v>
      </c>
    </row>
    <row r="2215" spans="1:17" x14ac:dyDescent="0.3">
      <c r="A2215" t="s">
        <v>4382</v>
      </c>
      <c r="B2215" t="str">
        <f>"000050"</f>
        <v>000050</v>
      </c>
      <c r="C2215" t="s">
        <v>4473</v>
      </c>
      <c r="D2215" t="s">
        <v>150</v>
      </c>
      <c r="F2215">
        <v>-1260925247</v>
      </c>
      <c r="G2215">
        <v>-3917889452</v>
      </c>
      <c r="H2215">
        <v>-2576283945</v>
      </c>
      <c r="I2215">
        <v>-1934009299</v>
      </c>
      <c r="J2215">
        <v>-4910950889</v>
      </c>
      <c r="K2215">
        <v>-1860733265</v>
      </c>
      <c r="L2215">
        <v>1029585933</v>
      </c>
      <c r="M2215">
        <v>742757327</v>
      </c>
      <c r="N2215">
        <v>294796711</v>
      </c>
      <c r="O2215">
        <v>1606692</v>
      </c>
      <c r="P2215">
        <v>621</v>
      </c>
      <c r="Q2215" t="s">
        <v>4474</v>
      </c>
    </row>
    <row r="2216" spans="1:17" x14ac:dyDescent="0.3">
      <c r="A2216" t="s">
        <v>4382</v>
      </c>
      <c r="B2216" t="str">
        <f>"000055"</f>
        <v>000055</v>
      </c>
      <c r="C2216" t="s">
        <v>4475</v>
      </c>
      <c r="D2216" t="s">
        <v>350</v>
      </c>
      <c r="F2216">
        <v>-559265345</v>
      </c>
      <c r="G2216">
        <v>71249393</v>
      </c>
      <c r="H2216">
        <v>-534125762</v>
      </c>
      <c r="I2216">
        <v>79526600</v>
      </c>
      <c r="J2216">
        <v>364175529</v>
      </c>
      <c r="K2216">
        <v>404994228</v>
      </c>
      <c r="L2216">
        <v>-405824082</v>
      </c>
      <c r="M2216">
        <v>-382414797</v>
      </c>
      <c r="N2216">
        <v>-21799856</v>
      </c>
      <c r="O2216">
        <v>-87243175</v>
      </c>
      <c r="P2216">
        <v>318</v>
      </c>
      <c r="Q2216" t="s">
        <v>4476</v>
      </c>
    </row>
    <row r="2217" spans="1:17" x14ac:dyDescent="0.3">
      <c r="A2217" t="s">
        <v>4382</v>
      </c>
      <c r="B2217" t="str">
        <f>"000056"</f>
        <v>000056</v>
      </c>
      <c r="C2217" t="s">
        <v>4477</v>
      </c>
      <c r="D2217" t="s">
        <v>30</v>
      </c>
      <c r="F2217">
        <v>323117364</v>
      </c>
      <c r="G2217">
        <v>270117089</v>
      </c>
      <c r="H2217">
        <v>407935417</v>
      </c>
      <c r="I2217">
        <v>93981123</v>
      </c>
      <c r="J2217">
        <v>-460450843</v>
      </c>
      <c r="K2217">
        <v>75359325</v>
      </c>
      <c r="L2217">
        <v>23652296</v>
      </c>
      <c r="M2217">
        <v>-383897659</v>
      </c>
      <c r="N2217">
        <v>-333871283</v>
      </c>
      <c r="O2217">
        <v>-147547559</v>
      </c>
      <c r="P2217">
        <v>100</v>
      </c>
      <c r="Q2217" t="s">
        <v>4478</v>
      </c>
    </row>
    <row r="2218" spans="1:17" x14ac:dyDescent="0.3">
      <c r="A2218" t="s">
        <v>4382</v>
      </c>
      <c r="B2218" t="str">
        <f>"000058"</f>
        <v>000058</v>
      </c>
      <c r="C2218" t="s">
        <v>4479</v>
      </c>
      <c r="D2218" t="s">
        <v>120</v>
      </c>
      <c r="F2218">
        <v>-9736495</v>
      </c>
      <c r="G2218">
        <v>140045440</v>
      </c>
      <c r="H2218">
        <v>39992372</v>
      </c>
      <c r="I2218">
        <v>22160626</v>
      </c>
      <c r="J2218">
        <v>157338174</v>
      </c>
      <c r="K2218">
        <v>-90439943</v>
      </c>
      <c r="L2218">
        <v>-60793856</v>
      </c>
      <c r="M2218">
        <v>-265632994</v>
      </c>
      <c r="N2218">
        <v>-93723558</v>
      </c>
      <c r="O2218">
        <v>-41808981</v>
      </c>
      <c r="P2218">
        <v>142</v>
      </c>
      <c r="Q2218" t="s">
        <v>4480</v>
      </c>
    </row>
    <row r="2219" spans="1:17" x14ac:dyDescent="0.3">
      <c r="A2219" t="s">
        <v>4382</v>
      </c>
      <c r="B2219" t="str">
        <f>"000059"</f>
        <v>000059</v>
      </c>
      <c r="C2219" t="s">
        <v>4481</v>
      </c>
      <c r="D2219" t="s">
        <v>70</v>
      </c>
      <c r="F2219">
        <v>-1165303550</v>
      </c>
      <c r="G2219">
        <v>-1075997340</v>
      </c>
      <c r="H2219">
        <v>832634507</v>
      </c>
      <c r="I2219">
        <v>2398618409</v>
      </c>
      <c r="J2219">
        <v>1790824293</v>
      </c>
      <c r="K2219">
        <v>2463135987</v>
      </c>
      <c r="L2219">
        <v>5532113014</v>
      </c>
      <c r="M2219">
        <v>-361254267</v>
      </c>
      <c r="N2219">
        <v>-249664621</v>
      </c>
      <c r="O2219">
        <v>-4991738784</v>
      </c>
      <c r="P2219">
        <v>387</v>
      </c>
      <c r="Q2219" t="s">
        <v>4482</v>
      </c>
    </row>
    <row r="2220" spans="1:17" x14ac:dyDescent="0.3">
      <c r="A2220" t="s">
        <v>4382</v>
      </c>
      <c r="B2220" t="str">
        <f>"000060"</f>
        <v>000060</v>
      </c>
      <c r="C2220" t="s">
        <v>4483</v>
      </c>
      <c r="D2220" t="s">
        <v>234</v>
      </c>
      <c r="F2220">
        <v>-847546541</v>
      </c>
      <c r="G2220">
        <v>-459670051</v>
      </c>
      <c r="H2220">
        <v>-257075355</v>
      </c>
      <c r="I2220">
        <v>364887415</v>
      </c>
      <c r="J2220">
        <v>837689982</v>
      </c>
      <c r="K2220">
        <v>299438859</v>
      </c>
      <c r="L2220">
        <v>-448379646</v>
      </c>
      <c r="M2220">
        <v>132844305</v>
      </c>
      <c r="N2220">
        <v>-311590652</v>
      </c>
      <c r="O2220">
        <v>-252175938</v>
      </c>
      <c r="P2220">
        <v>373</v>
      </c>
      <c r="Q2220" t="s">
        <v>4484</v>
      </c>
    </row>
    <row r="2221" spans="1:17" x14ac:dyDescent="0.3">
      <c r="A2221" t="s">
        <v>4382</v>
      </c>
      <c r="B2221" t="str">
        <f>"000061"</f>
        <v>000061</v>
      </c>
      <c r="C2221" t="s">
        <v>4485</v>
      </c>
      <c r="D2221" t="s">
        <v>120</v>
      </c>
      <c r="F2221">
        <v>314705028</v>
      </c>
      <c r="G2221">
        <v>-170512809</v>
      </c>
      <c r="H2221">
        <v>467048446</v>
      </c>
      <c r="I2221">
        <v>551098893</v>
      </c>
      <c r="J2221">
        <v>-394990660</v>
      </c>
      <c r="K2221">
        <v>-301146797</v>
      </c>
      <c r="L2221">
        <v>-877890514</v>
      </c>
      <c r="M2221">
        <v>-1098937102</v>
      </c>
      <c r="N2221">
        <v>-886687536</v>
      </c>
      <c r="O2221">
        <v>-788026143</v>
      </c>
      <c r="P2221">
        <v>209</v>
      </c>
      <c r="Q2221" t="s">
        <v>4486</v>
      </c>
    </row>
    <row r="2222" spans="1:17" x14ac:dyDescent="0.3">
      <c r="A2222" t="s">
        <v>4382</v>
      </c>
      <c r="B2222" t="str">
        <f>"000062"</f>
        <v>000062</v>
      </c>
      <c r="C2222" t="s">
        <v>4487</v>
      </c>
      <c r="D2222" t="s">
        <v>150</v>
      </c>
      <c r="F2222">
        <v>-1208739283</v>
      </c>
      <c r="G2222">
        <v>-346940631</v>
      </c>
      <c r="H2222">
        <v>487744392</v>
      </c>
      <c r="I2222">
        <v>-172420035</v>
      </c>
      <c r="J2222">
        <v>161360908</v>
      </c>
      <c r="K2222">
        <v>-188340438</v>
      </c>
      <c r="L2222">
        <v>19997648</v>
      </c>
      <c r="M2222">
        <v>183892637</v>
      </c>
      <c r="N2222">
        <v>590505086</v>
      </c>
      <c r="O2222">
        <v>-165046505</v>
      </c>
      <c r="P2222">
        <v>300</v>
      </c>
      <c r="Q2222" t="s">
        <v>4488</v>
      </c>
    </row>
    <row r="2223" spans="1:17" x14ac:dyDescent="0.3">
      <c r="A2223" t="s">
        <v>4382</v>
      </c>
      <c r="B2223" t="str">
        <f>"000063"</f>
        <v>000063</v>
      </c>
      <c r="C2223" t="s">
        <v>4489</v>
      </c>
      <c r="D2223" t="s">
        <v>100</v>
      </c>
      <c r="F2223">
        <v>6789448000</v>
      </c>
      <c r="G2223">
        <v>-643474000</v>
      </c>
      <c r="H2223">
        <v>-308514000</v>
      </c>
      <c r="I2223">
        <v>-13355432000</v>
      </c>
      <c r="J2223">
        <v>-7256026000</v>
      </c>
      <c r="K2223">
        <v>-1169988000</v>
      </c>
      <c r="L2223">
        <v>-1653831000</v>
      </c>
      <c r="M2223">
        <v>-1187520000</v>
      </c>
      <c r="N2223">
        <v>-5474511000</v>
      </c>
      <c r="O2223">
        <v>-7427121000</v>
      </c>
      <c r="P2223">
        <v>3201</v>
      </c>
      <c r="Q2223" t="s">
        <v>4490</v>
      </c>
    </row>
    <row r="2224" spans="1:17" x14ac:dyDescent="0.3">
      <c r="A2224" t="s">
        <v>4382</v>
      </c>
      <c r="B2224" t="str">
        <f>"000065"</f>
        <v>000065</v>
      </c>
      <c r="C2224" t="s">
        <v>4491</v>
      </c>
      <c r="D2224" t="s">
        <v>95</v>
      </c>
      <c r="F2224">
        <v>-1295462967</v>
      </c>
      <c r="G2224">
        <v>-1709670379</v>
      </c>
      <c r="H2224">
        <v>-1375160330</v>
      </c>
      <c r="I2224">
        <v>-404810921</v>
      </c>
      <c r="J2224">
        <v>936412951</v>
      </c>
      <c r="K2224">
        <v>95918405</v>
      </c>
      <c r="L2224">
        <v>-164565863</v>
      </c>
      <c r="M2224">
        <v>377781204</v>
      </c>
      <c r="N2224">
        <v>438953311</v>
      </c>
      <c r="O2224">
        <v>-555303736</v>
      </c>
      <c r="P2224">
        <v>394</v>
      </c>
      <c r="Q2224" t="s">
        <v>4492</v>
      </c>
    </row>
    <row r="2225" spans="1:17" x14ac:dyDescent="0.3">
      <c r="A2225" t="s">
        <v>4382</v>
      </c>
      <c r="B2225" t="str">
        <f>"000066"</f>
        <v>000066</v>
      </c>
      <c r="C2225" t="s">
        <v>4493</v>
      </c>
      <c r="D2225" t="s">
        <v>212</v>
      </c>
      <c r="F2225">
        <v>-4152514500</v>
      </c>
      <c r="G2225">
        <v>-3174817847</v>
      </c>
      <c r="H2225">
        <v>-1611019034</v>
      </c>
      <c r="I2225">
        <v>-988235690</v>
      </c>
      <c r="J2225">
        <v>-1407494607</v>
      </c>
      <c r="K2225">
        <v>650305318</v>
      </c>
      <c r="L2225">
        <v>-141275478</v>
      </c>
      <c r="M2225">
        <v>-1105820757</v>
      </c>
      <c r="N2225">
        <v>-3104002129</v>
      </c>
      <c r="O2225">
        <v>701015580</v>
      </c>
      <c r="P2225">
        <v>712</v>
      </c>
      <c r="Q2225" t="s">
        <v>4494</v>
      </c>
    </row>
    <row r="2226" spans="1:17" x14ac:dyDescent="0.3">
      <c r="A2226" t="s">
        <v>4382</v>
      </c>
      <c r="B2226" t="str">
        <f>"000068"</f>
        <v>000068</v>
      </c>
      <c r="C2226" t="s">
        <v>4495</v>
      </c>
      <c r="D2226" t="s">
        <v>33</v>
      </c>
      <c r="F2226">
        <v>-89861616</v>
      </c>
      <c r="G2226">
        <v>-134790359</v>
      </c>
      <c r="H2226">
        <v>-288623189</v>
      </c>
      <c r="I2226">
        <v>-431892677</v>
      </c>
      <c r="J2226">
        <v>-479081900</v>
      </c>
      <c r="K2226">
        <v>-79760640</v>
      </c>
      <c r="L2226">
        <v>-39108060</v>
      </c>
      <c r="M2226">
        <v>69810428</v>
      </c>
      <c r="N2226">
        <v>-200246576</v>
      </c>
      <c r="O2226">
        <v>-4796165</v>
      </c>
      <c r="P2226">
        <v>144</v>
      </c>
      <c r="Q2226" t="s">
        <v>4496</v>
      </c>
    </row>
    <row r="2227" spans="1:17" x14ac:dyDescent="0.3">
      <c r="A2227" t="s">
        <v>4382</v>
      </c>
      <c r="B2227" t="str">
        <f>"000069"</f>
        <v>000069</v>
      </c>
      <c r="C2227" t="s">
        <v>4497</v>
      </c>
      <c r="D2227" t="s">
        <v>30</v>
      </c>
      <c r="F2227">
        <v>-3133951784</v>
      </c>
      <c r="G2227">
        <v>-6841516745</v>
      </c>
      <c r="H2227">
        <v>-6208437812</v>
      </c>
      <c r="I2227">
        <v>-22318882004</v>
      </c>
      <c r="J2227">
        <v>-12974969206</v>
      </c>
      <c r="K2227">
        <v>7725076884</v>
      </c>
      <c r="L2227">
        <v>7352903864</v>
      </c>
      <c r="M2227">
        <v>-5594300857</v>
      </c>
      <c r="N2227">
        <v>3586503764</v>
      </c>
      <c r="O2227">
        <v>1671491925</v>
      </c>
      <c r="P2227">
        <v>3952</v>
      </c>
      <c r="Q2227" t="s">
        <v>4498</v>
      </c>
    </row>
    <row r="2228" spans="1:17" x14ac:dyDescent="0.3">
      <c r="A2228" t="s">
        <v>4382</v>
      </c>
      <c r="B2228" t="str">
        <f>"000070"</f>
        <v>000070</v>
      </c>
      <c r="C2228" t="s">
        <v>4499</v>
      </c>
      <c r="D2228" t="s">
        <v>100</v>
      </c>
      <c r="F2228">
        <v>-1299342624</v>
      </c>
      <c r="G2228">
        <v>-2368024744</v>
      </c>
      <c r="H2228">
        <v>-653794413</v>
      </c>
      <c r="I2228">
        <v>-1081811015</v>
      </c>
      <c r="J2228">
        <v>-613848800</v>
      </c>
      <c r="K2228">
        <v>-173149922</v>
      </c>
      <c r="L2228">
        <v>-158256701</v>
      </c>
      <c r="M2228">
        <v>-76462103</v>
      </c>
      <c r="N2228">
        <v>-98814431</v>
      </c>
      <c r="O2228">
        <v>-162570862</v>
      </c>
      <c r="P2228">
        <v>334</v>
      </c>
      <c r="Q2228" t="s">
        <v>4500</v>
      </c>
    </row>
    <row r="2229" spans="1:17" x14ac:dyDescent="0.3">
      <c r="A2229" t="s">
        <v>4382</v>
      </c>
      <c r="B2229" t="str">
        <f>"000078"</f>
        <v>000078</v>
      </c>
      <c r="C2229" t="s">
        <v>4501</v>
      </c>
      <c r="D2229" t="s">
        <v>113</v>
      </c>
      <c r="F2229">
        <v>1028112860</v>
      </c>
      <c r="G2229">
        <v>70140307</v>
      </c>
      <c r="H2229">
        <v>313848692</v>
      </c>
      <c r="I2229">
        <v>-531347053</v>
      </c>
      <c r="J2229">
        <v>-1110987516</v>
      </c>
      <c r="K2229">
        <v>-1060492696</v>
      </c>
      <c r="L2229">
        <v>-651264434</v>
      </c>
      <c r="M2229">
        <v>-307859666</v>
      </c>
      <c r="N2229">
        <v>-278200701</v>
      </c>
      <c r="O2229">
        <v>-115303727</v>
      </c>
      <c r="P2229">
        <v>291</v>
      </c>
      <c r="Q2229" t="s">
        <v>4502</v>
      </c>
    </row>
    <row r="2230" spans="1:17" x14ac:dyDescent="0.3">
      <c r="A2230" t="s">
        <v>4382</v>
      </c>
      <c r="B2230" t="str">
        <f>"000088"</f>
        <v>000088</v>
      </c>
      <c r="C2230" t="s">
        <v>4503</v>
      </c>
      <c r="D2230" t="s">
        <v>22</v>
      </c>
      <c r="F2230">
        <v>-396640188</v>
      </c>
      <c r="G2230">
        <v>-246945075</v>
      </c>
      <c r="H2230">
        <v>-196033483</v>
      </c>
      <c r="I2230">
        <v>-401781641</v>
      </c>
      <c r="J2230">
        <v>-414886934</v>
      </c>
      <c r="K2230">
        <v>-332141725</v>
      </c>
      <c r="L2230">
        <v>153538264</v>
      </c>
      <c r="M2230">
        <v>-247588501</v>
      </c>
      <c r="N2230">
        <v>82143043</v>
      </c>
      <c r="O2230">
        <v>25322151</v>
      </c>
      <c r="P2230">
        <v>170</v>
      </c>
      <c r="Q2230" t="s">
        <v>4504</v>
      </c>
    </row>
    <row r="2231" spans="1:17" x14ac:dyDescent="0.3">
      <c r="A2231" t="s">
        <v>4382</v>
      </c>
      <c r="B2231" t="str">
        <f>"000089"</f>
        <v>000089</v>
      </c>
      <c r="C2231" t="s">
        <v>4505</v>
      </c>
      <c r="D2231" t="s">
        <v>22</v>
      </c>
      <c r="F2231">
        <v>-114656990</v>
      </c>
      <c r="G2231">
        <v>-804120434</v>
      </c>
      <c r="H2231">
        <v>-817270870</v>
      </c>
      <c r="I2231">
        <v>589589679</v>
      </c>
      <c r="J2231">
        <v>598622129</v>
      </c>
      <c r="K2231">
        <v>654891013</v>
      </c>
      <c r="L2231">
        <v>770315151</v>
      </c>
      <c r="M2231">
        <v>450075095</v>
      </c>
      <c r="N2231">
        <v>-30377242</v>
      </c>
      <c r="O2231">
        <v>-924025029</v>
      </c>
      <c r="P2231">
        <v>666</v>
      </c>
      <c r="Q2231" t="s">
        <v>4506</v>
      </c>
    </row>
    <row r="2232" spans="1:17" x14ac:dyDescent="0.3">
      <c r="A2232" t="s">
        <v>4382</v>
      </c>
      <c r="B2232" t="str">
        <f>"000090"</f>
        <v>000090</v>
      </c>
      <c r="C2232" t="s">
        <v>4507</v>
      </c>
      <c r="D2232" t="s">
        <v>30</v>
      </c>
      <c r="F2232">
        <v>1457190996</v>
      </c>
      <c r="G2232">
        <v>-3508914494</v>
      </c>
      <c r="H2232">
        <v>4661544095</v>
      </c>
      <c r="I2232">
        <v>-805781430</v>
      </c>
      <c r="J2232">
        <v>-135548883</v>
      </c>
      <c r="K2232">
        <v>-414785499</v>
      </c>
      <c r="L2232">
        <v>-768017916</v>
      </c>
      <c r="M2232">
        <v>-607157887</v>
      </c>
      <c r="N2232">
        <v>1666069</v>
      </c>
      <c r="O2232">
        <v>277535079</v>
      </c>
      <c r="P2232">
        <v>424</v>
      </c>
      <c r="Q2232" t="s">
        <v>4508</v>
      </c>
    </row>
    <row r="2233" spans="1:17" x14ac:dyDescent="0.3">
      <c r="A2233" t="s">
        <v>4382</v>
      </c>
      <c r="B2233" t="str">
        <f>"000096"</f>
        <v>000096</v>
      </c>
      <c r="C2233" t="s">
        <v>4509</v>
      </c>
      <c r="D2233" t="s">
        <v>70</v>
      </c>
      <c r="F2233">
        <v>-40097501</v>
      </c>
      <c r="G2233">
        <v>-10586531</v>
      </c>
      <c r="H2233">
        <v>29971901</v>
      </c>
      <c r="I2233">
        <v>13318079</v>
      </c>
      <c r="J2233">
        <v>50712458</v>
      </c>
      <c r="K2233">
        <v>-49137666</v>
      </c>
      <c r="L2233">
        <v>45380698</v>
      </c>
      <c r="M2233">
        <v>-44802332</v>
      </c>
      <c r="N2233">
        <v>10689160</v>
      </c>
      <c r="O2233">
        <v>2090060</v>
      </c>
      <c r="P2233">
        <v>86</v>
      </c>
      <c r="Q2233" t="s">
        <v>4510</v>
      </c>
    </row>
    <row r="2234" spans="1:17" x14ac:dyDescent="0.3">
      <c r="A2234" t="s">
        <v>4382</v>
      </c>
      <c r="B2234" t="str">
        <f>"000099"</f>
        <v>000099</v>
      </c>
      <c r="C2234" t="s">
        <v>4511</v>
      </c>
      <c r="D2234" t="s">
        <v>22</v>
      </c>
      <c r="F2234">
        <v>383344582</v>
      </c>
      <c r="G2234">
        <v>641910924</v>
      </c>
      <c r="H2234">
        <v>354122202</v>
      </c>
      <c r="I2234">
        <v>-40058253</v>
      </c>
      <c r="J2234">
        <v>-445345046</v>
      </c>
      <c r="K2234">
        <v>-37749154</v>
      </c>
      <c r="L2234">
        <v>-117511853</v>
      </c>
      <c r="M2234">
        <v>-123580782</v>
      </c>
      <c r="N2234">
        <v>-646327580</v>
      </c>
      <c r="O2234">
        <v>12051522</v>
      </c>
      <c r="P2234">
        <v>166</v>
      </c>
      <c r="Q2234" t="s">
        <v>4512</v>
      </c>
    </row>
    <row r="2235" spans="1:17" x14ac:dyDescent="0.3">
      <c r="A2235" t="s">
        <v>4382</v>
      </c>
      <c r="B2235" t="str">
        <f>"000100"</f>
        <v>000100</v>
      </c>
      <c r="C2235" t="s">
        <v>4513</v>
      </c>
      <c r="D2235" t="s">
        <v>150</v>
      </c>
      <c r="F2235">
        <v>3427337991</v>
      </c>
      <c r="G2235">
        <v>-12087850586</v>
      </c>
      <c r="H2235">
        <v>-7151842347</v>
      </c>
      <c r="I2235">
        <v>-16500271584</v>
      </c>
      <c r="J2235">
        <v>-3628909533</v>
      </c>
      <c r="K2235">
        <v>-6461497426</v>
      </c>
      <c r="L2235">
        <v>-5392663440</v>
      </c>
      <c r="M2235">
        <v>-239752761</v>
      </c>
      <c r="N2235">
        <v>1507099862</v>
      </c>
      <c r="O2235">
        <v>-2845074659</v>
      </c>
      <c r="P2235">
        <v>2194</v>
      </c>
      <c r="Q2235" t="s">
        <v>4514</v>
      </c>
    </row>
    <row r="2236" spans="1:17" x14ac:dyDescent="0.3">
      <c r="A2236" t="s">
        <v>4382</v>
      </c>
      <c r="B2236" t="str">
        <f>"000150"</f>
        <v>000150</v>
      </c>
      <c r="C2236" t="s">
        <v>4515</v>
      </c>
      <c r="D2236" t="s">
        <v>113</v>
      </c>
      <c r="F2236">
        <v>-14489594</v>
      </c>
      <c r="G2236">
        <v>97467464</v>
      </c>
      <c r="H2236">
        <v>-230574326</v>
      </c>
      <c r="I2236">
        <v>-57183380</v>
      </c>
      <c r="J2236">
        <v>-637195391</v>
      </c>
      <c r="K2236">
        <v>-597448380</v>
      </c>
      <c r="L2236">
        <v>166364902</v>
      </c>
      <c r="M2236">
        <v>114005222</v>
      </c>
      <c r="N2236">
        <v>-588684110</v>
      </c>
      <c r="O2236">
        <v>-29758433</v>
      </c>
      <c r="P2236">
        <v>184</v>
      </c>
      <c r="Q2236" t="s">
        <v>4516</v>
      </c>
    </row>
    <row r="2237" spans="1:17" x14ac:dyDescent="0.3">
      <c r="A2237" t="s">
        <v>4382</v>
      </c>
      <c r="B2237" t="str">
        <f>"000151"</f>
        <v>000151</v>
      </c>
      <c r="C2237" t="s">
        <v>4517</v>
      </c>
      <c r="D2237" t="s">
        <v>120</v>
      </c>
      <c r="F2237">
        <v>-76666992</v>
      </c>
      <c r="G2237">
        <v>66921145</v>
      </c>
      <c r="H2237">
        <v>-361748369</v>
      </c>
      <c r="I2237">
        <v>-218844292</v>
      </c>
      <c r="J2237">
        <v>295152415</v>
      </c>
      <c r="K2237">
        <v>-923730576</v>
      </c>
      <c r="L2237">
        <v>-453437610</v>
      </c>
      <c r="M2237">
        <v>541886391</v>
      </c>
      <c r="N2237">
        <v>667380707</v>
      </c>
      <c r="O2237">
        <v>496100042</v>
      </c>
      <c r="P2237">
        <v>95</v>
      </c>
      <c r="Q2237" t="s">
        <v>4518</v>
      </c>
    </row>
    <row r="2238" spans="1:17" x14ac:dyDescent="0.3">
      <c r="A2238" t="s">
        <v>4382</v>
      </c>
      <c r="B2238" t="str">
        <f>"000153"</f>
        <v>000153</v>
      </c>
      <c r="C2238" t="s">
        <v>4519</v>
      </c>
      <c r="D2238" t="s">
        <v>113</v>
      </c>
      <c r="F2238">
        <v>3489386</v>
      </c>
      <c r="G2238">
        <v>-59280178</v>
      </c>
      <c r="H2238">
        <v>-11237437</v>
      </c>
      <c r="I2238">
        <v>18633726</v>
      </c>
      <c r="J2238">
        <v>26903833</v>
      </c>
      <c r="K2238">
        <v>6960043</v>
      </c>
      <c r="L2238">
        <v>-3611635</v>
      </c>
      <c r="M2238">
        <v>-115212613</v>
      </c>
      <c r="N2238">
        <v>-53459013</v>
      </c>
      <c r="O2238">
        <v>-31786543</v>
      </c>
      <c r="P2238">
        <v>118</v>
      </c>
      <c r="Q2238" t="s">
        <v>4520</v>
      </c>
    </row>
    <row r="2239" spans="1:17" x14ac:dyDescent="0.3">
      <c r="A2239" t="s">
        <v>4382</v>
      </c>
      <c r="B2239" t="str">
        <f>"000155"</f>
        <v>000155</v>
      </c>
      <c r="C2239" t="s">
        <v>4521</v>
      </c>
      <c r="D2239" t="s">
        <v>41</v>
      </c>
      <c r="F2239">
        <v>-119511037</v>
      </c>
      <c r="G2239">
        <v>-968468200</v>
      </c>
      <c r="H2239">
        <v>57176008</v>
      </c>
      <c r="I2239">
        <v>-290780436</v>
      </c>
      <c r="J2239">
        <v>-798874787</v>
      </c>
      <c r="K2239">
        <v>-297028759</v>
      </c>
      <c r="L2239">
        <v>-51059511</v>
      </c>
      <c r="M2239">
        <v>-10963197</v>
      </c>
      <c r="N2239">
        <v>-142397417</v>
      </c>
      <c r="O2239">
        <v>147669140</v>
      </c>
      <c r="P2239">
        <v>310</v>
      </c>
      <c r="Q2239" t="s">
        <v>4522</v>
      </c>
    </row>
    <row r="2240" spans="1:17" x14ac:dyDescent="0.3">
      <c r="A2240" t="s">
        <v>4382</v>
      </c>
      <c r="B2240" t="str">
        <f>"000156"</f>
        <v>000156</v>
      </c>
      <c r="C2240" t="s">
        <v>4523</v>
      </c>
      <c r="D2240" t="s">
        <v>89</v>
      </c>
      <c r="F2240">
        <v>-320392321</v>
      </c>
      <c r="G2240">
        <v>-235119628</v>
      </c>
      <c r="H2240">
        <v>85689260</v>
      </c>
      <c r="I2240">
        <v>7917690</v>
      </c>
      <c r="J2240">
        <v>-81691723</v>
      </c>
      <c r="K2240">
        <v>608842</v>
      </c>
      <c r="L2240">
        <v>-19816692</v>
      </c>
      <c r="M2240">
        <v>172008198</v>
      </c>
      <c r="N2240">
        <v>168543627</v>
      </c>
      <c r="O2240">
        <v>14204005</v>
      </c>
      <c r="P2240">
        <v>309</v>
      </c>
      <c r="Q2240" t="s">
        <v>4524</v>
      </c>
    </row>
    <row r="2241" spans="1:17" x14ac:dyDescent="0.3">
      <c r="A2241" t="s">
        <v>4382</v>
      </c>
      <c r="B2241" t="str">
        <f>"000157"</f>
        <v>000157</v>
      </c>
      <c r="C2241" t="s">
        <v>4525</v>
      </c>
      <c r="D2241" t="s">
        <v>78</v>
      </c>
      <c r="F2241">
        <v>3408584164</v>
      </c>
      <c r="G2241">
        <v>3442065566</v>
      </c>
      <c r="H2241">
        <v>4528418630</v>
      </c>
      <c r="I2241">
        <v>2757480065</v>
      </c>
      <c r="J2241">
        <v>846380625</v>
      </c>
      <c r="K2241">
        <v>87262356</v>
      </c>
      <c r="L2241">
        <v>-3465733516</v>
      </c>
      <c r="M2241">
        <v>-5864354725</v>
      </c>
      <c r="N2241">
        <v>-856082824</v>
      </c>
      <c r="O2241">
        <v>-1236649995</v>
      </c>
      <c r="P2241">
        <v>1682</v>
      </c>
      <c r="Q2241" t="s">
        <v>4526</v>
      </c>
    </row>
    <row r="2242" spans="1:17" x14ac:dyDescent="0.3">
      <c r="A2242" t="s">
        <v>4382</v>
      </c>
      <c r="B2242" t="str">
        <f>"000158"</f>
        <v>000158</v>
      </c>
      <c r="C2242" t="s">
        <v>4527</v>
      </c>
      <c r="D2242" t="s">
        <v>212</v>
      </c>
      <c r="F2242">
        <v>-541799953</v>
      </c>
      <c r="G2242">
        <v>-524825086</v>
      </c>
      <c r="H2242">
        <v>-873089944</v>
      </c>
      <c r="I2242">
        <v>-631991290</v>
      </c>
      <c r="J2242">
        <v>-185018775</v>
      </c>
      <c r="K2242">
        <v>-1326773195</v>
      </c>
      <c r="L2242">
        <v>-624507199</v>
      </c>
      <c r="M2242">
        <v>21962830</v>
      </c>
      <c r="N2242">
        <v>-103643459</v>
      </c>
      <c r="O2242">
        <v>-266017633</v>
      </c>
      <c r="P2242">
        <v>295</v>
      </c>
      <c r="Q2242" t="s">
        <v>4528</v>
      </c>
    </row>
    <row r="2243" spans="1:17" x14ac:dyDescent="0.3">
      <c r="A2243" t="s">
        <v>4382</v>
      </c>
      <c r="B2243" t="str">
        <f>"000159"</f>
        <v>000159</v>
      </c>
      <c r="C2243" t="s">
        <v>4529</v>
      </c>
      <c r="D2243" t="s">
        <v>70</v>
      </c>
      <c r="F2243">
        <v>-57097581</v>
      </c>
      <c r="G2243">
        <v>-14657194</v>
      </c>
      <c r="H2243">
        <v>-165861350</v>
      </c>
      <c r="I2243">
        <v>8295666</v>
      </c>
      <c r="J2243">
        <v>-50447648</v>
      </c>
      <c r="K2243">
        <v>-127559924</v>
      </c>
      <c r="L2243">
        <v>-196554190</v>
      </c>
      <c r="M2243">
        <v>19722814</v>
      </c>
      <c r="N2243">
        <v>-91928342</v>
      </c>
      <c r="O2243">
        <v>43649389</v>
      </c>
      <c r="P2243">
        <v>100</v>
      </c>
      <c r="Q2243" t="s">
        <v>4530</v>
      </c>
    </row>
    <row r="2244" spans="1:17" x14ac:dyDescent="0.3">
      <c r="A2244" t="s">
        <v>4382</v>
      </c>
      <c r="B2244" t="str">
        <f>"000166"</f>
        <v>000166</v>
      </c>
      <c r="C2244" t="s">
        <v>4531</v>
      </c>
      <c r="D2244" t="s">
        <v>75</v>
      </c>
      <c r="F2244">
        <v>-37391035658</v>
      </c>
      <c r="G2244">
        <v>-23144563224</v>
      </c>
      <c r="H2244">
        <v>-4143349142</v>
      </c>
      <c r="I2244">
        <v>-29566070431</v>
      </c>
      <c r="J2244">
        <v>-22193229411</v>
      </c>
      <c r="K2244">
        <v>-52297959813.800003</v>
      </c>
      <c r="L2244">
        <v>53008752235.370003</v>
      </c>
      <c r="M2244">
        <v>20332985449.279999</v>
      </c>
      <c r="N2244">
        <v>-10305209214.709999</v>
      </c>
      <c r="O2244">
        <v>-4976243366.96</v>
      </c>
      <c r="P2244">
        <v>2819</v>
      </c>
      <c r="Q2244" t="s">
        <v>4532</v>
      </c>
    </row>
    <row r="2245" spans="1:17" x14ac:dyDescent="0.3">
      <c r="A2245" t="s">
        <v>4382</v>
      </c>
      <c r="B2245" t="str">
        <f>"000301"</f>
        <v>000301</v>
      </c>
      <c r="C2245" t="s">
        <v>4533</v>
      </c>
      <c r="D2245" t="s">
        <v>70</v>
      </c>
      <c r="F2245">
        <v>-27881695334</v>
      </c>
      <c r="G2245">
        <v>-8667871793</v>
      </c>
      <c r="H2245">
        <v>-807413027</v>
      </c>
      <c r="I2245">
        <v>-987884165</v>
      </c>
      <c r="J2245">
        <v>248060883</v>
      </c>
      <c r="K2245">
        <v>535856085</v>
      </c>
      <c r="L2245">
        <v>-249325051</v>
      </c>
      <c r="M2245">
        <v>-340406874</v>
      </c>
      <c r="N2245">
        <v>327407700</v>
      </c>
      <c r="O2245">
        <v>208604719</v>
      </c>
      <c r="P2245">
        <v>396</v>
      </c>
      <c r="Q2245" t="s">
        <v>4534</v>
      </c>
    </row>
    <row r="2246" spans="1:17" x14ac:dyDescent="0.3">
      <c r="A2246" t="s">
        <v>4382</v>
      </c>
      <c r="B2246" t="str">
        <f>"000333"</f>
        <v>000333</v>
      </c>
      <c r="C2246" t="s">
        <v>4535</v>
      </c>
      <c r="D2246" t="s">
        <v>126</v>
      </c>
      <c r="F2246">
        <v>22257535000</v>
      </c>
      <c r="G2246">
        <v>21855329000</v>
      </c>
      <c r="H2246">
        <v>27007709000</v>
      </c>
      <c r="I2246">
        <v>15999443000</v>
      </c>
      <c r="J2246">
        <v>18861491000</v>
      </c>
      <c r="K2246">
        <v>17602640000</v>
      </c>
      <c r="L2246">
        <v>16285218280</v>
      </c>
      <c r="M2246">
        <v>13542932490</v>
      </c>
      <c r="N2246">
        <v>4173826950</v>
      </c>
      <c r="O2246">
        <v>513860250</v>
      </c>
      <c r="P2246">
        <v>25076</v>
      </c>
      <c r="Q2246" t="s">
        <v>4536</v>
      </c>
    </row>
    <row r="2247" spans="1:17" x14ac:dyDescent="0.3">
      <c r="A2247" t="s">
        <v>4382</v>
      </c>
      <c r="B2247" t="str">
        <f>"000338"</f>
        <v>000338</v>
      </c>
      <c r="C2247" t="s">
        <v>4537</v>
      </c>
      <c r="D2247" t="s">
        <v>27</v>
      </c>
      <c r="F2247">
        <v>-289476976</v>
      </c>
      <c r="G2247">
        <v>-1956797003</v>
      </c>
      <c r="H2247">
        <v>230637016</v>
      </c>
      <c r="I2247">
        <v>4051455065</v>
      </c>
      <c r="J2247">
        <v>4391386846</v>
      </c>
      <c r="K2247">
        <v>-983674080</v>
      </c>
      <c r="L2247">
        <v>-330115317</v>
      </c>
      <c r="M2247">
        <v>2468888916</v>
      </c>
      <c r="N2247">
        <v>-372856795</v>
      </c>
      <c r="O2247">
        <v>-1881226929</v>
      </c>
      <c r="P2247">
        <v>3423</v>
      </c>
      <c r="Q2247" t="s">
        <v>4538</v>
      </c>
    </row>
    <row r="2248" spans="1:17" x14ac:dyDescent="0.3">
      <c r="A2248" t="s">
        <v>4382</v>
      </c>
      <c r="B2248" t="str">
        <f>"000400"</f>
        <v>000400</v>
      </c>
      <c r="C2248" t="s">
        <v>4539</v>
      </c>
      <c r="D2248" t="s">
        <v>188</v>
      </c>
      <c r="F2248">
        <v>157764795</v>
      </c>
      <c r="G2248">
        <v>-176615680</v>
      </c>
      <c r="H2248">
        <v>-17281176</v>
      </c>
      <c r="I2248">
        <v>-515389219</v>
      </c>
      <c r="J2248">
        <v>-777450092</v>
      </c>
      <c r="K2248">
        <v>-134526813</v>
      </c>
      <c r="L2248">
        <v>11865406</v>
      </c>
      <c r="M2248">
        <v>-452337897</v>
      </c>
      <c r="N2248">
        <v>321401314</v>
      </c>
      <c r="O2248">
        <v>-138642463</v>
      </c>
      <c r="P2248">
        <v>688</v>
      </c>
      <c r="Q2248" t="s">
        <v>4540</v>
      </c>
    </row>
    <row r="2249" spans="1:17" x14ac:dyDescent="0.3">
      <c r="A2249" t="s">
        <v>4382</v>
      </c>
      <c r="B2249" t="str">
        <f>"000401"</f>
        <v>000401</v>
      </c>
      <c r="C2249" t="s">
        <v>4541</v>
      </c>
      <c r="D2249" t="s">
        <v>350</v>
      </c>
      <c r="F2249">
        <v>3359137735</v>
      </c>
      <c r="G2249">
        <v>5155015451</v>
      </c>
      <c r="H2249">
        <v>5160527168</v>
      </c>
      <c r="I2249">
        <v>2998979399</v>
      </c>
      <c r="J2249">
        <v>1675773298</v>
      </c>
      <c r="K2249">
        <v>2082477927</v>
      </c>
      <c r="L2249">
        <v>412414424</v>
      </c>
      <c r="M2249">
        <v>1164452994</v>
      </c>
      <c r="N2249">
        <v>89332312</v>
      </c>
      <c r="O2249">
        <v>-761283940</v>
      </c>
      <c r="P2249">
        <v>826</v>
      </c>
      <c r="Q2249" t="s">
        <v>4542</v>
      </c>
    </row>
    <row r="2250" spans="1:17" x14ac:dyDescent="0.3">
      <c r="A2250" t="s">
        <v>4382</v>
      </c>
      <c r="B2250" t="str">
        <f>"000402"</f>
        <v>000402</v>
      </c>
      <c r="C2250" t="s">
        <v>4543</v>
      </c>
      <c r="D2250" t="s">
        <v>30</v>
      </c>
      <c r="F2250">
        <v>2263059151</v>
      </c>
      <c r="G2250">
        <v>122864877</v>
      </c>
      <c r="H2250">
        <v>6945704279</v>
      </c>
      <c r="I2250">
        <v>-10347948657</v>
      </c>
      <c r="J2250">
        <v>-2690436120</v>
      </c>
      <c r="K2250">
        <v>9678894230</v>
      </c>
      <c r="L2250">
        <v>-12833046558</v>
      </c>
      <c r="M2250">
        <v>-1402277979</v>
      </c>
      <c r="N2250">
        <v>-48591139</v>
      </c>
      <c r="O2250">
        <v>-1946534760</v>
      </c>
      <c r="P2250">
        <v>974</v>
      </c>
      <c r="Q2250" t="s">
        <v>4544</v>
      </c>
    </row>
    <row r="2251" spans="1:17" x14ac:dyDescent="0.3">
      <c r="A2251" t="s">
        <v>4382</v>
      </c>
      <c r="B2251" t="str">
        <f>"000403"</f>
        <v>000403</v>
      </c>
      <c r="C2251" t="s">
        <v>4545</v>
      </c>
      <c r="D2251" t="s">
        <v>113</v>
      </c>
      <c r="F2251">
        <v>-43371073</v>
      </c>
      <c r="G2251">
        <v>-108038580</v>
      </c>
      <c r="H2251">
        <v>84259064</v>
      </c>
      <c r="I2251">
        <v>45355049</v>
      </c>
      <c r="J2251">
        <v>-53477497</v>
      </c>
      <c r="K2251">
        <v>15080314</v>
      </c>
      <c r="L2251">
        <v>31648439</v>
      </c>
      <c r="M2251">
        <v>-10885093</v>
      </c>
      <c r="N2251">
        <v>-68148997</v>
      </c>
      <c r="O2251">
        <v>-64134841</v>
      </c>
      <c r="P2251">
        <v>294</v>
      </c>
      <c r="Q2251" t="s">
        <v>4546</v>
      </c>
    </row>
    <row r="2252" spans="1:17" x14ac:dyDescent="0.3">
      <c r="A2252" t="s">
        <v>4382</v>
      </c>
      <c r="B2252" t="str">
        <f>"000404"</f>
        <v>000404</v>
      </c>
      <c r="C2252" t="s">
        <v>4547</v>
      </c>
      <c r="D2252" t="s">
        <v>126</v>
      </c>
      <c r="F2252">
        <v>813174712</v>
      </c>
      <c r="G2252">
        <v>34400382</v>
      </c>
      <c r="H2252">
        <v>790884229</v>
      </c>
      <c r="I2252">
        <v>-139963641</v>
      </c>
      <c r="J2252">
        <v>-573029495</v>
      </c>
      <c r="K2252">
        <v>-418418575</v>
      </c>
      <c r="L2252">
        <v>356859673</v>
      </c>
      <c r="M2252">
        <v>206881165</v>
      </c>
      <c r="N2252">
        <v>-427593402</v>
      </c>
      <c r="O2252">
        <v>179720251</v>
      </c>
      <c r="P2252">
        <v>113</v>
      </c>
      <c r="Q2252" t="s">
        <v>4548</v>
      </c>
    </row>
    <row r="2253" spans="1:17" x14ac:dyDescent="0.3">
      <c r="A2253" t="s">
        <v>4382</v>
      </c>
      <c r="B2253" t="str">
        <f>"000407"</f>
        <v>000407</v>
      </c>
      <c r="C2253" t="s">
        <v>4549</v>
      </c>
      <c r="D2253" t="s">
        <v>41</v>
      </c>
      <c r="F2253">
        <v>-171743556</v>
      </c>
      <c r="G2253">
        <v>-15679645</v>
      </c>
      <c r="H2253">
        <v>331590913</v>
      </c>
      <c r="I2253">
        <v>-207569573</v>
      </c>
      <c r="J2253">
        <v>-51319573</v>
      </c>
      <c r="K2253">
        <v>-2344827</v>
      </c>
      <c r="L2253">
        <v>-24576930</v>
      </c>
      <c r="M2253">
        <v>-36389880</v>
      </c>
      <c r="N2253">
        <v>-166057620</v>
      </c>
      <c r="O2253">
        <v>-27477683</v>
      </c>
      <c r="P2253">
        <v>113</v>
      </c>
      <c r="Q2253" t="s">
        <v>4550</v>
      </c>
    </row>
    <row r="2254" spans="1:17" x14ac:dyDescent="0.3">
      <c r="A2254" t="s">
        <v>4382</v>
      </c>
      <c r="B2254" t="str">
        <f>"000408"</f>
        <v>000408</v>
      </c>
      <c r="C2254" t="s">
        <v>4551</v>
      </c>
      <c r="D2254" t="s">
        <v>133</v>
      </c>
      <c r="F2254">
        <v>988831925</v>
      </c>
      <c r="G2254">
        <v>835943806</v>
      </c>
      <c r="H2254">
        <v>151375925</v>
      </c>
      <c r="I2254">
        <v>-39122673</v>
      </c>
      <c r="J2254">
        <v>-611053668</v>
      </c>
      <c r="K2254">
        <v>235866738</v>
      </c>
      <c r="L2254">
        <v>11527199</v>
      </c>
      <c r="M2254">
        <v>7647885</v>
      </c>
      <c r="N2254">
        <v>-4814385</v>
      </c>
      <c r="O2254">
        <v>5916615</v>
      </c>
      <c r="P2254">
        <v>188</v>
      </c>
      <c r="Q2254" t="s">
        <v>4552</v>
      </c>
    </row>
    <row r="2255" spans="1:17" x14ac:dyDescent="0.3">
      <c r="A2255" t="s">
        <v>4382</v>
      </c>
      <c r="B2255" t="str">
        <f>"000409"</f>
        <v>000409</v>
      </c>
      <c r="C2255" t="s">
        <v>4553</v>
      </c>
      <c r="D2255" t="s">
        <v>103</v>
      </c>
      <c r="F2255">
        <v>-24405836</v>
      </c>
      <c r="G2255">
        <v>-147308634</v>
      </c>
      <c r="H2255">
        <v>-97748665</v>
      </c>
      <c r="I2255">
        <v>-25459564</v>
      </c>
      <c r="J2255">
        <v>-197453053</v>
      </c>
      <c r="K2255">
        <v>-44794479</v>
      </c>
      <c r="L2255">
        <v>-308070250</v>
      </c>
      <c r="M2255">
        <v>-240461908</v>
      </c>
      <c r="N2255">
        <v>-61978236</v>
      </c>
      <c r="O2255">
        <v>343497</v>
      </c>
      <c r="P2255">
        <v>75</v>
      </c>
      <c r="Q2255" t="s">
        <v>4554</v>
      </c>
    </row>
    <row r="2256" spans="1:17" x14ac:dyDescent="0.3">
      <c r="A2256" t="s">
        <v>4382</v>
      </c>
      <c r="B2256" t="str">
        <f>"000410"</f>
        <v>000410</v>
      </c>
      <c r="C2256" t="s">
        <v>4555</v>
      </c>
      <c r="D2256" t="s">
        <v>78</v>
      </c>
      <c r="F2256">
        <v>-230353646</v>
      </c>
      <c r="G2256">
        <v>-538451717</v>
      </c>
      <c r="H2256">
        <v>157707019</v>
      </c>
      <c r="I2256">
        <v>-414085502</v>
      </c>
      <c r="J2256">
        <v>-256074229</v>
      </c>
      <c r="K2256">
        <v>-2130898554</v>
      </c>
      <c r="L2256">
        <v>-1980960042</v>
      </c>
      <c r="M2256">
        <v>-1131352849</v>
      </c>
      <c r="N2256">
        <v>-1011891312</v>
      </c>
      <c r="O2256">
        <v>-1247259292</v>
      </c>
      <c r="P2256">
        <v>101</v>
      </c>
      <c r="Q2256" t="s">
        <v>4556</v>
      </c>
    </row>
    <row r="2257" spans="1:17" x14ac:dyDescent="0.3">
      <c r="A2257" t="s">
        <v>4382</v>
      </c>
      <c r="B2257" t="str">
        <f>"000411"</f>
        <v>000411</v>
      </c>
      <c r="C2257" t="s">
        <v>4557</v>
      </c>
      <c r="D2257" t="s">
        <v>113</v>
      </c>
      <c r="F2257">
        <v>-566319775</v>
      </c>
      <c r="G2257">
        <v>-428083887</v>
      </c>
      <c r="H2257">
        <v>-647704353</v>
      </c>
      <c r="I2257">
        <v>-974230372</v>
      </c>
      <c r="J2257">
        <v>-1280318327</v>
      </c>
      <c r="K2257">
        <v>-974111582</v>
      </c>
      <c r="L2257">
        <v>-881193108</v>
      </c>
      <c r="M2257">
        <v>-667249770</v>
      </c>
      <c r="N2257">
        <v>-578396756</v>
      </c>
      <c r="O2257">
        <v>-479229808</v>
      </c>
      <c r="P2257">
        <v>236</v>
      </c>
      <c r="Q2257" t="s">
        <v>4558</v>
      </c>
    </row>
    <row r="2258" spans="1:17" x14ac:dyDescent="0.3">
      <c r="A2258" t="s">
        <v>4382</v>
      </c>
      <c r="B2258" t="str">
        <f>"000413"</f>
        <v>000413</v>
      </c>
      <c r="C2258" t="s">
        <v>4559</v>
      </c>
      <c r="D2258" t="s">
        <v>150</v>
      </c>
      <c r="F2258">
        <v>575749982</v>
      </c>
      <c r="G2258">
        <v>-3164465134</v>
      </c>
      <c r="H2258">
        <v>-1154415470</v>
      </c>
      <c r="I2258">
        <v>-3411272739</v>
      </c>
      <c r="J2258">
        <v>-1370136638</v>
      </c>
      <c r="K2258">
        <v>1199157391</v>
      </c>
      <c r="L2258">
        <v>407440971</v>
      </c>
      <c r="M2258">
        <v>-2808885384</v>
      </c>
      <c r="N2258">
        <v>-3685563576</v>
      </c>
      <c r="O2258">
        <v>-754789451</v>
      </c>
      <c r="P2258">
        <v>525</v>
      </c>
      <c r="Q2258" t="s">
        <v>4560</v>
      </c>
    </row>
    <row r="2259" spans="1:17" x14ac:dyDescent="0.3">
      <c r="A2259" t="s">
        <v>4382</v>
      </c>
      <c r="B2259" t="str">
        <f>"000415"</f>
        <v>000415</v>
      </c>
      <c r="C2259" t="s">
        <v>4561</v>
      </c>
      <c r="D2259" t="s">
        <v>75</v>
      </c>
      <c r="F2259">
        <v>-204754000</v>
      </c>
      <c r="G2259">
        <v>5625788000</v>
      </c>
      <c r="H2259">
        <v>10650996000</v>
      </c>
      <c r="I2259">
        <v>12277041000</v>
      </c>
      <c r="J2259">
        <v>-9871210000</v>
      </c>
      <c r="K2259">
        <v>-20629849000</v>
      </c>
      <c r="L2259">
        <v>-14506285000</v>
      </c>
      <c r="M2259">
        <v>-11143407000</v>
      </c>
      <c r="N2259">
        <v>-5964856737</v>
      </c>
      <c r="O2259">
        <v>-5489108715</v>
      </c>
      <c r="P2259">
        <v>256</v>
      </c>
      <c r="Q2259" t="s">
        <v>4562</v>
      </c>
    </row>
    <row r="2260" spans="1:17" x14ac:dyDescent="0.3">
      <c r="A2260" t="s">
        <v>4382</v>
      </c>
      <c r="B2260" t="str">
        <f>"000416"</f>
        <v>000416</v>
      </c>
      <c r="C2260" t="s">
        <v>4563</v>
      </c>
      <c r="D2260" t="s">
        <v>75</v>
      </c>
      <c r="F2260">
        <v>-10596047</v>
      </c>
      <c r="G2260">
        <v>118910751</v>
      </c>
      <c r="H2260">
        <v>-75654771</v>
      </c>
      <c r="I2260">
        <v>-113279610</v>
      </c>
      <c r="J2260">
        <v>23638968</v>
      </c>
      <c r="K2260">
        <v>-205377376</v>
      </c>
      <c r="L2260">
        <v>-33131708</v>
      </c>
      <c r="M2260">
        <v>-113064135</v>
      </c>
      <c r="N2260">
        <v>-11063023</v>
      </c>
      <c r="O2260">
        <v>14718586</v>
      </c>
      <c r="P2260">
        <v>119</v>
      </c>
      <c r="Q2260" t="s">
        <v>4564</v>
      </c>
    </row>
    <row r="2261" spans="1:17" x14ac:dyDescent="0.3">
      <c r="A2261" t="s">
        <v>4382</v>
      </c>
      <c r="B2261" t="str">
        <f>"000417"</f>
        <v>000417</v>
      </c>
      <c r="C2261" t="s">
        <v>4565</v>
      </c>
      <c r="D2261" t="s">
        <v>120</v>
      </c>
      <c r="F2261">
        <v>398221974</v>
      </c>
      <c r="G2261">
        <v>28085283</v>
      </c>
      <c r="H2261">
        <v>-1162929611</v>
      </c>
      <c r="I2261">
        <v>-1382699</v>
      </c>
      <c r="J2261">
        <v>-23470126</v>
      </c>
      <c r="K2261">
        <v>56547086</v>
      </c>
      <c r="L2261">
        <v>-76186350</v>
      </c>
      <c r="M2261">
        <v>-76359606</v>
      </c>
      <c r="N2261">
        <v>173229136</v>
      </c>
      <c r="O2261">
        <v>124435301</v>
      </c>
      <c r="P2261">
        <v>145</v>
      </c>
      <c r="Q2261" t="s">
        <v>4566</v>
      </c>
    </row>
    <row r="2262" spans="1:17" x14ac:dyDescent="0.3">
      <c r="A2262" t="s">
        <v>4382</v>
      </c>
      <c r="B2262" t="str">
        <f>"000418"</f>
        <v>000418</v>
      </c>
      <c r="C2262" t="s">
        <v>4567</v>
      </c>
      <c r="I2262">
        <v>46462708</v>
      </c>
      <c r="J2262">
        <v>586020222</v>
      </c>
      <c r="K2262">
        <v>1910894685.78</v>
      </c>
      <c r="L2262">
        <v>2510110007.4699998</v>
      </c>
      <c r="M2262">
        <v>957955749.71000004</v>
      </c>
      <c r="N2262">
        <v>867667968.17999995</v>
      </c>
      <c r="O2262">
        <v>540636110.63999999</v>
      </c>
      <c r="P2262">
        <v>653</v>
      </c>
      <c r="Q2262" t="s">
        <v>4568</v>
      </c>
    </row>
    <row r="2263" spans="1:17" x14ac:dyDescent="0.3">
      <c r="A2263" t="s">
        <v>4382</v>
      </c>
      <c r="B2263" t="str">
        <f>"000419"</f>
        <v>000419</v>
      </c>
      <c r="C2263" t="s">
        <v>4569</v>
      </c>
      <c r="D2263" t="s">
        <v>120</v>
      </c>
      <c r="F2263">
        <v>-24966284</v>
      </c>
      <c r="G2263">
        <v>87901753</v>
      </c>
      <c r="H2263">
        <v>-228681662</v>
      </c>
      <c r="I2263">
        <v>-227718768</v>
      </c>
      <c r="J2263">
        <v>-186697723</v>
      </c>
      <c r="K2263">
        <v>-311744419</v>
      </c>
      <c r="L2263">
        <v>-130733303</v>
      </c>
      <c r="M2263">
        <v>-211784373</v>
      </c>
      <c r="N2263">
        <v>-28296991</v>
      </c>
      <c r="O2263">
        <v>96791640</v>
      </c>
      <c r="P2263">
        <v>115</v>
      </c>
      <c r="Q2263" t="s">
        <v>4570</v>
      </c>
    </row>
    <row r="2264" spans="1:17" x14ac:dyDescent="0.3">
      <c r="A2264" t="s">
        <v>4382</v>
      </c>
      <c r="B2264" t="str">
        <f>"000420"</f>
        <v>000420</v>
      </c>
      <c r="C2264" t="s">
        <v>4571</v>
      </c>
      <c r="D2264" t="s">
        <v>133</v>
      </c>
      <c r="F2264">
        <v>19607031</v>
      </c>
      <c r="G2264">
        <v>-103111190</v>
      </c>
      <c r="H2264">
        <v>-273522815</v>
      </c>
      <c r="I2264">
        <v>-70671477</v>
      </c>
      <c r="J2264">
        <v>-1337083573</v>
      </c>
      <c r="K2264">
        <v>-612189084</v>
      </c>
      <c r="L2264">
        <v>-37171838</v>
      </c>
      <c r="M2264">
        <v>-238363477</v>
      </c>
      <c r="N2264">
        <v>-195289937</v>
      </c>
      <c r="O2264">
        <v>113229844</v>
      </c>
      <c r="P2264">
        <v>101</v>
      </c>
      <c r="Q2264" t="s">
        <v>4572</v>
      </c>
    </row>
    <row r="2265" spans="1:17" x14ac:dyDescent="0.3">
      <c r="A2265" t="s">
        <v>4382</v>
      </c>
      <c r="B2265" t="str">
        <f>"000421"</f>
        <v>000421</v>
      </c>
      <c r="C2265" t="s">
        <v>4573</v>
      </c>
      <c r="D2265" t="s">
        <v>41</v>
      </c>
      <c r="F2265">
        <v>1132665502</v>
      </c>
      <c r="G2265">
        <v>-2146040770</v>
      </c>
      <c r="H2265">
        <v>-488959187</v>
      </c>
      <c r="I2265">
        <v>735940984</v>
      </c>
      <c r="J2265">
        <v>1626934613</v>
      </c>
      <c r="K2265">
        <v>-574739996</v>
      </c>
      <c r="L2265">
        <v>252476254</v>
      </c>
      <c r="M2265">
        <v>183633020</v>
      </c>
      <c r="N2265">
        <v>116217466</v>
      </c>
      <c r="O2265">
        <v>170821672</v>
      </c>
      <c r="P2265">
        <v>159</v>
      </c>
      <c r="Q2265" t="s">
        <v>4574</v>
      </c>
    </row>
    <row r="2266" spans="1:17" x14ac:dyDescent="0.3">
      <c r="A2266" t="s">
        <v>4382</v>
      </c>
      <c r="B2266" t="str">
        <f>"000422"</f>
        <v>000422</v>
      </c>
      <c r="C2266" t="s">
        <v>4575</v>
      </c>
      <c r="D2266" t="s">
        <v>133</v>
      </c>
      <c r="F2266">
        <v>2479753712</v>
      </c>
      <c r="G2266">
        <v>467054591</v>
      </c>
      <c r="H2266">
        <v>1376004071</v>
      </c>
      <c r="I2266">
        <v>-987972677</v>
      </c>
      <c r="J2266">
        <v>994358137</v>
      </c>
      <c r="K2266">
        <v>1202231194</v>
      </c>
      <c r="L2266">
        <v>2305209230</v>
      </c>
      <c r="M2266">
        <v>833733511</v>
      </c>
      <c r="N2266">
        <v>-594151872</v>
      </c>
      <c r="O2266">
        <v>-1318454398</v>
      </c>
      <c r="P2266">
        <v>258</v>
      </c>
      <c r="Q2266" t="s">
        <v>4576</v>
      </c>
    </row>
    <row r="2267" spans="1:17" x14ac:dyDescent="0.3">
      <c r="A2267" t="s">
        <v>4382</v>
      </c>
      <c r="B2267" t="str">
        <f>"000423"</f>
        <v>000423</v>
      </c>
      <c r="C2267" t="s">
        <v>4577</v>
      </c>
      <c r="D2267" t="s">
        <v>113</v>
      </c>
      <c r="F2267">
        <v>2366067739</v>
      </c>
      <c r="G2267">
        <v>-52782250</v>
      </c>
      <c r="H2267">
        <v>-1338231141</v>
      </c>
      <c r="I2267">
        <v>-1391541158</v>
      </c>
      <c r="J2267">
        <v>-696022899</v>
      </c>
      <c r="K2267">
        <v>-969326808</v>
      </c>
      <c r="L2267">
        <v>-17488225</v>
      </c>
      <c r="M2267">
        <v>-423427111</v>
      </c>
      <c r="N2267">
        <v>-376557324</v>
      </c>
      <c r="O2267">
        <v>-154473692</v>
      </c>
      <c r="P2267">
        <v>24620</v>
      </c>
      <c r="Q2267" t="s">
        <v>4578</v>
      </c>
    </row>
    <row r="2268" spans="1:17" x14ac:dyDescent="0.3">
      <c r="A2268" t="s">
        <v>4382</v>
      </c>
      <c r="B2268" t="str">
        <f>"000425"</f>
        <v>000425</v>
      </c>
      <c r="C2268" t="s">
        <v>4579</v>
      </c>
      <c r="D2268" t="s">
        <v>78</v>
      </c>
      <c r="F2268">
        <v>2447541648</v>
      </c>
      <c r="G2268">
        <v>-412790353</v>
      </c>
      <c r="H2268">
        <v>2174987256</v>
      </c>
      <c r="I2268">
        <v>1160465481</v>
      </c>
      <c r="J2268">
        <v>1734859059</v>
      </c>
      <c r="K2268">
        <v>1123847004</v>
      </c>
      <c r="L2268">
        <v>-123456223</v>
      </c>
      <c r="M2268">
        <v>-581955364</v>
      </c>
      <c r="N2268">
        <v>-868716902</v>
      </c>
      <c r="O2268">
        <v>-5027069179</v>
      </c>
      <c r="P2268">
        <v>962</v>
      </c>
      <c r="Q2268" t="s">
        <v>4580</v>
      </c>
    </row>
    <row r="2269" spans="1:17" x14ac:dyDescent="0.3">
      <c r="A2269" t="s">
        <v>4382</v>
      </c>
      <c r="B2269" t="str">
        <f>"000426"</f>
        <v>000426</v>
      </c>
      <c r="C2269" t="s">
        <v>4581</v>
      </c>
      <c r="D2269" t="s">
        <v>234</v>
      </c>
      <c r="F2269">
        <v>136820176</v>
      </c>
      <c r="G2269">
        <v>84095368</v>
      </c>
      <c r="H2269">
        <v>132722450</v>
      </c>
      <c r="I2269">
        <v>499621209</v>
      </c>
      <c r="J2269">
        <v>176743599</v>
      </c>
      <c r="K2269">
        <v>-89485726</v>
      </c>
      <c r="L2269">
        <v>-109968814</v>
      </c>
      <c r="M2269">
        <v>-174745102</v>
      </c>
      <c r="N2269">
        <v>31334470</v>
      </c>
      <c r="O2269">
        <v>-135927639</v>
      </c>
      <c r="P2269">
        <v>202</v>
      </c>
      <c r="Q2269" t="s">
        <v>4582</v>
      </c>
    </row>
    <row r="2270" spans="1:17" x14ac:dyDescent="0.3">
      <c r="A2270" t="s">
        <v>4382</v>
      </c>
      <c r="B2270" t="str">
        <f>"000428"</f>
        <v>000428</v>
      </c>
      <c r="C2270" t="s">
        <v>4583</v>
      </c>
      <c r="D2270" t="s">
        <v>110</v>
      </c>
      <c r="F2270">
        <v>-60453412</v>
      </c>
      <c r="G2270">
        <v>-157746823</v>
      </c>
      <c r="H2270">
        <v>179312147</v>
      </c>
      <c r="I2270">
        <v>-61929003</v>
      </c>
      <c r="J2270">
        <v>100205919</v>
      </c>
      <c r="K2270">
        <v>-278078603</v>
      </c>
      <c r="L2270">
        <v>-226199446</v>
      </c>
      <c r="M2270">
        <v>-597678968</v>
      </c>
      <c r="N2270">
        <v>-424945394</v>
      </c>
      <c r="O2270">
        <v>-381298845</v>
      </c>
      <c r="P2270">
        <v>104</v>
      </c>
      <c r="Q2270" t="s">
        <v>4584</v>
      </c>
    </row>
    <row r="2271" spans="1:17" x14ac:dyDescent="0.3">
      <c r="A2271" t="s">
        <v>4382</v>
      </c>
      <c r="B2271" t="str">
        <f>"000429"</f>
        <v>000429</v>
      </c>
      <c r="C2271" t="s">
        <v>4585</v>
      </c>
      <c r="D2271" t="s">
        <v>22</v>
      </c>
      <c r="F2271">
        <v>2555562275</v>
      </c>
      <c r="G2271">
        <v>709850506</v>
      </c>
      <c r="H2271">
        <v>1060873125</v>
      </c>
      <c r="I2271">
        <v>1152535720</v>
      </c>
      <c r="J2271">
        <v>1388206050</v>
      </c>
      <c r="K2271">
        <v>1381936111</v>
      </c>
      <c r="L2271">
        <v>731783036</v>
      </c>
      <c r="M2271">
        <v>602963065</v>
      </c>
      <c r="N2271">
        <v>188306602</v>
      </c>
      <c r="O2271">
        <v>-288828395</v>
      </c>
      <c r="P2271">
        <v>1027</v>
      </c>
      <c r="Q2271" t="s">
        <v>4586</v>
      </c>
    </row>
    <row r="2272" spans="1:17" x14ac:dyDescent="0.3">
      <c r="A2272" t="s">
        <v>4382</v>
      </c>
      <c r="B2272" t="str">
        <f>"000430"</f>
        <v>000430</v>
      </c>
      <c r="C2272" t="s">
        <v>4587</v>
      </c>
      <c r="D2272" t="s">
        <v>110</v>
      </c>
      <c r="F2272">
        <v>-111930446</v>
      </c>
      <c r="G2272">
        <v>-258848036</v>
      </c>
      <c r="H2272">
        <v>-42072287</v>
      </c>
      <c r="I2272">
        <v>-165393298</v>
      </c>
      <c r="J2272">
        <v>-410191025</v>
      </c>
      <c r="K2272">
        <v>-380471273</v>
      </c>
      <c r="L2272">
        <v>67554261</v>
      </c>
      <c r="M2272">
        <v>-9446147</v>
      </c>
      <c r="N2272">
        <v>-19267610</v>
      </c>
      <c r="O2272">
        <v>19146684</v>
      </c>
      <c r="P2272">
        <v>109</v>
      </c>
      <c r="Q2272" t="s">
        <v>4588</v>
      </c>
    </row>
    <row r="2273" spans="1:17" x14ac:dyDescent="0.3">
      <c r="A2273" t="s">
        <v>4382</v>
      </c>
      <c r="B2273" t="str">
        <f>"000488"</f>
        <v>000488</v>
      </c>
      <c r="C2273" t="s">
        <v>4589</v>
      </c>
      <c r="D2273" t="s">
        <v>161</v>
      </c>
      <c r="F2273">
        <v>6896574715</v>
      </c>
      <c r="G2273">
        <v>7174996359</v>
      </c>
      <c r="H2273">
        <v>5704071781</v>
      </c>
      <c r="I2273">
        <v>5930904274</v>
      </c>
      <c r="J2273">
        <v>-3472216307</v>
      </c>
      <c r="K2273">
        <v>-4388801223</v>
      </c>
      <c r="L2273">
        <v>-9854114275</v>
      </c>
      <c r="M2273">
        <v>-334708084</v>
      </c>
      <c r="N2273">
        <v>-1482389115</v>
      </c>
      <c r="O2273">
        <v>-1165969037</v>
      </c>
      <c r="P2273">
        <v>1270</v>
      </c>
      <c r="Q2273" t="s">
        <v>4590</v>
      </c>
    </row>
    <row r="2274" spans="1:17" x14ac:dyDescent="0.3">
      <c r="A2274" t="s">
        <v>4382</v>
      </c>
      <c r="B2274" t="str">
        <f>"000498"</f>
        <v>000498</v>
      </c>
      <c r="C2274" t="s">
        <v>4591</v>
      </c>
      <c r="D2274" t="s">
        <v>95</v>
      </c>
      <c r="F2274">
        <v>-3461389616</v>
      </c>
      <c r="G2274">
        <v>-1315332386</v>
      </c>
      <c r="H2274">
        <v>-1095892366</v>
      </c>
      <c r="I2274">
        <v>-12761848</v>
      </c>
      <c r="J2274">
        <v>306411743</v>
      </c>
      <c r="K2274">
        <v>30973911</v>
      </c>
      <c r="L2274">
        <v>-209483365</v>
      </c>
      <c r="M2274">
        <v>-141864692</v>
      </c>
      <c r="N2274">
        <v>-98249451</v>
      </c>
      <c r="O2274">
        <v>-9148508</v>
      </c>
      <c r="P2274">
        <v>277</v>
      </c>
      <c r="Q2274" t="s">
        <v>4592</v>
      </c>
    </row>
    <row r="2275" spans="1:17" x14ac:dyDescent="0.3">
      <c r="A2275" t="s">
        <v>4382</v>
      </c>
      <c r="B2275" t="str">
        <f>"000501"</f>
        <v>000501</v>
      </c>
      <c r="C2275" t="s">
        <v>4593</v>
      </c>
      <c r="D2275" t="s">
        <v>120</v>
      </c>
      <c r="F2275">
        <v>-1301555692</v>
      </c>
      <c r="G2275">
        <v>174211132</v>
      </c>
      <c r="H2275">
        <v>10655302</v>
      </c>
      <c r="I2275">
        <v>-1061788181</v>
      </c>
      <c r="J2275">
        <v>284191012</v>
      </c>
      <c r="K2275">
        <v>467129260</v>
      </c>
      <c r="L2275">
        <v>-1851212540</v>
      </c>
      <c r="M2275">
        <v>-362033088</v>
      </c>
      <c r="N2275">
        <v>334558921</v>
      </c>
      <c r="O2275">
        <v>-28030319</v>
      </c>
      <c r="P2275">
        <v>6225</v>
      </c>
      <c r="Q2275" t="s">
        <v>4594</v>
      </c>
    </row>
    <row r="2276" spans="1:17" x14ac:dyDescent="0.3">
      <c r="A2276" t="s">
        <v>4382</v>
      </c>
      <c r="B2276" t="str">
        <f>"000502"</f>
        <v>000502</v>
      </c>
      <c r="C2276" t="s">
        <v>4595</v>
      </c>
      <c r="D2276" t="s">
        <v>30</v>
      </c>
      <c r="F2276">
        <v>-4033333</v>
      </c>
      <c r="G2276">
        <v>-11861096</v>
      </c>
      <c r="H2276">
        <v>-7971774</v>
      </c>
      <c r="I2276">
        <v>-101157531</v>
      </c>
      <c r="J2276">
        <v>-180277085</v>
      </c>
      <c r="K2276">
        <v>-76455422</v>
      </c>
      <c r="L2276">
        <v>14462196</v>
      </c>
      <c r="M2276">
        <v>457088</v>
      </c>
      <c r="N2276">
        <v>10579909</v>
      </c>
      <c r="O2276">
        <v>-99681537</v>
      </c>
      <c r="P2276">
        <v>85</v>
      </c>
      <c r="Q2276" t="s">
        <v>4596</v>
      </c>
    </row>
    <row r="2277" spans="1:17" x14ac:dyDescent="0.3">
      <c r="A2277" t="s">
        <v>4382</v>
      </c>
      <c r="B2277" t="str">
        <f>"000503"</f>
        <v>000503</v>
      </c>
      <c r="C2277" t="s">
        <v>4597</v>
      </c>
      <c r="D2277" t="s">
        <v>212</v>
      </c>
      <c r="F2277">
        <v>-158594152</v>
      </c>
      <c r="G2277">
        <v>-140950614</v>
      </c>
      <c r="H2277">
        <v>-167906374</v>
      </c>
      <c r="I2277">
        <v>35480896</v>
      </c>
      <c r="J2277">
        <v>-502507219</v>
      </c>
      <c r="K2277">
        <v>-343414021</v>
      </c>
      <c r="L2277">
        <v>-198151773</v>
      </c>
      <c r="M2277">
        <v>-92539893</v>
      </c>
      <c r="N2277">
        <v>-53700818</v>
      </c>
      <c r="O2277">
        <v>-28028994</v>
      </c>
      <c r="P2277">
        <v>174</v>
      </c>
      <c r="Q2277" t="s">
        <v>4598</v>
      </c>
    </row>
    <row r="2278" spans="1:17" x14ac:dyDescent="0.3">
      <c r="A2278" t="s">
        <v>4382</v>
      </c>
      <c r="B2278" t="str">
        <f>"000504"</f>
        <v>000504</v>
      </c>
      <c r="C2278" t="s">
        <v>4599</v>
      </c>
      <c r="D2278" t="s">
        <v>113</v>
      </c>
      <c r="F2278">
        <v>8708856</v>
      </c>
      <c r="G2278">
        <v>-7780535</v>
      </c>
      <c r="H2278">
        <v>-6109593</v>
      </c>
      <c r="I2278">
        <v>-23400526</v>
      </c>
      <c r="J2278">
        <v>5457741</v>
      </c>
      <c r="K2278">
        <v>-15549042</v>
      </c>
      <c r="L2278">
        <v>-22667518</v>
      </c>
      <c r="M2278">
        <v>-29163066</v>
      </c>
      <c r="N2278">
        <v>-3270251</v>
      </c>
      <c r="O2278">
        <v>-5003449</v>
      </c>
      <c r="P2278">
        <v>85</v>
      </c>
      <c r="Q2278" t="s">
        <v>4600</v>
      </c>
    </row>
    <row r="2279" spans="1:17" x14ac:dyDescent="0.3">
      <c r="A2279" t="s">
        <v>4382</v>
      </c>
      <c r="B2279" t="str">
        <f>"000505"</f>
        <v>000505</v>
      </c>
      <c r="C2279" t="s">
        <v>4601</v>
      </c>
      <c r="D2279" t="s">
        <v>205</v>
      </c>
      <c r="F2279">
        <v>768216256</v>
      </c>
      <c r="G2279">
        <v>-108820356</v>
      </c>
      <c r="H2279">
        <v>405169335</v>
      </c>
      <c r="I2279">
        <v>375909219</v>
      </c>
      <c r="J2279">
        <v>-1057198883</v>
      </c>
      <c r="K2279">
        <v>176814056</v>
      </c>
      <c r="L2279">
        <v>133842041</v>
      </c>
      <c r="M2279">
        <v>-250829352</v>
      </c>
      <c r="N2279">
        <v>-80594672</v>
      </c>
      <c r="O2279">
        <v>-132963285</v>
      </c>
      <c r="P2279">
        <v>193</v>
      </c>
      <c r="Q2279" t="s">
        <v>4602</v>
      </c>
    </row>
    <row r="2280" spans="1:17" x14ac:dyDescent="0.3">
      <c r="A2280" t="s">
        <v>4382</v>
      </c>
      <c r="B2280" t="str">
        <f>"000506"</f>
        <v>000506</v>
      </c>
      <c r="C2280" t="s">
        <v>4603</v>
      </c>
      <c r="D2280" t="s">
        <v>30</v>
      </c>
      <c r="F2280">
        <v>-25607947</v>
      </c>
      <c r="G2280">
        <v>-13863542</v>
      </c>
      <c r="H2280">
        <v>-26564253</v>
      </c>
      <c r="I2280">
        <v>148335781</v>
      </c>
      <c r="J2280">
        <v>23447256</v>
      </c>
      <c r="K2280">
        <v>-178887849</v>
      </c>
      <c r="L2280">
        <v>-168017557</v>
      </c>
      <c r="M2280">
        <v>-218963502</v>
      </c>
      <c r="N2280">
        <v>18564898</v>
      </c>
      <c r="O2280">
        <v>332117360</v>
      </c>
      <c r="P2280">
        <v>85</v>
      </c>
      <c r="Q2280" t="s">
        <v>4604</v>
      </c>
    </row>
    <row r="2281" spans="1:17" x14ac:dyDescent="0.3">
      <c r="A2281" t="s">
        <v>4382</v>
      </c>
      <c r="B2281" t="str">
        <f>"000507"</f>
        <v>000507</v>
      </c>
      <c r="C2281" t="s">
        <v>4605</v>
      </c>
      <c r="D2281" t="s">
        <v>22</v>
      </c>
      <c r="F2281">
        <v>245116254</v>
      </c>
      <c r="G2281">
        <v>-282109618</v>
      </c>
      <c r="H2281">
        <v>-275419849</v>
      </c>
      <c r="I2281">
        <v>-72052655</v>
      </c>
      <c r="J2281">
        <v>110512567</v>
      </c>
      <c r="K2281">
        <v>35552629</v>
      </c>
      <c r="L2281">
        <v>131276755</v>
      </c>
      <c r="M2281">
        <v>-45880168</v>
      </c>
      <c r="N2281">
        <v>37620360</v>
      </c>
      <c r="O2281">
        <v>-169721540</v>
      </c>
      <c r="P2281">
        <v>185</v>
      </c>
      <c r="Q2281" t="s">
        <v>4606</v>
      </c>
    </row>
    <row r="2282" spans="1:17" x14ac:dyDescent="0.3">
      <c r="A2282" t="s">
        <v>4382</v>
      </c>
      <c r="B2282" t="str">
        <f>"000509"</f>
        <v>000509</v>
      </c>
      <c r="C2282" t="s">
        <v>4607</v>
      </c>
      <c r="D2282" t="s">
        <v>113</v>
      </c>
      <c r="F2282">
        <v>-59804565</v>
      </c>
      <c r="G2282">
        <v>306908</v>
      </c>
      <c r="H2282">
        <v>15037340</v>
      </c>
      <c r="I2282">
        <v>-103079013</v>
      </c>
      <c r="J2282">
        <v>-14866134</v>
      </c>
      <c r="K2282">
        <v>-55826467</v>
      </c>
      <c r="L2282">
        <v>-42557457</v>
      </c>
      <c r="M2282">
        <v>-79386933</v>
      </c>
      <c r="N2282">
        <v>-17660561</v>
      </c>
      <c r="O2282">
        <v>-5094859</v>
      </c>
      <c r="P2282">
        <v>84</v>
      </c>
      <c r="Q2282" t="s">
        <v>4608</v>
      </c>
    </row>
    <row r="2283" spans="1:17" x14ac:dyDescent="0.3">
      <c r="A2283" t="s">
        <v>4382</v>
      </c>
      <c r="B2283" t="str">
        <f>"000510"</f>
        <v>000510</v>
      </c>
      <c r="C2283" t="s">
        <v>4609</v>
      </c>
      <c r="D2283" t="s">
        <v>133</v>
      </c>
      <c r="F2283">
        <v>151709882</v>
      </c>
      <c r="G2283">
        <v>-4675142</v>
      </c>
      <c r="H2283">
        <v>-33097201</v>
      </c>
      <c r="I2283">
        <v>144965293</v>
      </c>
      <c r="J2283">
        <v>6641625</v>
      </c>
      <c r="K2283">
        <v>35689336</v>
      </c>
      <c r="L2283">
        <v>-6577637</v>
      </c>
      <c r="M2283">
        <v>138362142</v>
      </c>
      <c r="N2283">
        <v>-60078001</v>
      </c>
      <c r="O2283">
        <v>35652982</v>
      </c>
      <c r="P2283">
        <v>128</v>
      </c>
      <c r="Q2283" t="s">
        <v>4610</v>
      </c>
    </row>
    <row r="2284" spans="1:17" x14ac:dyDescent="0.3">
      <c r="A2284" t="s">
        <v>4382</v>
      </c>
      <c r="B2284" t="str">
        <f>"000511"</f>
        <v>000511</v>
      </c>
      <c r="C2284" t="s">
        <v>4611</v>
      </c>
      <c r="J2284">
        <v>-350031397</v>
      </c>
      <c r="K2284">
        <v>-633830018.00999999</v>
      </c>
      <c r="L2284">
        <v>-258317111.47999999</v>
      </c>
      <c r="M2284">
        <v>131663288.06999999</v>
      </c>
      <c r="N2284">
        <v>90373688.950000003</v>
      </c>
      <c r="O2284">
        <v>323810983.16000003</v>
      </c>
      <c r="P2284">
        <v>14</v>
      </c>
      <c r="Q2284" t="s">
        <v>4612</v>
      </c>
    </row>
    <row r="2285" spans="1:17" x14ac:dyDescent="0.3">
      <c r="A2285" t="s">
        <v>4382</v>
      </c>
      <c r="B2285" t="str">
        <f>"000513"</f>
        <v>000513</v>
      </c>
      <c r="C2285" t="s">
        <v>4613</v>
      </c>
      <c r="D2285" t="s">
        <v>113</v>
      </c>
      <c r="F2285">
        <v>506233010</v>
      </c>
      <c r="G2285">
        <v>1109202905</v>
      </c>
      <c r="H2285">
        <v>1135745243</v>
      </c>
      <c r="I2285">
        <v>244297938</v>
      </c>
      <c r="J2285">
        <v>736797128</v>
      </c>
      <c r="K2285">
        <v>612223283</v>
      </c>
      <c r="L2285">
        <v>239245238</v>
      </c>
      <c r="M2285">
        <v>-143306742</v>
      </c>
      <c r="N2285">
        <v>-374907189</v>
      </c>
      <c r="O2285">
        <v>-140413779</v>
      </c>
      <c r="P2285">
        <v>1623</v>
      </c>
      <c r="Q2285" t="s">
        <v>4614</v>
      </c>
    </row>
    <row r="2286" spans="1:17" x14ac:dyDescent="0.3">
      <c r="A2286" t="s">
        <v>4382</v>
      </c>
      <c r="B2286" t="str">
        <f>"000514"</f>
        <v>000514</v>
      </c>
      <c r="C2286" t="s">
        <v>4615</v>
      </c>
      <c r="D2286" t="s">
        <v>30</v>
      </c>
      <c r="F2286">
        <v>384197964</v>
      </c>
      <c r="G2286">
        <v>-1524918246</v>
      </c>
      <c r="H2286">
        <v>201257568</v>
      </c>
      <c r="I2286">
        <v>405548571</v>
      </c>
      <c r="J2286">
        <v>591378707</v>
      </c>
      <c r="K2286">
        <v>20832749</v>
      </c>
      <c r="L2286">
        <v>-54124195</v>
      </c>
      <c r="M2286">
        <v>-348565290</v>
      </c>
      <c r="N2286">
        <v>305219624</v>
      </c>
      <c r="O2286">
        <v>-135776077</v>
      </c>
      <c r="P2286">
        <v>113</v>
      </c>
      <c r="Q2286" t="s">
        <v>4616</v>
      </c>
    </row>
    <row r="2287" spans="1:17" x14ac:dyDescent="0.3">
      <c r="A2287" t="s">
        <v>4382</v>
      </c>
      <c r="B2287" t="str">
        <f>"000516"</f>
        <v>000516</v>
      </c>
      <c r="C2287" t="s">
        <v>4617</v>
      </c>
      <c r="D2287" t="s">
        <v>113</v>
      </c>
      <c r="F2287">
        <v>-1034003549</v>
      </c>
      <c r="G2287">
        <v>-1234588425</v>
      </c>
      <c r="H2287">
        <v>-2714225803</v>
      </c>
      <c r="I2287">
        <v>-1725422021</v>
      </c>
      <c r="J2287">
        <v>-628389625</v>
      </c>
      <c r="K2287">
        <v>47836420</v>
      </c>
      <c r="L2287">
        <v>-251936141</v>
      </c>
      <c r="M2287">
        <v>36894725</v>
      </c>
      <c r="N2287">
        <v>-52904554</v>
      </c>
      <c r="O2287">
        <v>149989044</v>
      </c>
      <c r="P2287">
        <v>405</v>
      </c>
      <c r="Q2287" t="s">
        <v>4618</v>
      </c>
    </row>
    <row r="2288" spans="1:17" x14ac:dyDescent="0.3">
      <c r="A2288" t="s">
        <v>4382</v>
      </c>
      <c r="B2288" t="str">
        <f>"000517"</f>
        <v>000517</v>
      </c>
      <c r="C2288" t="s">
        <v>4619</v>
      </c>
      <c r="D2288" t="s">
        <v>30</v>
      </c>
      <c r="F2288">
        <v>-6515982245</v>
      </c>
      <c r="G2288">
        <v>-2863656657</v>
      </c>
      <c r="H2288">
        <v>-683513579</v>
      </c>
      <c r="I2288">
        <v>1357305429</v>
      </c>
      <c r="J2288">
        <v>-478841593</v>
      </c>
      <c r="K2288">
        <v>725830426</v>
      </c>
      <c r="L2288">
        <v>86057244</v>
      </c>
      <c r="M2288">
        <v>-577420513</v>
      </c>
      <c r="N2288">
        <v>922494326</v>
      </c>
      <c r="O2288">
        <v>2404204021</v>
      </c>
      <c r="P2288">
        <v>312</v>
      </c>
      <c r="Q2288" t="s">
        <v>4620</v>
      </c>
    </row>
    <row r="2289" spans="1:17" x14ac:dyDescent="0.3">
      <c r="A2289" t="s">
        <v>4382</v>
      </c>
      <c r="B2289" t="str">
        <f>"000518"</f>
        <v>000518</v>
      </c>
      <c r="C2289" t="s">
        <v>4621</v>
      </c>
      <c r="D2289" t="s">
        <v>113</v>
      </c>
      <c r="F2289">
        <v>-16324222</v>
      </c>
      <c r="G2289">
        <v>74791738</v>
      </c>
      <c r="H2289">
        <v>-5112244</v>
      </c>
      <c r="I2289">
        <v>29795536</v>
      </c>
      <c r="J2289">
        <v>-332580191</v>
      </c>
      <c r="K2289">
        <v>29429148</v>
      </c>
      <c r="L2289">
        <v>-170484776</v>
      </c>
      <c r="M2289">
        <v>-100296244</v>
      </c>
      <c r="N2289">
        <v>12551959</v>
      </c>
      <c r="O2289">
        <v>5803719</v>
      </c>
      <c r="P2289">
        <v>171</v>
      </c>
      <c r="Q2289" t="s">
        <v>4622</v>
      </c>
    </row>
    <row r="2290" spans="1:17" x14ac:dyDescent="0.3">
      <c r="A2290" t="s">
        <v>4382</v>
      </c>
      <c r="B2290" t="str">
        <f>"000519"</f>
        <v>000519</v>
      </c>
      <c r="C2290" t="s">
        <v>4623</v>
      </c>
      <c r="D2290" t="s">
        <v>92</v>
      </c>
      <c r="F2290">
        <v>7974803</v>
      </c>
      <c r="G2290">
        <v>142173023</v>
      </c>
      <c r="H2290">
        <v>-289230656</v>
      </c>
      <c r="I2290">
        <v>531222334</v>
      </c>
      <c r="J2290">
        <v>-14296413</v>
      </c>
      <c r="K2290">
        <v>-63480225</v>
      </c>
      <c r="L2290">
        <v>-217658605</v>
      </c>
      <c r="M2290">
        <v>-300526752</v>
      </c>
      <c r="N2290">
        <v>-130583945</v>
      </c>
      <c r="O2290">
        <v>-1861269</v>
      </c>
      <c r="P2290">
        <v>336</v>
      </c>
      <c r="Q2290" t="s">
        <v>4624</v>
      </c>
    </row>
    <row r="2291" spans="1:17" x14ac:dyDescent="0.3">
      <c r="A2291" t="s">
        <v>4382</v>
      </c>
      <c r="B2291" t="str">
        <f>"000520"</f>
        <v>000520</v>
      </c>
      <c r="C2291" t="s">
        <v>4625</v>
      </c>
      <c r="D2291" t="s">
        <v>22</v>
      </c>
      <c r="F2291">
        <v>41133458</v>
      </c>
      <c r="G2291">
        <v>-48057270</v>
      </c>
      <c r="H2291">
        <v>-45601192</v>
      </c>
      <c r="I2291">
        <v>-41268960</v>
      </c>
      <c r="J2291">
        <v>78370818</v>
      </c>
      <c r="K2291">
        <v>7415684</v>
      </c>
      <c r="L2291">
        <v>-13118871</v>
      </c>
      <c r="M2291">
        <v>-89165364</v>
      </c>
      <c r="N2291">
        <v>251856876</v>
      </c>
      <c r="O2291">
        <v>149139160</v>
      </c>
      <c r="P2291">
        <v>109</v>
      </c>
      <c r="Q2291" t="s">
        <v>4626</v>
      </c>
    </row>
    <row r="2292" spans="1:17" x14ac:dyDescent="0.3">
      <c r="A2292" t="s">
        <v>4382</v>
      </c>
      <c r="B2292" t="str">
        <f>"000521"</f>
        <v>000521</v>
      </c>
      <c r="C2292" t="s">
        <v>4627</v>
      </c>
      <c r="D2292" t="s">
        <v>126</v>
      </c>
      <c r="F2292">
        <v>-370894982</v>
      </c>
      <c r="G2292">
        <v>-574237220</v>
      </c>
      <c r="H2292">
        <v>-45593284</v>
      </c>
      <c r="I2292">
        <v>-177674939</v>
      </c>
      <c r="J2292">
        <v>-471309782</v>
      </c>
      <c r="K2292">
        <v>1490823300</v>
      </c>
      <c r="L2292">
        <v>912499377</v>
      </c>
      <c r="M2292">
        <v>-219879039</v>
      </c>
      <c r="N2292">
        <v>-155862658</v>
      </c>
      <c r="O2292">
        <v>-143077379</v>
      </c>
      <c r="P2292">
        <v>181</v>
      </c>
      <c r="Q2292" t="s">
        <v>4628</v>
      </c>
    </row>
    <row r="2293" spans="1:17" x14ac:dyDescent="0.3">
      <c r="A2293" t="s">
        <v>4382</v>
      </c>
      <c r="B2293" t="str">
        <f>"000522"</f>
        <v>000522</v>
      </c>
      <c r="C2293" t="s">
        <v>4629</v>
      </c>
      <c r="N2293">
        <v>974827630.28999996</v>
      </c>
      <c r="O2293">
        <v>361189140.25</v>
      </c>
      <c r="P2293">
        <v>63</v>
      </c>
      <c r="Q2293" t="s">
        <v>4630</v>
      </c>
    </row>
    <row r="2294" spans="1:17" x14ac:dyDescent="0.3">
      <c r="A2294" t="s">
        <v>4382</v>
      </c>
      <c r="B2294" t="str">
        <f>"000523"</f>
        <v>000523</v>
      </c>
      <c r="C2294" t="s">
        <v>4631</v>
      </c>
      <c r="D2294" t="s">
        <v>481</v>
      </c>
      <c r="F2294">
        <v>-96190338</v>
      </c>
      <c r="G2294">
        <v>-655196068</v>
      </c>
      <c r="H2294">
        <v>-65542382</v>
      </c>
      <c r="I2294">
        <v>-66261042</v>
      </c>
      <c r="J2294">
        <v>-86167469</v>
      </c>
      <c r="K2294">
        <v>-60305467</v>
      </c>
      <c r="L2294">
        <v>-8031323</v>
      </c>
      <c r="M2294">
        <v>-112652150</v>
      </c>
      <c r="N2294">
        <v>-140008647</v>
      </c>
      <c r="O2294">
        <v>-165671809</v>
      </c>
      <c r="P2294">
        <v>97</v>
      </c>
      <c r="Q2294" t="s">
        <v>4632</v>
      </c>
    </row>
    <row r="2295" spans="1:17" x14ac:dyDescent="0.3">
      <c r="A2295" t="s">
        <v>4382</v>
      </c>
      <c r="B2295" t="str">
        <f>"000524"</f>
        <v>000524</v>
      </c>
      <c r="C2295" t="s">
        <v>4633</v>
      </c>
      <c r="D2295" t="s">
        <v>110</v>
      </c>
      <c r="F2295">
        <v>-106039628</v>
      </c>
      <c r="G2295">
        <v>-362508447</v>
      </c>
      <c r="H2295">
        <v>247190632</v>
      </c>
      <c r="I2295">
        <v>238648484</v>
      </c>
      <c r="J2295">
        <v>455159697</v>
      </c>
      <c r="K2295">
        <v>28328047</v>
      </c>
      <c r="L2295">
        <v>26009182</v>
      </c>
      <c r="M2295">
        <v>16770639</v>
      </c>
      <c r="N2295">
        <v>24624215</v>
      </c>
      <c r="O2295">
        <v>45129217</v>
      </c>
      <c r="P2295">
        <v>156</v>
      </c>
      <c r="Q2295" t="s">
        <v>4634</v>
      </c>
    </row>
    <row r="2296" spans="1:17" x14ac:dyDescent="0.3">
      <c r="A2296" t="s">
        <v>4382</v>
      </c>
      <c r="B2296" t="str">
        <f>"000525"</f>
        <v>000525</v>
      </c>
      <c r="C2296" t="s">
        <v>4635</v>
      </c>
      <c r="D2296" t="s">
        <v>133</v>
      </c>
      <c r="F2296">
        <v>25440971</v>
      </c>
      <c r="G2296">
        <v>7887470</v>
      </c>
      <c r="H2296">
        <v>-36715309</v>
      </c>
      <c r="I2296">
        <v>155750113</v>
      </c>
      <c r="J2296">
        <v>514859825</v>
      </c>
      <c r="K2296">
        <v>135745530</v>
      </c>
      <c r="L2296">
        <v>531381896</v>
      </c>
      <c r="M2296">
        <v>737843491</v>
      </c>
      <c r="N2296">
        <v>928544124</v>
      </c>
      <c r="O2296">
        <v>201047775</v>
      </c>
      <c r="P2296">
        <v>150</v>
      </c>
      <c r="Q2296" t="s">
        <v>4636</v>
      </c>
    </row>
    <row r="2297" spans="1:17" x14ac:dyDescent="0.3">
      <c r="A2297" t="s">
        <v>4382</v>
      </c>
      <c r="B2297" t="str">
        <f>"000526"</f>
        <v>000526</v>
      </c>
      <c r="C2297" t="s">
        <v>4637</v>
      </c>
      <c r="D2297" t="s">
        <v>110</v>
      </c>
      <c r="F2297">
        <v>56864911</v>
      </c>
      <c r="G2297">
        <v>183866259</v>
      </c>
      <c r="H2297">
        <v>289892958</v>
      </c>
      <c r="I2297">
        <v>214901106</v>
      </c>
      <c r="J2297">
        <v>347789188</v>
      </c>
      <c r="K2297">
        <v>111631431</v>
      </c>
      <c r="L2297">
        <v>-584106</v>
      </c>
      <c r="M2297">
        <v>-42095674</v>
      </c>
      <c r="N2297">
        <v>31966296</v>
      </c>
      <c r="O2297">
        <v>2819467</v>
      </c>
      <c r="P2297">
        <v>201</v>
      </c>
      <c r="Q2297" t="s">
        <v>4638</v>
      </c>
    </row>
    <row r="2298" spans="1:17" x14ac:dyDescent="0.3">
      <c r="A2298" t="s">
        <v>4382</v>
      </c>
      <c r="B2298" t="str">
        <f>"000527"</f>
        <v>000527</v>
      </c>
      <c r="C2298" t="s">
        <v>4639</v>
      </c>
      <c r="O2298">
        <v>-610621600</v>
      </c>
      <c r="P2298">
        <v>296</v>
      </c>
      <c r="Q2298" t="s">
        <v>4640</v>
      </c>
    </row>
    <row r="2299" spans="1:17" x14ac:dyDescent="0.3">
      <c r="A2299" t="s">
        <v>4382</v>
      </c>
      <c r="B2299" t="str">
        <f>"000528"</f>
        <v>000528</v>
      </c>
      <c r="C2299" t="s">
        <v>4641</v>
      </c>
      <c r="D2299" t="s">
        <v>78</v>
      </c>
      <c r="F2299">
        <v>23743783</v>
      </c>
      <c r="G2299">
        <v>-1237373801</v>
      </c>
      <c r="H2299">
        <v>855274568</v>
      </c>
      <c r="I2299">
        <v>-608141185</v>
      </c>
      <c r="J2299">
        <v>877971547</v>
      </c>
      <c r="K2299">
        <v>1200976541</v>
      </c>
      <c r="L2299">
        <v>52535739</v>
      </c>
      <c r="M2299">
        <v>588625802</v>
      </c>
      <c r="N2299">
        <v>-208170435</v>
      </c>
      <c r="O2299">
        <v>908067081</v>
      </c>
      <c r="P2299">
        <v>481</v>
      </c>
      <c r="Q2299" t="s">
        <v>4642</v>
      </c>
    </row>
    <row r="2300" spans="1:17" x14ac:dyDescent="0.3">
      <c r="A2300" t="s">
        <v>4382</v>
      </c>
      <c r="B2300" t="str">
        <f>"000529"</f>
        <v>000529</v>
      </c>
      <c r="C2300" t="s">
        <v>4643</v>
      </c>
      <c r="D2300" t="s">
        <v>89</v>
      </c>
      <c r="F2300">
        <v>-188985092</v>
      </c>
      <c r="G2300">
        <v>239684774</v>
      </c>
      <c r="H2300">
        <v>-51336229</v>
      </c>
      <c r="I2300">
        <v>-68934072</v>
      </c>
      <c r="J2300">
        <v>47287125</v>
      </c>
      <c r="K2300">
        <v>107726564</v>
      </c>
      <c r="L2300">
        <v>15781610</v>
      </c>
      <c r="M2300">
        <v>-1866425</v>
      </c>
      <c r="N2300">
        <v>-109778568</v>
      </c>
      <c r="O2300">
        <v>-50195633</v>
      </c>
      <c r="P2300">
        <v>299</v>
      </c>
      <c r="Q2300" t="s">
        <v>4644</v>
      </c>
    </row>
    <row r="2301" spans="1:17" x14ac:dyDescent="0.3">
      <c r="A2301" t="s">
        <v>4382</v>
      </c>
      <c r="B2301" t="str">
        <f>"000530"</f>
        <v>000530</v>
      </c>
      <c r="C2301" t="s">
        <v>4645</v>
      </c>
      <c r="D2301" t="s">
        <v>78</v>
      </c>
      <c r="F2301">
        <v>-3401385</v>
      </c>
      <c r="G2301">
        <v>-105427356</v>
      </c>
      <c r="H2301">
        <v>-112655866</v>
      </c>
      <c r="I2301">
        <v>-288968461</v>
      </c>
      <c r="J2301">
        <v>-303569467</v>
      </c>
      <c r="K2301">
        <v>-299106623</v>
      </c>
      <c r="L2301">
        <v>-209223116</v>
      </c>
      <c r="M2301">
        <v>-26381143</v>
      </c>
      <c r="N2301">
        <v>10706344</v>
      </c>
      <c r="O2301">
        <v>-87285106</v>
      </c>
      <c r="P2301">
        <v>129</v>
      </c>
      <c r="Q2301" t="s">
        <v>4646</v>
      </c>
    </row>
    <row r="2302" spans="1:17" x14ac:dyDescent="0.3">
      <c r="A2302" t="s">
        <v>4382</v>
      </c>
      <c r="B2302" t="str">
        <f>"000531"</f>
        <v>000531</v>
      </c>
      <c r="C2302" t="s">
        <v>4647</v>
      </c>
      <c r="D2302" t="s">
        <v>41</v>
      </c>
      <c r="F2302">
        <v>-501307705</v>
      </c>
      <c r="G2302">
        <v>28798282</v>
      </c>
      <c r="H2302">
        <v>400636681</v>
      </c>
      <c r="I2302">
        <v>259132794</v>
      </c>
      <c r="J2302">
        <v>131155875</v>
      </c>
      <c r="K2302">
        <v>512116108</v>
      </c>
      <c r="L2302">
        <v>70907092</v>
      </c>
      <c r="M2302">
        <v>315213810</v>
      </c>
      <c r="N2302">
        <v>1110386562</v>
      </c>
      <c r="O2302">
        <v>1473139467</v>
      </c>
      <c r="P2302">
        <v>277</v>
      </c>
      <c r="Q2302" t="s">
        <v>4648</v>
      </c>
    </row>
    <row r="2303" spans="1:17" x14ac:dyDescent="0.3">
      <c r="A2303" t="s">
        <v>4382</v>
      </c>
      <c r="B2303" t="str">
        <f>"000532"</f>
        <v>000532</v>
      </c>
      <c r="C2303" t="s">
        <v>4649</v>
      </c>
      <c r="D2303" t="s">
        <v>75</v>
      </c>
      <c r="F2303">
        <v>-84422453</v>
      </c>
      <c r="G2303">
        <v>-32997175</v>
      </c>
      <c r="H2303">
        <v>-25406831</v>
      </c>
      <c r="I2303">
        <v>39141258</v>
      </c>
      <c r="J2303">
        <v>87775671</v>
      </c>
      <c r="K2303">
        <v>44561470</v>
      </c>
      <c r="L2303">
        <v>-10738372</v>
      </c>
      <c r="M2303">
        <v>-39142796</v>
      </c>
      <c r="N2303">
        <v>-27137280</v>
      </c>
      <c r="O2303">
        <v>16921975</v>
      </c>
      <c r="P2303">
        <v>140</v>
      </c>
      <c r="Q2303" t="s">
        <v>4650</v>
      </c>
    </row>
    <row r="2304" spans="1:17" x14ac:dyDescent="0.3">
      <c r="A2304" t="s">
        <v>4382</v>
      </c>
      <c r="B2304" t="str">
        <f>"000533"</f>
        <v>000533</v>
      </c>
      <c r="C2304" t="s">
        <v>4651</v>
      </c>
      <c r="D2304" t="s">
        <v>188</v>
      </c>
      <c r="F2304">
        <v>-5806074</v>
      </c>
      <c r="G2304">
        <v>18978471</v>
      </c>
      <c r="H2304">
        <v>96843668</v>
      </c>
      <c r="I2304">
        <v>-65241930</v>
      </c>
      <c r="J2304">
        <v>-354790300</v>
      </c>
      <c r="K2304">
        <v>35680709</v>
      </c>
      <c r="L2304">
        <v>348726547</v>
      </c>
      <c r="M2304">
        <v>-24136947</v>
      </c>
      <c r="N2304">
        <v>17790851</v>
      </c>
      <c r="O2304">
        <v>-165616246</v>
      </c>
      <c r="P2304">
        <v>101</v>
      </c>
      <c r="Q2304" t="s">
        <v>4652</v>
      </c>
    </row>
    <row r="2305" spans="1:17" x14ac:dyDescent="0.3">
      <c r="A2305" t="s">
        <v>4382</v>
      </c>
      <c r="B2305" t="str">
        <f>"000534"</f>
        <v>000534</v>
      </c>
      <c r="C2305" t="s">
        <v>4653</v>
      </c>
      <c r="D2305" t="s">
        <v>113</v>
      </c>
      <c r="F2305">
        <v>-120144491</v>
      </c>
      <c r="G2305">
        <v>-302164590</v>
      </c>
      <c r="H2305">
        <v>-399677001</v>
      </c>
      <c r="I2305">
        <v>-683890368</v>
      </c>
      <c r="J2305">
        <v>147786152</v>
      </c>
      <c r="K2305">
        <v>-490237675</v>
      </c>
      <c r="L2305">
        <v>56208480</v>
      </c>
      <c r="M2305">
        <v>80383642</v>
      </c>
      <c r="N2305">
        <v>78314858</v>
      </c>
      <c r="O2305">
        <v>-21107943</v>
      </c>
      <c r="P2305">
        <v>120</v>
      </c>
      <c r="Q2305" t="s">
        <v>4654</v>
      </c>
    </row>
    <row r="2306" spans="1:17" x14ac:dyDescent="0.3">
      <c r="A2306" t="s">
        <v>4382</v>
      </c>
      <c r="B2306" t="str">
        <f>"000536"</f>
        <v>000536</v>
      </c>
      <c r="C2306" t="s">
        <v>4655</v>
      </c>
      <c r="D2306" t="s">
        <v>150</v>
      </c>
      <c r="F2306">
        <v>360297601</v>
      </c>
      <c r="G2306">
        <v>-17858139</v>
      </c>
      <c r="H2306">
        <v>-495262830</v>
      </c>
      <c r="I2306">
        <v>-2283221188</v>
      </c>
      <c r="J2306">
        <v>-5538614766</v>
      </c>
      <c r="K2306">
        <v>-979776520</v>
      </c>
      <c r="L2306">
        <v>896879093</v>
      </c>
      <c r="M2306">
        <v>684482817</v>
      </c>
      <c r="N2306">
        <v>-165080096</v>
      </c>
      <c r="O2306">
        <v>31929623</v>
      </c>
      <c r="P2306">
        <v>142</v>
      </c>
      <c r="Q2306" t="s">
        <v>4656</v>
      </c>
    </row>
    <row r="2307" spans="1:17" x14ac:dyDescent="0.3">
      <c r="A2307" t="s">
        <v>4382</v>
      </c>
      <c r="B2307" t="str">
        <f>"000537"</f>
        <v>000537</v>
      </c>
      <c r="C2307" t="s">
        <v>4657</v>
      </c>
      <c r="D2307" t="s">
        <v>30</v>
      </c>
      <c r="F2307">
        <v>426122880</v>
      </c>
      <c r="G2307">
        <v>-2559057790</v>
      </c>
      <c r="H2307">
        <v>-2548465060</v>
      </c>
      <c r="I2307">
        <v>3191974886</v>
      </c>
      <c r="J2307">
        <v>2341019953</v>
      </c>
      <c r="K2307">
        <v>-3722196113</v>
      </c>
      <c r="L2307">
        <v>-1920388341</v>
      </c>
      <c r="M2307">
        <v>23589275</v>
      </c>
      <c r="N2307">
        <v>574041170</v>
      </c>
      <c r="O2307">
        <v>489566238</v>
      </c>
      <c r="P2307">
        <v>604</v>
      </c>
      <c r="Q2307" t="s">
        <v>4658</v>
      </c>
    </row>
    <row r="2308" spans="1:17" x14ac:dyDescent="0.3">
      <c r="A2308" t="s">
        <v>4382</v>
      </c>
      <c r="B2308" t="str">
        <f>"000538"</f>
        <v>000538</v>
      </c>
      <c r="C2308" t="s">
        <v>4659</v>
      </c>
      <c r="D2308" t="s">
        <v>113</v>
      </c>
      <c r="F2308">
        <v>5960236677</v>
      </c>
      <c r="G2308">
        <v>3150514624</v>
      </c>
      <c r="H2308">
        <v>-440133245</v>
      </c>
      <c r="I2308">
        <v>1724628812</v>
      </c>
      <c r="J2308">
        <v>1128830506</v>
      </c>
      <c r="K2308">
        <v>2738300689</v>
      </c>
      <c r="L2308">
        <v>1800108188</v>
      </c>
      <c r="M2308">
        <v>1280445662</v>
      </c>
      <c r="N2308">
        <v>373323241</v>
      </c>
      <c r="O2308">
        <v>406717606</v>
      </c>
      <c r="P2308">
        <v>30718</v>
      </c>
      <c r="Q2308" t="s">
        <v>4660</v>
      </c>
    </row>
    <row r="2309" spans="1:17" x14ac:dyDescent="0.3">
      <c r="A2309" t="s">
        <v>4382</v>
      </c>
      <c r="B2309" t="str">
        <f>"000539"</f>
        <v>000539</v>
      </c>
      <c r="C2309" t="s">
        <v>4661</v>
      </c>
      <c r="D2309" t="s">
        <v>41</v>
      </c>
      <c r="F2309">
        <v>-1130172049</v>
      </c>
      <c r="G2309">
        <v>1286238171</v>
      </c>
      <c r="H2309">
        <v>3773325308</v>
      </c>
      <c r="I2309">
        <v>3034583437</v>
      </c>
      <c r="J2309">
        <v>1045141487</v>
      </c>
      <c r="K2309">
        <v>5740091550</v>
      </c>
      <c r="L2309">
        <v>5226703073</v>
      </c>
      <c r="M2309">
        <v>3405463764</v>
      </c>
      <c r="N2309">
        <v>5330253437</v>
      </c>
      <c r="O2309">
        <v>1346776524</v>
      </c>
      <c r="P2309">
        <v>203</v>
      </c>
      <c r="Q2309" t="s">
        <v>4662</v>
      </c>
    </row>
    <row r="2310" spans="1:17" x14ac:dyDescent="0.3">
      <c r="A2310" t="s">
        <v>4382</v>
      </c>
      <c r="B2310" t="str">
        <f>"000540"</f>
        <v>000540</v>
      </c>
      <c r="C2310" t="s">
        <v>4663</v>
      </c>
      <c r="D2310" t="s">
        <v>30</v>
      </c>
      <c r="F2310">
        <v>15342358206</v>
      </c>
      <c r="G2310">
        <v>11364087729</v>
      </c>
      <c r="H2310">
        <v>8937702683</v>
      </c>
      <c r="I2310">
        <v>-5213352988</v>
      </c>
      <c r="J2310">
        <v>-3823823562</v>
      </c>
      <c r="K2310">
        <v>373373137</v>
      </c>
      <c r="L2310">
        <v>-1992449391</v>
      </c>
      <c r="M2310">
        <v>826246176</v>
      </c>
      <c r="N2310">
        <v>-43182254</v>
      </c>
      <c r="O2310">
        <v>-1784314264</v>
      </c>
      <c r="P2310">
        <v>5239</v>
      </c>
      <c r="Q2310" t="s">
        <v>4664</v>
      </c>
    </row>
    <row r="2311" spans="1:17" x14ac:dyDescent="0.3">
      <c r="A2311" t="s">
        <v>4382</v>
      </c>
      <c r="B2311" t="str">
        <f>"000541"</f>
        <v>000541</v>
      </c>
      <c r="C2311" t="s">
        <v>4665</v>
      </c>
      <c r="D2311" t="s">
        <v>126</v>
      </c>
      <c r="F2311">
        <v>-244242066</v>
      </c>
      <c r="G2311">
        <v>297709926</v>
      </c>
      <c r="H2311">
        <v>302493033</v>
      </c>
      <c r="I2311">
        <v>374133077</v>
      </c>
      <c r="J2311">
        <v>-279497665</v>
      </c>
      <c r="K2311">
        <v>255198483</v>
      </c>
      <c r="L2311">
        <v>91706250</v>
      </c>
      <c r="M2311">
        <v>97633727</v>
      </c>
      <c r="N2311">
        <v>-21466538</v>
      </c>
      <c r="O2311">
        <v>278091715</v>
      </c>
      <c r="P2311">
        <v>437</v>
      </c>
      <c r="Q2311" t="s">
        <v>4666</v>
      </c>
    </row>
    <row r="2312" spans="1:17" x14ac:dyDescent="0.3">
      <c r="A2312" t="s">
        <v>4382</v>
      </c>
      <c r="B2312" t="str">
        <f>"000543"</f>
        <v>000543</v>
      </c>
      <c r="C2312" t="s">
        <v>4667</v>
      </c>
      <c r="D2312" t="s">
        <v>41</v>
      </c>
      <c r="F2312">
        <v>-627577221</v>
      </c>
      <c r="G2312">
        <v>1404910124</v>
      </c>
      <c r="H2312">
        <v>1570895106</v>
      </c>
      <c r="I2312">
        <v>399453237</v>
      </c>
      <c r="J2312">
        <v>-798619011</v>
      </c>
      <c r="K2312">
        <v>586098017</v>
      </c>
      <c r="L2312">
        <v>2472866463</v>
      </c>
      <c r="M2312">
        <v>2016345150</v>
      </c>
      <c r="N2312">
        <v>1762760678</v>
      </c>
      <c r="O2312">
        <v>-17510138</v>
      </c>
      <c r="P2312">
        <v>322</v>
      </c>
      <c r="Q2312" t="s">
        <v>4668</v>
      </c>
    </row>
    <row r="2313" spans="1:17" x14ac:dyDescent="0.3">
      <c r="A2313" t="s">
        <v>4382</v>
      </c>
      <c r="B2313" t="str">
        <f>"000544"</f>
        <v>000544</v>
      </c>
      <c r="C2313" t="s">
        <v>4669</v>
      </c>
      <c r="D2313" t="s">
        <v>33</v>
      </c>
      <c r="F2313">
        <v>-1949827839</v>
      </c>
      <c r="G2313">
        <v>-1154530392</v>
      </c>
      <c r="H2313">
        <v>-461914961</v>
      </c>
      <c r="I2313">
        <v>-256103793</v>
      </c>
      <c r="J2313">
        <v>-67734137</v>
      </c>
      <c r="K2313">
        <v>-67734778</v>
      </c>
      <c r="L2313">
        <v>172398013</v>
      </c>
      <c r="M2313">
        <v>-232237561</v>
      </c>
      <c r="N2313">
        <v>-334385454</v>
      </c>
      <c r="O2313">
        <v>-201379841</v>
      </c>
      <c r="P2313">
        <v>247</v>
      </c>
      <c r="Q2313" t="s">
        <v>4670</v>
      </c>
    </row>
    <row r="2314" spans="1:17" x14ac:dyDescent="0.3">
      <c r="A2314" t="s">
        <v>4382</v>
      </c>
      <c r="B2314" t="str">
        <f>"000545"</f>
        <v>000545</v>
      </c>
      <c r="C2314" t="s">
        <v>4671</v>
      </c>
      <c r="D2314" t="s">
        <v>133</v>
      </c>
      <c r="F2314">
        <v>-95805201</v>
      </c>
      <c r="G2314">
        <v>80465167</v>
      </c>
      <c r="H2314">
        <v>-18882758</v>
      </c>
      <c r="I2314">
        <v>-466892828</v>
      </c>
      <c r="J2314">
        <v>74591702</v>
      </c>
      <c r="K2314">
        <v>-316639501</v>
      </c>
      <c r="L2314">
        <v>-119826102</v>
      </c>
      <c r="M2314">
        <v>-42763091</v>
      </c>
      <c r="N2314">
        <v>61960448</v>
      </c>
      <c r="O2314">
        <v>773012</v>
      </c>
      <c r="P2314">
        <v>106</v>
      </c>
      <c r="Q2314" t="s">
        <v>4672</v>
      </c>
    </row>
    <row r="2315" spans="1:17" x14ac:dyDescent="0.3">
      <c r="A2315" t="s">
        <v>4382</v>
      </c>
      <c r="B2315" t="str">
        <f>"000546"</f>
        <v>000546</v>
      </c>
      <c r="C2315" t="s">
        <v>4673</v>
      </c>
      <c r="D2315" t="s">
        <v>350</v>
      </c>
      <c r="F2315">
        <v>55386058</v>
      </c>
      <c r="G2315">
        <v>180011282</v>
      </c>
      <c r="H2315">
        <v>162559204</v>
      </c>
      <c r="I2315">
        <v>162888840</v>
      </c>
      <c r="J2315">
        <v>-130360942</v>
      </c>
      <c r="K2315">
        <v>-232215605</v>
      </c>
      <c r="L2315">
        <v>-181801648</v>
      </c>
      <c r="M2315">
        <v>9086490</v>
      </c>
      <c r="N2315">
        <v>-25176232</v>
      </c>
      <c r="O2315">
        <v>29665809</v>
      </c>
      <c r="P2315">
        <v>181</v>
      </c>
      <c r="Q2315" t="s">
        <v>4674</v>
      </c>
    </row>
    <row r="2316" spans="1:17" x14ac:dyDescent="0.3">
      <c r="A2316" t="s">
        <v>4382</v>
      </c>
      <c r="B2316" t="str">
        <f>"000547"</f>
        <v>000547</v>
      </c>
      <c r="C2316" t="s">
        <v>4675</v>
      </c>
      <c r="D2316" t="s">
        <v>92</v>
      </c>
      <c r="F2316">
        <v>-823055020</v>
      </c>
      <c r="G2316">
        <v>-590002426</v>
      </c>
      <c r="H2316">
        <v>-979293078</v>
      </c>
      <c r="I2316">
        <v>-683937037</v>
      </c>
      <c r="J2316">
        <v>-434864736</v>
      </c>
      <c r="K2316">
        <v>-287855630</v>
      </c>
      <c r="L2316">
        <v>-199705858</v>
      </c>
      <c r="M2316">
        <v>35104937</v>
      </c>
      <c r="N2316">
        <v>-135638014</v>
      </c>
      <c r="O2316">
        <v>-12608326</v>
      </c>
      <c r="P2316">
        <v>612</v>
      </c>
      <c r="Q2316" t="s">
        <v>4676</v>
      </c>
    </row>
    <row r="2317" spans="1:17" x14ac:dyDescent="0.3">
      <c r="A2317" t="s">
        <v>4382</v>
      </c>
      <c r="B2317" t="str">
        <f>"000548"</f>
        <v>000548</v>
      </c>
      <c r="C2317" t="s">
        <v>4677</v>
      </c>
      <c r="D2317" t="s">
        <v>22</v>
      </c>
      <c r="F2317">
        <v>-428531733</v>
      </c>
      <c r="G2317">
        <v>-180954391</v>
      </c>
      <c r="H2317">
        <v>-67592005</v>
      </c>
      <c r="I2317">
        <v>-22324176</v>
      </c>
      <c r="J2317">
        <v>239635318</v>
      </c>
      <c r="K2317">
        <v>387622122</v>
      </c>
      <c r="L2317">
        <v>92943165</v>
      </c>
      <c r="M2317">
        <v>-4264140</v>
      </c>
      <c r="N2317">
        <v>45995972</v>
      </c>
      <c r="O2317">
        <v>-83371640</v>
      </c>
      <c r="P2317">
        <v>90</v>
      </c>
      <c r="Q2317" t="s">
        <v>4678</v>
      </c>
    </row>
    <row r="2318" spans="1:17" x14ac:dyDescent="0.3">
      <c r="A2318" t="s">
        <v>4382</v>
      </c>
      <c r="B2318" t="str">
        <f>"000550"</f>
        <v>000550</v>
      </c>
      <c r="C2318" t="s">
        <v>4679</v>
      </c>
      <c r="D2318" t="s">
        <v>27</v>
      </c>
      <c r="F2318">
        <v>-1320679196</v>
      </c>
      <c r="G2318">
        <v>-15549605</v>
      </c>
      <c r="H2318">
        <v>44078500</v>
      </c>
      <c r="I2318">
        <v>-3156363281</v>
      </c>
      <c r="J2318">
        <v>-2018214595</v>
      </c>
      <c r="K2318">
        <v>1236995639</v>
      </c>
      <c r="L2318">
        <v>-1350809276</v>
      </c>
      <c r="M2318">
        <v>749815878</v>
      </c>
      <c r="N2318">
        <v>1433003146</v>
      </c>
      <c r="O2318">
        <v>213730197</v>
      </c>
      <c r="P2318">
        <v>595</v>
      </c>
      <c r="Q2318" t="s">
        <v>4680</v>
      </c>
    </row>
    <row r="2319" spans="1:17" x14ac:dyDescent="0.3">
      <c r="A2319" t="s">
        <v>4382</v>
      </c>
      <c r="B2319" t="str">
        <f>"000551"</f>
        <v>000551</v>
      </c>
      <c r="C2319" t="s">
        <v>4681</v>
      </c>
      <c r="D2319" t="s">
        <v>33</v>
      </c>
      <c r="F2319">
        <v>-81699454</v>
      </c>
      <c r="G2319">
        <v>4019013</v>
      </c>
      <c r="H2319">
        <v>42466245</v>
      </c>
      <c r="I2319">
        <v>25087679</v>
      </c>
      <c r="J2319">
        <v>10305509</v>
      </c>
      <c r="K2319">
        <v>55386850</v>
      </c>
      <c r="L2319">
        <v>27992644</v>
      </c>
      <c r="M2319">
        <v>-29528415</v>
      </c>
      <c r="N2319">
        <v>17039896</v>
      </c>
      <c r="O2319">
        <v>-92131588</v>
      </c>
      <c r="P2319">
        <v>122</v>
      </c>
      <c r="Q2319" t="s">
        <v>4682</v>
      </c>
    </row>
    <row r="2320" spans="1:17" x14ac:dyDescent="0.3">
      <c r="A2320" t="s">
        <v>4382</v>
      </c>
      <c r="B2320" t="str">
        <f>"000552"</f>
        <v>000552</v>
      </c>
      <c r="C2320" t="s">
        <v>4683</v>
      </c>
      <c r="D2320" t="s">
        <v>257</v>
      </c>
      <c r="F2320">
        <v>1289183496</v>
      </c>
      <c r="G2320">
        <v>495891306</v>
      </c>
      <c r="H2320">
        <v>444900532</v>
      </c>
      <c r="I2320">
        <v>305495075</v>
      </c>
      <c r="J2320">
        <v>252633515</v>
      </c>
      <c r="K2320">
        <v>10562013</v>
      </c>
      <c r="L2320">
        <v>-1772326521</v>
      </c>
      <c r="M2320">
        <v>-309314504</v>
      </c>
      <c r="N2320">
        <v>125870134</v>
      </c>
      <c r="O2320">
        <v>-657181766</v>
      </c>
      <c r="P2320">
        <v>265</v>
      </c>
      <c r="Q2320" t="s">
        <v>4684</v>
      </c>
    </row>
    <row r="2321" spans="1:17" x14ac:dyDescent="0.3">
      <c r="A2321" t="s">
        <v>4382</v>
      </c>
      <c r="B2321" t="str">
        <f>"000553"</f>
        <v>000553</v>
      </c>
      <c r="C2321" t="s">
        <v>4685</v>
      </c>
      <c r="D2321" t="s">
        <v>133</v>
      </c>
      <c r="F2321">
        <v>398715000</v>
      </c>
      <c r="G2321">
        <v>108306000</v>
      </c>
      <c r="H2321">
        <v>-813697000</v>
      </c>
      <c r="I2321">
        <v>901937000</v>
      </c>
      <c r="J2321">
        <v>1556084000</v>
      </c>
      <c r="K2321">
        <v>137858468</v>
      </c>
      <c r="L2321">
        <v>-168759462</v>
      </c>
      <c r="M2321">
        <v>270906667</v>
      </c>
      <c r="N2321">
        <v>375104312</v>
      </c>
      <c r="O2321">
        <v>201365040</v>
      </c>
      <c r="P2321">
        <v>227</v>
      </c>
      <c r="Q2321" t="s">
        <v>4686</v>
      </c>
    </row>
    <row r="2322" spans="1:17" x14ac:dyDescent="0.3">
      <c r="A2322" t="s">
        <v>4382</v>
      </c>
      <c r="B2322" t="str">
        <f>"000554"</f>
        <v>000554</v>
      </c>
      <c r="C2322" t="s">
        <v>4687</v>
      </c>
      <c r="D2322" t="s">
        <v>70</v>
      </c>
      <c r="F2322">
        <v>-155685428</v>
      </c>
      <c r="G2322">
        <v>293405357</v>
      </c>
      <c r="H2322">
        <v>39942762</v>
      </c>
      <c r="I2322">
        <v>15704078</v>
      </c>
      <c r="J2322">
        <v>34011685</v>
      </c>
      <c r="K2322">
        <v>-4008238</v>
      </c>
      <c r="L2322">
        <v>-39309894</v>
      </c>
      <c r="M2322">
        <v>-85734339</v>
      </c>
      <c r="N2322">
        <v>74943604</v>
      </c>
      <c r="O2322">
        <v>-53507180</v>
      </c>
      <c r="P2322">
        <v>112</v>
      </c>
      <c r="Q2322" t="s">
        <v>4688</v>
      </c>
    </row>
    <row r="2323" spans="1:17" x14ac:dyDescent="0.3">
      <c r="A2323" t="s">
        <v>4382</v>
      </c>
      <c r="B2323" t="str">
        <f>"000555"</f>
        <v>000555</v>
      </c>
      <c r="C2323" t="s">
        <v>4689</v>
      </c>
      <c r="D2323" t="s">
        <v>212</v>
      </c>
      <c r="F2323">
        <v>-536856598</v>
      </c>
      <c r="G2323">
        <v>-584712099</v>
      </c>
      <c r="H2323">
        <v>-647167324</v>
      </c>
      <c r="I2323">
        <v>-747437663</v>
      </c>
      <c r="J2323">
        <v>-869507328</v>
      </c>
      <c r="K2323">
        <v>-78614308</v>
      </c>
      <c r="L2323">
        <v>-542166904</v>
      </c>
      <c r="M2323">
        <v>-201473605</v>
      </c>
      <c r="N2323">
        <v>-14676882</v>
      </c>
      <c r="O2323">
        <v>-8909158</v>
      </c>
      <c r="P2323">
        <v>374</v>
      </c>
      <c r="Q2323" t="s">
        <v>4690</v>
      </c>
    </row>
    <row r="2324" spans="1:17" x14ac:dyDescent="0.3">
      <c r="A2324" t="s">
        <v>4382</v>
      </c>
      <c r="B2324" t="str">
        <f>"000556"</f>
        <v>000556</v>
      </c>
      <c r="C2324" t="s">
        <v>4691</v>
      </c>
      <c r="K2324">
        <v>-1708784.63</v>
      </c>
      <c r="L2324">
        <v>136.83000000000001</v>
      </c>
      <c r="M2324">
        <v>-5356.73</v>
      </c>
      <c r="N2324">
        <v>-124766.05</v>
      </c>
      <c r="O2324">
        <v>454136.35</v>
      </c>
      <c r="P2324">
        <v>4</v>
      </c>
      <c r="Q2324" t="s">
        <v>4692</v>
      </c>
    </row>
    <row r="2325" spans="1:17" x14ac:dyDescent="0.3">
      <c r="A2325" t="s">
        <v>4382</v>
      </c>
      <c r="B2325" t="str">
        <f>"000557"</f>
        <v>000557</v>
      </c>
      <c r="C2325" t="s">
        <v>4693</v>
      </c>
      <c r="D2325" t="s">
        <v>22</v>
      </c>
      <c r="F2325">
        <v>226187536</v>
      </c>
      <c r="G2325">
        <v>183928218</v>
      </c>
      <c r="H2325">
        <v>84384683</v>
      </c>
      <c r="I2325">
        <v>170735384</v>
      </c>
      <c r="J2325">
        <v>239449538</v>
      </c>
      <c r="K2325">
        <v>63010429</v>
      </c>
      <c r="L2325">
        <v>-11408024</v>
      </c>
      <c r="M2325">
        <v>-8744388</v>
      </c>
      <c r="N2325">
        <v>-30326080</v>
      </c>
      <c r="O2325">
        <v>52714212</v>
      </c>
      <c r="P2325">
        <v>103</v>
      </c>
      <c r="Q2325" t="s">
        <v>4694</v>
      </c>
    </row>
    <row r="2326" spans="1:17" x14ac:dyDescent="0.3">
      <c r="A2326" t="s">
        <v>4382</v>
      </c>
      <c r="B2326" t="str">
        <f>"000558"</f>
        <v>000558</v>
      </c>
      <c r="C2326" t="s">
        <v>4695</v>
      </c>
      <c r="D2326" t="s">
        <v>30</v>
      </c>
      <c r="F2326">
        <v>-37909243</v>
      </c>
      <c r="G2326">
        <v>-71106440</v>
      </c>
      <c r="H2326">
        <v>-188517537</v>
      </c>
      <c r="I2326">
        <v>161792741</v>
      </c>
      <c r="J2326">
        <v>-147100743</v>
      </c>
      <c r="K2326">
        <v>168188750</v>
      </c>
      <c r="L2326">
        <v>-114059517</v>
      </c>
      <c r="M2326">
        <v>-115453088</v>
      </c>
      <c r="N2326">
        <v>372011032</v>
      </c>
      <c r="O2326">
        <v>224012505</v>
      </c>
      <c r="P2326">
        <v>118</v>
      </c>
      <c r="Q2326" t="s">
        <v>4696</v>
      </c>
    </row>
    <row r="2327" spans="1:17" x14ac:dyDescent="0.3">
      <c r="A2327" t="s">
        <v>4382</v>
      </c>
      <c r="B2327" t="str">
        <f>"000559"</f>
        <v>000559</v>
      </c>
      <c r="C2327" t="s">
        <v>4697</v>
      </c>
      <c r="D2327" t="s">
        <v>27</v>
      </c>
      <c r="F2327">
        <v>331134537</v>
      </c>
      <c r="G2327">
        <v>475302854</v>
      </c>
      <c r="H2327">
        <v>454448268</v>
      </c>
      <c r="I2327">
        <v>-421685583</v>
      </c>
      <c r="J2327">
        <v>505559042</v>
      </c>
      <c r="K2327">
        <v>528174869</v>
      </c>
      <c r="L2327">
        <v>499215632</v>
      </c>
      <c r="M2327">
        <v>683682950</v>
      </c>
      <c r="N2327">
        <v>488029143</v>
      </c>
      <c r="O2327">
        <v>164563457</v>
      </c>
      <c r="P2327">
        <v>414</v>
      </c>
      <c r="Q2327" t="s">
        <v>4698</v>
      </c>
    </row>
    <row r="2328" spans="1:17" x14ac:dyDescent="0.3">
      <c r="A2328" t="s">
        <v>4382</v>
      </c>
      <c r="B2328" t="str">
        <f>"000560"</f>
        <v>000560</v>
      </c>
      <c r="C2328" t="s">
        <v>4699</v>
      </c>
      <c r="D2328" t="s">
        <v>30</v>
      </c>
      <c r="F2328">
        <v>960845910</v>
      </c>
      <c r="G2328">
        <v>555573073</v>
      </c>
      <c r="H2328">
        <v>1029810594</v>
      </c>
      <c r="I2328">
        <v>1078156861</v>
      </c>
      <c r="J2328">
        <v>-197683738</v>
      </c>
      <c r="K2328">
        <v>74772537</v>
      </c>
      <c r="L2328">
        <v>-62121741</v>
      </c>
      <c r="M2328">
        <v>-108715697</v>
      </c>
      <c r="N2328">
        <v>-106794605</v>
      </c>
      <c r="O2328">
        <v>-117866537</v>
      </c>
      <c r="P2328">
        <v>206</v>
      </c>
      <c r="Q2328" t="s">
        <v>4700</v>
      </c>
    </row>
    <row r="2329" spans="1:17" x14ac:dyDescent="0.3">
      <c r="A2329" t="s">
        <v>4382</v>
      </c>
      <c r="B2329" t="str">
        <f>"000561"</f>
        <v>000561</v>
      </c>
      <c r="C2329" t="s">
        <v>4701</v>
      </c>
      <c r="D2329" t="s">
        <v>92</v>
      </c>
      <c r="F2329">
        <v>-327078431</v>
      </c>
      <c r="G2329">
        <v>-215954827</v>
      </c>
      <c r="H2329">
        <v>-167193387</v>
      </c>
      <c r="I2329">
        <v>-127181416</v>
      </c>
      <c r="J2329">
        <v>-130914470</v>
      </c>
      <c r="K2329">
        <v>-258220920</v>
      </c>
      <c r="L2329">
        <v>-168505424</v>
      </c>
      <c r="M2329">
        <v>-224492236</v>
      </c>
      <c r="N2329">
        <v>-114850967</v>
      </c>
      <c r="O2329">
        <v>-272310915</v>
      </c>
      <c r="P2329">
        <v>134</v>
      </c>
      <c r="Q2329" t="s">
        <v>4702</v>
      </c>
    </row>
    <row r="2330" spans="1:17" x14ac:dyDescent="0.3">
      <c r="A2330" t="s">
        <v>4382</v>
      </c>
      <c r="B2330" t="str">
        <f>"000562"</f>
        <v>000562</v>
      </c>
      <c r="C2330" t="s">
        <v>4703</v>
      </c>
      <c r="M2330">
        <v>8429807579.6099997</v>
      </c>
      <c r="N2330">
        <v>1719136444.8</v>
      </c>
      <c r="O2330">
        <v>-5793880886.9300003</v>
      </c>
      <c r="P2330">
        <v>18</v>
      </c>
      <c r="Q2330" t="s">
        <v>4704</v>
      </c>
    </row>
    <row r="2331" spans="1:17" x14ac:dyDescent="0.3">
      <c r="A2331" t="s">
        <v>4382</v>
      </c>
      <c r="B2331" t="str">
        <f>"000563"</f>
        <v>000563</v>
      </c>
      <c r="C2331" t="s">
        <v>4705</v>
      </c>
      <c r="D2331" t="s">
        <v>75</v>
      </c>
      <c r="F2331">
        <v>-89446794</v>
      </c>
      <c r="G2331">
        <v>130382764</v>
      </c>
      <c r="H2331">
        <v>-1741333968</v>
      </c>
      <c r="I2331">
        <v>-2187292704</v>
      </c>
      <c r="J2331">
        <v>864340500</v>
      </c>
      <c r="K2331">
        <v>225223080</v>
      </c>
      <c r="L2331">
        <v>88401190</v>
      </c>
      <c r="M2331">
        <v>-770463316</v>
      </c>
      <c r="N2331">
        <v>-153896179</v>
      </c>
      <c r="O2331">
        <v>-869707182</v>
      </c>
      <c r="P2331">
        <v>205</v>
      </c>
      <c r="Q2331" t="s">
        <v>4706</v>
      </c>
    </row>
    <row r="2332" spans="1:17" x14ac:dyDescent="0.3">
      <c r="A2332" t="s">
        <v>4382</v>
      </c>
      <c r="B2332" t="str">
        <f>"000564"</f>
        <v>000564</v>
      </c>
      <c r="C2332" t="s">
        <v>4707</v>
      </c>
      <c r="D2332" t="s">
        <v>120</v>
      </c>
      <c r="F2332">
        <v>-398473544</v>
      </c>
      <c r="G2332">
        <v>-895284005</v>
      </c>
      <c r="H2332">
        <v>489629057</v>
      </c>
      <c r="I2332">
        <v>1448448234</v>
      </c>
      <c r="J2332">
        <v>897220300</v>
      </c>
      <c r="K2332">
        <v>2149268931</v>
      </c>
      <c r="L2332">
        <v>-297907946</v>
      </c>
      <c r="M2332">
        <v>559810222</v>
      </c>
      <c r="N2332">
        <v>231102998</v>
      </c>
      <c r="O2332">
        <v>-271421674</v>
      </c>
      <c r="P2332">
        <v>187</v>
      </c>
      <c r="Q2332" t="s">
        <v>4708</v>
      </c>
    </row>
    <row r="2333" spans="1:17" x14ac:dyDescent="0.3">
      <c r="A2333" t="s">
        <v>4382</v>
      </c>
      <c r="B2333" t="str">
        <f>"000565"</f>
        <v>000565</v>
      </c>
      <c r="C2333" t="s">
        <v>4709</v>
      </c>
      <c r="D2333" t="s">
        <v>133</v>
      </c>
      <c r="F2333">
        <v>-51857340</v>
      </c>
      <c r="G2333">
        <v>22713687</v>
      </c>
      <c r="H2333">
        <v>56819</v>
      </c>
      <c r="I2333">
        <v>-99778552</v>
      </c>
      <c r="J2333">
        <v>-324582183</v>
      </c>
      <c r="K2333">
        <v>-203083194</v>
      </c>
      <c r="L2333">
        <v>-50922251</v>
      </c>
      <c r="M2333">
        <v>-30996239</v>
      </c>
      <c r="N2333">
        <v>5042088</v>
      </c>
      <c r="O2333">
        <v>-66844935</v>
      </c>
      <c r="P2333">
        <v>79</v>
      </c>
      <c r="Q2333" t="s">
        <v>4710</v>
      </c>
    </row>
    <row r="2334" spans="1:17" x14ac:dyDescent="0.3">
      <c r="A2334" t="s">
        <v>4382</v>
      </c>
      <c r="B2334" t="str">
        <f>"000566"</f>
        <v>000566</v>
      </c>
      <c r="C2334" t="s">
        <v>4711</v>
      </c>
      <c r="D2334" t="s">
        <v>113</v>
      </c>
      <c r="F2334">
        <v>-238590503</v>
      </c>
      <c r="G2334">
        <v>-549773888</v>
      </c>
      <c r="H2334">
        <v>-357897803</v>
      </c>
      <c r="I2334">
        <v>-439423854</v>
      </c>
      <c r="J2334">
        <v>-562928158</v>
      </c>
      <c r="K2334">
        <v>-569543518</v>
      </c>
      <c r="L2334">
        <v>-171021073</v>
      </c>
      <c r="M2334">
        <v>-198763792</v>
      </c>
      <c r="N2334">
        <v>-173132659</v>
      </c>
      <c r="O2334">
        <v>-44363947</v>
      </c>
      <c r="P2334">
        <v>195</v>
      </c>
      <c r="Q2334" t="s">
        <v>4712</v>
      </c>
    </row>
    <row r="2335" spans="1:17" x14ac:dyDescent="0.3">
      <c r="A2335" t="s">
        <v>4382</v>
      </c>
      <c r="B2335" t="str">
        <f>"000567"</f>
        <v>000567</v>
      </c>
      <c r="C2335" t="s">
        <v>4713</v>
      </c>
      <c r="D2335" t="s">
        <v>75</v>
      </c>
      <c r="F2335">
        <v>-784064008</v>
      </c>
      <c r="G2335">
        <v>-83003150</v>
      </c>
      <c r="H2335">
        <v>-183915279</v>
      </c>
      <c r="I2335">
        <v>-857942758</v>
      </c>
      <c r="J2335">
        <v>-834794158</v>
      </c>
      <c r="K2335">
        <v>-9573570</v>
      </c>
      <c r="L2335">
        <v>187986</v>
      </c>
      <c r="M2335">
        <v>-36117125</v>
      </c>
      <c r="N2335">
        <v>-7596560</v>
      </c>
      <c r="O2335">
        <v>-16113962</v>
      </c>
      <c r="P2335">
        <v>118</v>
      </c>
      <c r="Q2335" t="s">
        <v>4714</v>
      </c>
    </row>
    <row r="2336" spans="1:17" x14ac:dyDescent="0.3">
      <c r="A2336" t="s">
        <v>4382</v>
      </c>
      <c r="B2336" t="str">
        <f>"000568"</f>
        <v>000568</v>
      </c>
      <c r="C2336" t="s">
        <v>4715</v>
      </c>
      <c r="D2336" t="s">
        <v>123</v>
      </c>
      <c r="F2336">
        <v>2957969789</v>
      </c>
      <c r="G2336">
        <v>1288917970</v>
      </c>
      <c r="H2336">
        <v>729643337</v>
      </c>
      <c r="I2336">
        <v>1755777744</v>
      </c>
      <c r="J2336">
        <v>1394263449</v>
      </c>
      <c r="K2336">
        <v>1800946554</v>
      </c>
      <c r="L2336">
        <v>11953693</v>
      </c>
      <c r="M2336">
        <v>1388574588</v>
      </c>
      <c r="N2336">
        <v>900677487</v>
      </c>
      <c r="O2336">
        <v>3334232310</v>
      </c>
      <c r="P2336">
        <v>6442</v>
      </c>
      <c r="Q2336" t="s">
        <v>4716</v>
      </c>
    </row>
    <row r="2337" spans="1:17" x14ac:dyDescent="0.3">
      <c r="A2337" t="s">
        <v>4382</v>
      </c>
      <c r="B2337" t="str">
        <f>"000570"</f>
        <v>000570</v>
      </c>
      <c r="C2337" t="s">
        <v>4717</v>
      </c>
      <c r="D2337" t="s">
        <v>27</v>
      </c>
      <c r="F2337">
        <v>-436268373</v>
      </c>
      <c r="G2337">
        <v>-96357440</v>
      </c>
      <c r="H2337">
        <v>-193090400</v>
      </c>
      <c r="I2337">
        <v>-81204225</v>
      </c>
      <c r="J2337">
        <v>-125063868</v>
      </c>
      <c r="K2337">
        <v>14258145</v>
      </c>
      <c r="L2337">
        <v>48987932</v>
      </c>
      <c r="M2337">
        <v>-151808753</v>
      </c>
      <c r="N2337">
        <v>-59628384</v>
      </c>
      <c r="O2337">
        <v>143128054</v>
      </c>
      <c r="P2337">
        <v>81</v>
      </c>
      <c r="Q2337" t="s">
        <v>4718</v>
      </c>
    </row>
    <row r="2338" spans="1:17" x14ac:dyDescent="0.3">
      <c r="A2338" t="s">
        <v>4382</v>
      </c>
      <c r="B2338" t="str">
        <f>"000571"</f>
        <v>000571</v>
      </c>
      <c r="C2338" t="s">
        <v>4719</v>
      </c>
      <c r="D2338" t="s">
        <v>257</v>
      </c>
      <c r="F2338">
        <v>263481766</v>
      </c>
      <c r="G2338">
        <v>-26003361</v>
      </c>
      <c r="H2338">
        <v>80674005</v>
      </c>
      <c r="I2338">
        <v>-333198759</v>
      </c>
      <c r="J2338">
        <v>214252995</v>
      </c>
      <c r="K2338">
        <v>181869920</v>
      </c>
      <c r="L2338">
        <v>-265009165</v>
      </c>
      <c r="M2338">
        <v>-610064986</v>
      </c>
      <c r="N2338">
        <v>-235843221</v>
      </c>
      <c r="O2338">
        <v>87914082</v>
      </c>
      <c r="P2338">
        <v>72</v>
      </c>
      <c r="Q2338" t="s">
        <v>4720</v>
      </c>
    </row>
    <row r="2339" spans="1:17" x14ac:dyDescent="0.3">
      <c r="A2339" t="s">
        <v>4382</v>
      </c>
      <c r="B2339" t="str">
        <f>"000572"</f>
        <v>000572</v>
      </c>
      <c r="C2339" t="s">
        <v>4721</v>
      </c>
      <c r="D2339" t="s">
        <v>27</v>
      </c>
      <c r="F2339">
        <v>56589596</v>
      </c>
      <c r="G2339">
        <v>-385952167</v>
      </c>
      <c r="H2339">
        <v>1272285</v>
      </c>
      <c r="I2339">
        <v>-592564277</v>
      </c>
      <c r="J2339">
        <v>25415013</v>
      </c>
      <c r="K2339">
        <v>-473972756</v>
      </c>
      <c r="L2339">
        <v>102322889</v>
      </c>
      <c r="M2339">
        <v>121655169</v>
      </c>
      <c r="N2339">
        <v>237607849</v>
      </c>
      <c r="O2339">
        <v>-731734431</v>
      </c>
      <c r="P2339">
        <v>151</v>
      </c>
      <c r="Q2339" t="s">
        <v>4722</v>
      </c>
    </row>
    <row r="2340" spans="1:17" x14ac:dyDescent="0.3">
      <c r="A2340" t="s">
        <v>4382</v>
      </c>
      <c r="B2340" t="str">
        <f>"000573"</f>
        <v>000573</v>
      </c>
      <c r="C2340" t="s">
        <v>4723</v>
      </c>
      <c r="D2340" t="s">
        <v>30</v>
      </c>
      <c r="F2340">
        <v>144972576</v>
      </c>
      <c r="G2340">
        <v>81434748</v>
      </c>
      <c r="H2340">
        <v>-71867510</v>
      </c>
      <c r="I2340">
        <v>238565917</v>
      </c>
      <c r="J2340">
        <v>-91250462</v>
      </c>
      <c r="K2340">
        <v>523095196</v>
      </c>
      <c r="L2340">
        <v>45118170</v>
      </c>
      <c r="M2340">
        <v>-16429258</v>
      </c>
      <c r="N2340">
        <v>194186579</v>
      </c>
      <c r="O2340">
        <v>-28103994</v>
      </c>
      <c r="P2340">
        <v>130</v>
      </c>
      <c r="Q2340" t="s">
        <v>4724</v>
      </c>
    </row>
    <row r="2341" spans="1:17" x14ac:dyDescent="0.3">
      <c r="A2341" t="s">
        <v>4382</v>
      </c>
      <c r="B2341" t="str">
        <f>"000576"</f>
        <v>000576</v>
      </c>
      <c r="C2341" t="s">
        <v>4725</v>
      </c>
      <c r="D2341" t="s">
        <v>92</v>
      </c>
      <c r="F2341">
        <v>-19890112</v>
      </c>
      <c r="G2341">
        <v>548539677</v>
      </c>
      <c r="H2341">
        <v>-43216732</v>
      </c>
      <c r="I2341">
        <v>303574847</v>
      </c>
      <c r="J2341">
        <v>141911323</v>
      </c>
      <c r="K2341">
        <v>25114521</v>
      </c>
      <c r="L2341">
        <v>-28010362</v>
      </c>
      <c r="M2341">
        <v>-124486932</v>
      </c>
      <c r="N2341">
        <v>-311778936</v>
      </c>
      <c r="O2341">
        <v>-152645424</v>
      </c>
      <c r="P2341">
        <v>161</v>
      </c>
      <c r="Q2341" t="s">
        <v>4726</v>
      </c>
    </row>
    <row r="2342" spans="1:17" x14ac:dyDescent="0.3">
      <c r="A2342" t="s">
        <v>4382</v>
      </c>
      <c r="B2342" t="str">
        <f>"000578"</f>
        <v>000578</v>
      </c>
      <c r="C2342" t="s">
        <v>4727</v>
      </c>
      <c r="N2342">
        <v>-6620329403.7600002</v>
      </c>
      <c r="O2342">
        <v>-5050453995.3000002</v>
      </c>
      <c r="P2342">
        <v>12</v>
      </c>
      <c r="Q2342" t="s">
        <v>4728</v>
      </c>
    </row>
    <row r="2343" spans="1:17" x14ac:dyDescent="0.3">
      <c r="A2343" t="s">
        <v>4382</v>
      </c>
      <c r="B2343" t="str">
        <f>"000581"</f>
        <v>000581</v>
      </c>
      <c r="C2343" t="s">
        <v>4729</v>
      </c>
      <c r="D2343" t="s">
        <v>27</v>
      </c>
      <c r="F2343">
        <v>-2084910</v>
      </c>
      <c r="G2343">
        <v>733942984</v>
      </c>
      <c r="H2343">
        <v>953040532</v>
      </c>
      <c r="I2343">
        <v>90887060</v>
      </c>
      <c r="J2343">
        <v>192827523</v>
      </c>
      <c r="K2343">
        <v>30919635</v>
      </c>
      <c r="L2343">
        <v>159409039</v>
      </c>
      <c r="M2343">
        <v>88554504</v>
      </c>
      <c r="N2343">
        <v>328331387</v>
      </c>
      <c r="O2343">
        <v>834905471</v>
      </c>
      <c r="P2343">
        <v>1711</v>
      </c>
      <c r="Q2343" t="s">
        <v>4730</v>
      </c>
    </row>
    <row r="2344" spans="1:17" x14ac:dyDescent="0.3">
      <c r="A2344" t="s">
        <v>4382</v>
      </c>
      <c r="B2344" t="str">
        <f>"000582"</f>
        <v>000582</v>
      </c>
      <c r="C2344" t="s">
        <v>4731</v>
      </c>
      <c r="D2344" t="s">
        <v>22</v>
      </c>
      <c r="F2344">
        <v>-1012616159</v>
      </c>
      <c r="G2344">
        <v>282165292</v>
      </c>
      <c r="H2344">
        <v>592581921</v>
      </c>
      <c r="I2344">
        <v>838060750</v>
      </c>
      <c r="J2344">
        <v>731086356</v>
      </c>
      <c r="K2344">
        <v>408459974</v>
      </c>
      <c r="L2344">
        <v>-200443563</v>
      </c>
      <c r="M2344">
        <v>530589472</v>
      </c>
      <c r="N2344">
        <v>60550083</v>
      </c>
      <c r="O2344">
        <v>-117283441</v>
      </c>
      <c r="P2344">
        <v>227</v>
      </c>
      <c r="Q2344" t="s">
        <v>4732</v>
      </c>
    </row>
    <row r="2345" spans="1:17" x14ac:dyDescent="0.3">
      <c r="A2345" t="s">
        <v>4382</v>
      </c>
      <c r="B2345" t="str">
        <f>"000583"</f>
        <v>000583</v>
      </c>
      <c r="C2345" t="s">
        <v>4733</v>
      </c>
      <c r="K2345">
        <v>0.1</v>
      </c>
      <c r="L2345">
        <v>898.9</v>
      </c>
      <c r="M2345">
        <v>-5986.83</v>
      </c>
      <c r="N2345">
        <v>16389.560000000001</v>
      </c>
      <c r="O2345">
        <v>7327.01</v>
      </c>
      <c r="P2345">
        <v>3</v>
      </c>
      <c r="Q2345" t="s">
        <v>4734</v>
      </c>
    </row>
    <row r="2346" spans="1:17" x14ac:dyDescent="0.3">
      <c r="A2346" t="s">
        <v>4382</v>
      </c>
      <c r="B2346" t="str">
        <f>"000584"</f>
        <v>000584</v>
      </c>
      <c r="C2346" t="s">
        <v>4735</v>
      </c>
      <c r="D2346" t="s">
        <v>78</v>
      </c>
      <c r="F2346">
        <v>-268337820</v>
      </c>
      <c r="G2346">
        <v>-115324316</v>
      </c>
      <c r="H2346">
        <v>-170194007</v>
      </c>
      <c r="I2346">
        <v>135718485</v>
      </c>
      <c r="J2346">
        <v>133825231</v>
      </c>
      <c r="K2346">
        <v>-97614988</v>
      </c>
      <c r="L2346">
        <v>102313805</v>
      </c>
      <c r="M2346">
        <v>276376031</v>
      </c>
      <c r="N2346">
        <v>132809693</v>
      </c>
      <c r="O2346">
        <v>13095484</v>
      </c>
      <c r="P2346">
        <v>134</v>
      </c>
      <c r="Q2346" t="s">
        <v>4736</v>
      </c>
    </row>
    <row r="2347" spans="1:17" x14ac:dyDescent="0.3">
      <c r="A2347" t="s">
        <v>4382</v>
      </c>
      <c r="B2347" t="str">
        <f>"000585"</f>
        <v>000585</v>
      </c>
      <c r="C2347" t="s">
        <v>4737</v>
      </c>
      <c r="D2347" t="s">
        <v>188</v>
      </c>
      <c r="F2347">
        <v>5447643</v>
      </c>
      <c r="G2347">
        <v>64077986</v>
      </c>
      <c r="H2347">
        <v>-11113562</v>
      </c>
      <c r="I2347">
        <v>-39925931</v>
      </c>
      <c r="J2347">
        <v>26893837</v>
      </c>
      <c r="K2347">
        <v>-36309650</v>
      </c>
      <c r="L2347">
        <v>-35187272</v>
      </c>
      <c r="M2347">
        <v>-29972623</v>
      </c>
      <c r="N2347">
        <v>13801878</v>
      </c>
      <c r="O2347">
        <v>-5523447</v>
      </c>
      <c r="P2347">
        <v>73</v>
      </c>
      <c r="Q2347" t="s">
        <v>4738</v>
      </c>
    </row>
    <row r="2348" spans="1:17" x14ac:dyDescent="0.3">
      <c r="A2348" t="s">
        <v>4382</v>
      </c>
      <c r="B2348" t="str">
        <f>"000586"</f>
        <v>000586</v>
      </c>
      <c r="C2348" t="s">
        <v>4739</v>
      </c>
      <c r="D2348" t="s">
        <v>100</v>
      </c>
      <c r="F2348">
        <v>-29357377</v>
      </c>
      <c r="G2348">
        <v>-17090280</v>
      </c>
      <c r="H2348">
        <v>-36129191</v>
      </c>
      <c r="I2348">
        <v>-33436802</v>
      </c>
      <c r="J2348">
        <v>-58867527</v>
      </c>
      <c r="K2348">
        <v>-31463969</v>
      </c>
      <c r="L2348">
        <v>-49371681</v>
      </c>
      <c r="M2348">
        <v>-42354090</v>
      </c>
      <c r="N2348">
        <v>-41390108</v>
      </c>
      <c r="O2348">
        <v>-46377019</v>
      </c>
      <c r="P2348">
        <v>145</v>
      </c>
      <c r="Q2348" t="s">
        <v>4740</v>
      </c>
    </row>
    <row r="2349" spans="1:17" x14ac:dyDescent="0.3">
      <c r="A2349" t="s">
        <v>4382</v>
      </c>
      <c r="B2349" t="str">
        <f>"000587"</f>
        <v>000587</v>
      </c>
      <c r="C2349" t="s">
        <v>4741</v>
      </c>
      <c r="D2349" t="s">
        <v>227</v>
      </c>
      <c r="F2349">
        <v>-4256036</v>
      </c>
      <c r="G2349">
        <v>-1231935460</v>
      </c>
      <c r="H2349">
        <v>-1524684648</v>
      </c>
      <c r="I2349">
        <v>-2450654071</v>
      </c>
      <c r="J2349">
        <v>479994027</v>
      </c>
      <c r="K2349">
        <v>-112047562</v>
      </c>
      <c r="L2349">
        <v>-134321400</v>
      </c>
      <c r="M2349">
        <v>419374509</v>
      </c>
      <c r="N2349">
        <v>656088347</v>
      </c>
      <c r="O2349">
        <v>-229492010</v>
      </c>
      <c r="P2349">
        <v>114</v>
      </c>
      <c r="Q2349" t="s">
        <v>4742</v>
      </c>
    </row>
    <row r="2350" spans="1:17" x14ac:dyDescent="0.3">
      <c r="A2350" t="s">
        <v>4382</v>
      </c>
      <c r="B2350" t="str">
        <f>"000588"</f>
        <v>000588</v>
      </c>
      <c r="C2350" t="s">
        <v>4743</v>
      </c>
      <c r="K2350">
        <v>-84383318.680000007</v>
      </c>
      <c r="L2350">
        <v>-194036317.06999999</v>
      </c>
      <c r="P2350">
        <v>5</v>
      </c>
      <c r="Q2350" t="s">
        <v>4744</v>
      </c>
    </row>
    <row r="2351" spans="1:17" x14ac:dyDescent="0.3">
      <c r="A2351" t="s">
        <v>4382</v>
      </c>
      <c r="B2351" t="str">
        <f>"000589"</f>
        <v>000589</v>
      </c>
      <c r="C2351" t="s">
        <v>4745</v>
      </c>
      <c r="D2351" t="s">
        <v>27</v>
      </c>
      <c r="F2351">
        <v>-764270830</v>
      </c>
      <c r="G2351">
        <v>1256155691</v>
      </c>
      <c r="H2351">
        <v>980098237</v>
      </c>
      <c r="I2351">
        <v>517198803</v>
      </c>
      <c r="J2351">
        <v>-18948049</v>
      </c>
      <c r="K2351">
        <v>-146617558</v>
      </c>
      <c r="L2351">
        <v>1440052100</v>
      </c>
      <c r="M2351">
        <v>-119062590</v>
      </c>
      <c r="N2351">
        <v>145722948</v>
      </c>
      <c r="O2351">
        <v>603601756</v>
      </c>
      <c r="P2351">
        <v>208</v>
      </c>
      <c r="Q2351" t="s">
        <v>4746</v>
      </c>
    </row>
    <row r="2352" spans="1:17" x14ac:dyDescent="0.3">
      <c r="A2352" t="s">
        <v>4382</v>
      </c>
      <c r="B2352" t="str">
        <f>"000590"</f>
        <v>000590</v>
      </c>
      <c r="C2352" t="s">
        <v>4747</v>
      </c>
      <c r="D2352" t="s">
        <v>113</v>
      </c>
      <c r="F2352">
        <v>7982777</v>
      </c>
      <c r="G2352">
        <v>30628671</v>
      </c>
      <c r="H2352">
        <v>-5565720</v>
      </c>
      <c r="I2352">
        <v>-26943296</v>
      </c>
      <c r="J2352">
        <v>-104953563</v>
      </c>
      <c r="K2352">
        <v>-29692889</v>
      </c>
      <c r="L2352">
        <v>-14952252</v>
      </c>
      <c r="M2352">
        <v>-73232966</v>
      </c>
      <c r="N2352">
        <v>-10784501</v>
      </c>
      <c r="O2352">
        <v>20575843</v>
      </c>
      <c r="P2352">
        <v>148</v>
      </c>
      <c r="Q2352" t="s">
        <v>4748</v>
      </c>
    </row>
    <row r="2353" spans="1:17" x14ac:dyDescent="0.3">
      <c r="A2353" t="s">
        <v>4382</v>
      </c>
      <c r="B2353" t="str">
        <f>"000591"</f>
        <v>000591</v>
      </c>
      <c r="C2353" t="s">
        <v>4749</v>
      </c>
      <c r="D2353" t="s">
        <v>41</v>
      </c>
      <c r="F2353">
        <v>1003744982</v>
      </c>
      <c r="G2353">
        <v>292546805</v>
      </c>
      <c r="H2353">
        <v>-462735779</v>
      </c>
      <c r="I2353">
        <v>133518192</v>
      </c>
      <c r="J2353">
        <v>-858475362</v>
      </c>
      <c r="K2353">
        <v>-2207383228</v>
      </c>
      <c r="L2353">
        <v>-21822239</v>
      </c>
      <c r="M2353">
        <v>64720415</v>
      </c>
      <c r="N2353">
        <v>62377910</v>
      </c>
      <c r="O2353">
        <v>63140805</v>
      </c>
      <c r="P2353">
        <v>665</v>
      </c>
      <c r="Q2353" t="s">
        <v>4750</v>
      </c>
    </row>
    <row r="2354" spans="1:17" x14ac:dyDescent="0.3">
      <c r="A2354" t="s">
        <v>4382</v>
      </c>
      <c r="B2354" t="str">
        <f>"000592"</f>
        <v>000592</v>
      </c>
      <c r="C2354" t="s">
        <v>4751</v>
      </c>
      <c r="D2354" t="s">
        <v>205</v>
      </c>
      <c r="F2354">
        <v>3487708</v>
      </c>
      <c r="G2354">
        <v>-210064986</v>
      </c>
      <c r="H2354">
        <v>321220327</v>
      </c>
      <c r="I2354">
        <v>-680971797</v>
      </c>
      <c r="J2354">
        <v>-202012186</v>
      </c>
      <c r="K2354">
        <v>-33255284</v>
      </c>
      <c r="L2354">
        <v>-108278535</v>
      </c>
      <c r="M2354">
        <v>103420234</v>
      </c>
      <c r="N2354">
        <v>-95105104</v>
      </c>
      <c r="O2354">
        <v>65595821</v>
      </c>
      <c r="P2354">
        <v>150</v>
      </c>
      <c r="Q2354" t="s">
        <v>4752</v>
      </c>
    </row>
    <row r="2355" spans="1:17" x14ac:dyDescent="0.3">
      <c r="A2355" t="s">
        <v>4382</v>
      </c>
      <c r="B2355" t="str">
        <f>"000593"</f>
        <v>000593</v>
      </c>
      <c r="C2355" t="s">
        <v>4753</v>
      </c>
      <c r="D2355" t="s">
        <v>41</v>
      </c>
      <c r="F2355">
        <v>76856493</v>
      </c>
      <c r="G2355">
        <v>4229723</v>
      </c>
      <c r="H2355">
        <v>-5801121</v>
      </c>
      <c r="I2355">
        <v>-5934230</v>
      </c>
      <c r="J2355">
        <v>19154092</v>
      </c>
      <c r="K2355">
        <v>-38164486</v>
      </c>
      <c r="L2355">
        <v>1202418</v>
      </c>
      <c r="M2355">
        <v>-27135220</v>
      </c>
      <c r="N2355">
        <v>-34337785</v>
      </c>
      <c r="O2355">
        <v>-31284804</v>
      </c>
      <c r="P2355">
        <v>80</v>
      </c>
      <c r="Q2355" t="s">
        <v>4754</v>
      </c>
    </row>
    <row r="2356" spans="1:17" x14ac:dyDescent="0.3">
      <c r="A2356" t="s">
        <v>4382</v>
      </c>
      <c r="B2356" t="str">
        <f>"000594"</f>
        <v>000594</v>
      </c>
      <c r="C2356" t="s">
        <v>4755</v>
      </c>
      <c r="K2356">
        <v>-1409950.07</v>
      </c>
      <c r="L2356">
        <v>-388998332.51999998</v>
      </c>
      <c r="M2356">
        <v>-6493731.2000000002</v>
      </c>
      <c r="N2356">
        <v>39546837.799999997</v>
      </c>
      <c r="O2356">
        <v>86291615.959999993</v>
      </c>
      <c r="P2356">
        <v>3</v>
      </c>
      <c r="Q2356" t="s">
        <v>4756</v>
      </c>
    </row>
    <row r="2357" spans="1:17" x14ac:dyDescent="0.3">
      <c r="A2357" t="s">
        <v>4382</v>
      </c>
      <c r="B2357" t="str">
        <f>"000595"</f>
        <v>000595</v>
      </c>
      <c r="C2357" t="s">
        <v>4757</v>
      </c>
      <c r="D2357" t="s">
        <v>78</v>
      </c>
      <c r="F2357">
        <v>-45706938</v>
      </c>
      <c r="G2357">
        <v>-11054334</v>
      </c>
      <c r="H2357">
        <v>-14138413</v>
      </c>
      <c r="I2357">
        <v>-34664971</v>
      </c>
      <c r="J2357">
        <v>-129151456</v>
      </c>
      <c r="K2357">
        <v>-136827060</v>
      </c>
      <c r="L2357">
        <v>-241863755</v>
      </c>
      <c r="M2357">
        <v>-77525812</v>
      </c>
      <c r="N2357">
        <v>-127816464</v>
      </c>
      <c r="O2357">
        <v>23831028</v>
      </c>
      <c r="P2357">
        <v>98</v>
      </c>
      <c r="Q2357" t="s">
        <v>4758</v>
      </c>
    </row>
    <row r="2358" spans="1:17" x14ac:dyDescent="0.3">
      <c r="A2358" t="s">
        <v>4382</v>
      </c>
      <c r="B2358" t="str">
        <f>"000596"</f>
        <v>000596</v>
      </c>
      <c r="C2358" t="s">
        <v>4759</v>
      </c>
      <c r="D2358" t="s">
        <v>123</v>
      </c>
      <c r="F2358">
        <v>3537001583</v>
      </c>
      <c r="G2358">
        <v>2179157522</v>
      </c>
      <c r="H2358">
        <v>1999046106</v>
      </c>
      <c r="I2358">
        <v>2301536504</v>
      </c>
      <c r="J2358">
        <v>1061221923</v>
      </c>
      <c r="K2358">
        <v>1087742990</v>
      </c>
      <c r="L2358">
        <v>517291533</v>
      </c>
      <c r="M2358">
        <v>-53115795</v>
      </c>
      <c r="N2358">
        <v>226837179</v>
      </c>
      <c r="O2358">
        <v>649380804</v>
      </c>
      <c r="P2358">
        <v>53683</v>
      </c>
      <c r="Q2358" t="s">
        <v>4760</v>
      </c>
    </row>
    <row r="2359" spans="1:17" x14ac:dyDescent="0.3">
      <c r="A2359" t="s">
        <v>4382</v>
      </c>
      <c r="B2359" t="str">
        <f>"000597"</f>
        <v>000597</v>
      </c>
      <c r="C2359" t="s">
        <v>4761</v>
      </c>
      <c r="D2359" t="s">
        <v>113</v>
      </c>
      <c r="F2359">
        <v>359730332</v>
      </c>
      <c r="G2359">
        <v>168160312</v>
      </c>
      <c r="H2359">
        <v>-345228016</v>
      </c>
      <c r="I2359">
        <v>-234960227</v>
      </c>
      <c r="J2359">
        <v>-396108177</v>
      </c>
      <c r="K2359">
        <v>-95429986</v>
      </c>
      <c r="L2359">
        <v>-456375963</v>
      </c>
      <c r="M2359">
        <v>-316561841</v>
      </c>
      <c r="N2359">
        <v>-472455701</v>
      </c>
      <c r="O2359">
        <v>-48032233</v>
      </c>
      <c r="P2359">
        <v>131</v>
      </c>
      <c r="Q2359" t="s">
        <v>4762</v>
      </c>
    </row>
    <row r="2360" spans="1:17" x14ac:dyDescent="0.3">
      <c r="A2360" t="s">
        <v>4382</v>
      </c>
      <c r="B2360" t="str">
        <f>"000598"</f>
        <v>000598</v>
      </c>
      <c r="C2360" t="s">
        <v>4763</v>
      </c>
      <c r="D2360" t="s">
        <v>33</v>
      </c>
      <c r="F2360">
        <v>-917650324</v>
      </c>
      <c r="G2360">
        <v>-594533593</v>
      </c>
      <c r="H2360">
        <v>-501127400</v>
      </c>
      <c r="I2360">
        <v>-220230030</v>
      </c>
      <c r="J2360">
        <v>343419890</v>
      </c>
      <c r="K2360">
        <v>-340184260</v>
      </c>
      <c r="L2360">
        <v>-373289293</v>
      </c>
      <c r="M2360">
        <v>132325701</v>
      </c>
      <c r="N2360">
        <v>-437776615</v>
      </c>
      <c r="O2360">
        <v>-241027196</v>
      </c>
      <c r="P2360">
        <v>444</v>
      </c>
      <c r="Q2360" t="s">
        <v>4764</v>
      </c>
    </row>
    <row r="2361" spans="1:17" x14ac:dyDescent="0.3">
      <c r="A2361" t="s">
        <v>4382</v>
      </c>
      <c r="B2361" t="str">
        <f>"000599"</f>
        <v>000599</v>
      </c>
      <c r="C2361" t="s">
        <v>4765</v>
      </c>
      <c r="D2361" t="s">
        <v>27</v>
      </c>
      <c r="F2361">
        <v>-99953878</v>
      </c>
      <c r="G2361">
        <v>-469899137</v>
      </c>
      <c r="H2361">
        <v>-1047285535</v>
      </c>
      <c r="I2361">
        <v>-452952939</v>
      </c>
      <c r="J2361">
        <v>-1581076246</v>
      </c>
      <c r="K2361">
        <v>-903729295</v>
      </c>
      <c r="L2361">
        <v>-534811885</v>
      </c>
      <c r="M2361">
        <v>128338880</v>
      </c>
      <c r="N2361">
        <v>261833926</v>
      </c>
      <c r="O2361">
        <v>159610314</v>
      </c>
      <c r="P2361">
        <v>119</v>
      </c>
      <c r="Q2361" t="s">
        <v>4766</v>
      </c>
    </row>
    <row r="2362" spans="1:17" x14ac:dyDescent="0.3">
      <c r="A2362" t="s">
        <v>4382</v>
      </c>
      <c r="B2362" t="str">
        <f>"000600"</f>
        <v>000600</v>
      </c>
      <c r="C2362" t="s">
        <v>4767</v>
      </c>
      <c r="D2362" t="s">
        <v>41</v>
      </c>
      <c r="F2362">
        <v>-103621733</v>
      </c>
      <c r="G2362">
        <v>1069454318</v>
      </c>
      <c r="H2362">
        <v>320391728</v>
      </c>
      <c r="I2362">
        <v>346132563</v>
      </c>
      <c r="J2362">
        <v>-590812596</v>
      </c>
      <c r="K2362">
        <v>1051226190</v>
      </c>
      <c r="L2362">
        <v>1300389610</v>
      </c>
      <c r="M2362">
        <v>2662243843</v>
      </c>
      <c r="N2362">
        <v>1123549111</v>
      </c>
      <c r="O2362">
        <v>-333589802</v>
      </c>
      <c r="P2362">
        <v>312</v>
      </c>
      <c r="Q2362" t="s">
        <v>4768</v>
      </c>
    </row>
    <row r="2363" spans="1:17" x14ac:dyDescent="0.3">
      <c r="A2363" t="s">
        <v>4382</v>
      </c>
      <c r="B2363" t="str">
        <f>"000601"</f>
        <v>000601</v>
      </c>
      <c r="C2363" t="s">
        <v>4769</v>
      </c>
      <c r="D2363" t="s">
        <v>41</v>
      </c>
      <c r="F2363">
        <v>-343125154</v>
      </c>
      <c r="G2363">
        <v>-632472898</v>
      </c>
      <c r="H2363">
        <v>-285010762</v>
      </c>
      <c r="I2363">
        <v>-63784006</v>
      </c>
      <c r="J2363">
        <v>329191322</v>
      </c>
      <c r="K2363">
        <v>557122307</v>
      </c>
      <c r="L2363">
        <v>429895772</v>
      </c>
      <c r="M2363">
        <v>474751665</v>
      </c>
      <c r="N2363">
        <v>382455304</v>
      </c>
      <c r="O2363">
        <v>16000390</v>
      </c>
      <c r="P2363">
        <v>215</v>
      </c>
      <c r="Q2363" t="s">
        <v>4770</v>
      </c>
    </row>
    <row r="2364" spans="1:17" x14ac:dyDescent="0.3">
      <c r="A2364" t="s">
        <v>4382</v>
      </c>
      <c r="B2364" t="str">
        <f>"000602"</f>
        <v>000602</v>
      </c>
      <c r="C2364" t="s">
        <v>4771</v>
      </c>
      <c r="O2364">
        <v>122291304.06</v>
      </c>
      <c r="P2364">
        <v>5</v>
      </c>
      <c r="Q2364" t="s">
        <v>4772</v>
      </c>
    </row>
    <row r="2365" spans="1:17" x14ac:dyDescent="0.3">
      <c r="A2365" t="s">
        <v>4382</v>
      </c>
      <c r="B2365" t="str">
        <f>"000603"</f>
        <v>000603</v>
      </c>
      <c r="C2365" t="s">
        <v>4773</v>
      </c>
      <c r="D2365" t="s">
        <v>234</v>
      </c>
      <c r="F2365">
        <v>189498958</v>
      </c>
      <c r="G2365">
        <v>30368300</v>
      </c>
      <c r="H2365">
        <v>49065258</v>
      </c>
      <c r="I2365">
        <v>-255547237</v>
      </c>
      <c r="J2365">
        <v>59166411</v>
      </c>
      <c r="K2365">
        <v>280707268</v>
      </c>
      <c r="L2365">
        <v>203770179</v>
      </c>
      <c r="M2365">
        <v>384729504</v>
      </c>
      <c r="N2365">
        <v>418418032</v>
      </c>
      <c r="O2365">
        <v>485021650</v>
      </c>
      <c r="P2365">
        <v>351</v>
      </c>
      <c r="Q2365" t="s">
        <v>4774</v>
      </c>
    </row>
    <row r="2366" spans="1:17" x14ac:dyDescent="0.3">
      <c r="A2366" t="s">
        <v>4382</v>
      </c>
      <c r="B2366" t="str">
        <f>"000605"</f>
        <v>000605</v>
      </c>
      <c r="C2366" t="s">
        <v>4775</v>
      </c>
      <c r="D2366" t="s">
        <v>33</v>
      </c>
      <c r="F2366">
        <v>-10840426</v>
      </c>
      <c r="G2366">
        <v>-250456257</v>
      </c>
      <c r="H2366">
        <v>-84188802</v>
      </c>
      <c r="I2366">
        <v>-518489248</v>
      </c>
      <c r="J2366">
        <v>-500309062</v>
      </c>
      <c r="K2366">
        <v>129902678</v>
      </c>
      <c r="L2366">
        <v>97055219</v>
      </c>
      <c r="M2366">
        <v>22191656</v>
      </c>
      <c r="N2366">
        <v>-12600238</v>
      </c>
      <c r="O2366">
        <v>-278345</v>
      </c>
      <c r="P2366">
        <v>85</v>
      </c>
      <c r="Q2366" t="s">
        <v>4776</v>
      </c>
    </row>
    <row r="2367" spans="1:17" x14ac:dyDescent="0.3">
      <c r="A2367" t="s">
        <v>4382</v>
      </c>
      <c r="B2367" t="str">
        <f>"000606"</f>
        <v>000606</v>
      </c>
      <c r="C2367" t="s">
        <v>4777</v>
      </c>
      <c r="D2367" t="s">
        <v>212</v>
      </c>
      <c r="F2367">
        <v>-165372314</v>
      </c>
      <c r="G2367">
        <v>6679319</v>
      </c>
      <c r="H2367">
        <v>36033537</v>
      </c>
      <c r="I2367">
        <v>-167819497</v>
      </c>
      <c r="J2367">
        <v>-216193067</v>
      </c>
      <c r="K2367">
        <v>-89886560</v>
      </c>
      <c r="L2367">
        <v>-21953620</v>
      </c>
      <c r="M2367">
        <v>-32082178</v>
      </c>
      <c r="N2367">
        <v>-67048641</v>
      </c>
      <c r="O2367">
        <v>12976737</v>
      </c>
      <c r="P2367">
        <v>99</v>
      </c>
      <c r="Q2367" t="s">
        <v>4778</v>
      </c>
    </row>
    <row r="2368" spans="1:17" x14ac:dyDescent="0.3">
      <c r="A2368" t="s">
        <v>4382</v>
      </c>
      <c r="B2368" t="str">
        <f>"000607"</f>
        <v>000607</v>
      </c>
      <c r="C2368" t="s">
        <v>4779</v>
      </c>
      <c r="D2368" t="s">
        <v>89</v>
      </c>
      <c r="F2368">
        <v>-108846981</v>
      </c>
      <c r="G2368">
        <v>-94996606</v>
      </c>
      <c r="H2368">
        <v>-153013246</v>
      </c>
      <c r="I2368">
        <v>-109184134</v>
      </c>
      <c r="J2368">
        <v>-192491388</v>
      </c>
      <c r="K2368">
        <v>-122169191</v>
      </c>
      <c r="L2368">
        <v>-157493171</v>
      </c>
      <c r="M2368">
        <v>-123637354</v>
      </c>
      <c r="N2368">
        <v>-130043373</v>
      </c>
      <c r="O2368">
        <v>-277383626</v>
      </c>
      <c r="P2368">
        <v>109</v>
      </c>
      <c r="Q2368" t="s">
        <v>4780</v>
      </c>
    </row>
    <row r="2369" spans="1:17" x14ac:dyDescent="0.3">
      <c r="A2369" t="s">
        <v>4382</v>
      </c>
      <c r="B2369" t="str">
        <f>"000608"</f>
        <v>000608</v>
      </c>
      <c r="C2369" t="s">
        <v>4781</v>
      </c>
      <c r="D2369" t="s">
        <v>30</v>
      </c>
      <c r="F2369">
        <v>46544200</v>
      </c>
      <c r="G2369">
        <v>122600825</v>
      </c>
      <c r="H2369">
        <v>214878000</v>
      </c>
      <c r="I2369">
        <v>-204959000</v>
      </c>
      <c r="J2369">
        <v>96548000</v>
      </c>
      <c r="K2369">
        <v>94869000</v>
      </c>
      <c r="L2369">
        <v>-141632000</v>
      </c>
      <c r="M2369">
        <v>-47713000</v>
      </c>
      <c r="N2369">
        <v>-405576000</v>
      </c>
      <c r="O2369">
        <v>-139993000</v>
      </c>
      <c r="P2369">
        <v>102</v>
      </c>
      <c r="Q2369" t="s">
        <v>4782</v>
      </c>
    </row>
    <row r="2370" spans="1:17" x14ac:dyDescent="0.3">
      <c r="A2370" t="s">
        <v>4382</v>
      </c>
      <c r="B2370" t="str">
        <f>"000609"</f>
        <v>000609</v>
      </c>
      <c r="C2370" t="s">
        <v>4783</v>
      </c>
      <c r="D2370" t="s">
        <v>30</v>
      </c>
      <c r="F2370">
        <v>61797870</v>
      </c>
      <c r="G2370">
        <v>-25092459</v>
      </c>
      <c r="H2370">
        <v>-55936591</v>
      </c>
      <c r="I2370">
        <v>-998785551</v>
      </c>
      <c r="J2370">
        <v>-102454949</v>
      </c>
      <c r="K2370">
        <v>26321659</v>
      </c>
      <c r="L2370">
        <v>13656228</v>
      </c>
      <c r="M2370">
        <v>16841946</v>
      </c>
      <c r="N2370">
        <v>108554025</v>
      </c>
      <c r="O2370">
        <v>146161888</v>
      </c>
      <c r="P2370">
        <v>95</v>
      </c>
      <c r="Q2370" t="s">
        <v>4784</v>
      </c>
    </row>
    <row r="2371" spans="1:17" x14ac:dyDescent="0.3">
      <c r="A2371" t="s">
        <v>4382</v>
      </c>
      <c r="B2371" t="str">
        <f>"000610"</f>
        <v>000610</v>
      </c>
      <c r="C2371" t="s">
        <v>4785</v>
      </c>
      <c r="D2371" t="s">
        <v>110</v>
      </c>
      <c r="F2371">
        <v>-188679287</v>
      </c>
      <c r="G2371">
        <v>-200151494</v>
      </c>
      <c r="H2371">
        <v>-54391349</v>
      </c>
      <c r="I2371">
        <v>-94220268</v>
      </c>
      <c r="J2371">
        <v>-270699606</v>
      </c>
      <c r="K2371">
        <v>-78325532</v>
      </c>
      <c r="L2371">
        <v>-7473482</v>
      </c>
      <c r="M2371">
        <v>-14046974</v>
      </c>
      <c r="N2371">
        <v>-16179220</v>
      </c>
      <c r="O2371">
        <v>62801158</v>
      </c>
      <c r="P2371">
        <v>152</v>
      </c>
      <c r="Q2371" t="s">
        <v>4786</v>
      </c>
    </row>
    <row r="2372" spans="1:17" x14ac:dyDescent="0.3">
      <c r="A2372" t="s">
        <v>4382</v>
      </c>
      <c r="B2372" t="str">
        <f>"000611"</f>
        <v>000611</v>
      </c>
      <c r="C2372" t="s">
        <v>4787</v>
      </c>
      <c r="D2372" t="s">
        <v>257</v>
      </c>
      <c r="F2372">
        <v>-165627219</v>
      </c>
      <c r="G2372">
        <v>-225389606</v>
      </c>
      <c r="H2372">
        <v>-22508321</v>
      </c>
      <c r="I2372">
        <v>89331073</v>
      </c>
      <c r="J2372">
        <v>-45785360</v>
      </c>
      <c r="K2372">
        <v>-447867</v>
      </c>
      <c r="L2372">
        <v>-539639</v>
      </c>
      <c r="M2372">
        <v>-7493650</v>
      </c>
      <c r="N2372">
        <v>-39103589</v>
      </c>
      <c r="O2372">
        <v>-45039278</v>
      </c>
      <c r="P2372">
        <v>68</v>
      </c>
      <c r="Q2372" t="s">
        <v>4788</v>
      </c>
    </row>
    <row r="2373" spans="1:17" x14ac:dyDescent="0.3">
      <c r="A2373" t="s">
        <v>4382</v>
      </c>
      <c r="B2373" t="str">
        <f>"000612"</f>
        <v>000612</v>
      </c>
      <c r="C2373" t="s">
        <v>4789</v>
      </c>
      <c r="D2373" t="s">
        <v>234</v>
      </c>
      <c r="F2373">
        <v>420768088</v>
      </c>
      <c r="G2373">
        <v>878098426</v>
      </c>
      <c r="H2373">
        <v>518025966</v>
      </c>
      <c r="I2373">
        <v>590836479</v>
      </c>
      <c r="J2373">
        <v>116107247</v>
      </c>
      <c r="K2373">
        <v>-11820080</v>
      </c>
      <c r="L2373">
        <v>-68361772</v>
      </c>
      <c r="M2373">
        <v>1089846472</v>
      </c>
      <c r="N2373">
        <v>-371424115</v>
      </c>
      <c r="O2373">
        <v>-541876723</v>
      </c>
      <c r="P2373">
        <v>199</v>
      </c>
      <c r="Q2373" t="s">
        <v>4790</v>
      </c>
    </row>
    <row r="2374" spans="1:17" x14ac:dyDescent="0.3">
      <c r="A2374" t="s">
        <v>4382</v>
      </c>
      <c r="B2374" t="str">
        <f>"000613"</f>
        <v>000613</v>
      </c>
      <c r="C2374" t="s">
        <v>4791</v>
      </c>
      <c r="D2374" t="s">
        <v>110</v>
      </c>
      <c r="F2374">
        <v>11024025</v>
      </c>
      <c r="G2374">
        <v>-20601986</v>
      </c>
      <c r="H2374">
        <v>-8378485</v>
      </c>
      <c r="I2374">
        <v>3640126</v>
      </c>
      <c r="J2374">
        <v>-1480236</v>
      </c>
      <c r="K2374">
        <v>809751</v>
      </c>
      <c r="L2374">
        <v>-1558699</v>
      </c>
      <c r="M2374">
        <v>2565311</v>
      </c>
      <c r="N2374">
        <v>1551876</v>
      </c>
      <c r="O2374">
        <v>-1398278</v>
      </c>
      <c r="P2374">
        <v>100</v>
      </c>
      <c r="Q2374" t="s">
        <v>4792</v>
      </c>
    </row>
    <row r="2375" spans="1:17" x14ac:dyDescent="0.3">
      <c r="A2375" t="s">
        <v>4382</v>
      </c>
      <c r="B2375" t="str">
        <f>"000615"</f>
        <v>000615</v>
      </c>
      <c r="C2375" t="s">
        <v>4793</v>
      </c>
      <c r="D2375" t="s">
        <v>481</v>
      </c>
      <c r="F2375">
        <v>-86063534</v>
      </c>
      <c r="G2375">
        <v>-803553348</v>
      </c>
      <c r="H2375">
        <v>147843228</v>
      </c>
      <c r="I2375">
        <v>260984328</v>
      </c>
      <c r="J2375">
        <v>375086403</v>
      </c>
      <c r="K2375">
        <v>396777801</v>
      </c>
      <c r="L2375">
        <v>844674135</v>
      </c>
      <c r="M2375">
        <v>167566632</v>
      </c>
      <c r="N2375">
        <v>-16573806</v>
      </c>
      <c r="O2375">
        <v>-16481228</v>
      </c>
      <c r="P2375">
        <v>188</v>
      </c>
      <c r="Q2375" t="s">
        <v>4794</v>
      </c>
    </row>
    <row r="2376" spans="1:17" x14ac:dyDescent="0.3">
      <c r="A2376" t="s">
        <v>4382</v>
      </c>
      <c r="B2376" t="str">
        <f>"000616"</f>
        <v>000616</v>
      </c>
      <c r="C2376" t="s">
        <v>4795</v>
      </c>
      <c r="D2376" t="s">
        <v>30</v>
      </c>
      <c r="F2376">
        <v>70971099</v>
      </c>
      <c r="G2376">
        <v>-193338679</v>
      </c>
      <c r="H2376">
        <v>136940150</v>
      </c>
      <c r="I2376">
        <v>574109007</v>
      </c>
      <c r="J2376">
        <v>-144184971</v>
      </c>
      <c r="K2376">
        <v>32147934</v>
      </c>
      <c r="L2376">
        <v>5200451</v>
      </c>
      <c r="M2376">
        <v>-102396098</v>
      </c>
      <c r="N2376">
        <v>-698328408</v>
      </c>
      <c r="O2376">
        <v>1101943593</v>
      </c>
      <c r="P2376">
        <v>140</v>
      </c>
      <c r="Q2376" t="s">
        <v>4796</v>
      </c>
    </row>
    <row r="2377" spans="1:17" x14ac:dyDescent="0.3">
      <c r="A2377" t="s">
        <v>4382</v>
      </c>
      <c r="B2377" t="str">
        <f>"000617"</f>
        <v>000617</v>
      </c>
      <c r="C2377" t="s">
        <v>4797</v>
      </c>
      <c r="D2377" t="s">
        <v>75</v>
      </c>
      <c r="F2377">
        <v>-1543967</v>
      </c>
      <c r="G2377">
        <v>-79945519143</v>
      </c>
      <c r="H2377">
        <v>-15853236329</v>
      </c>
      <c r="I2377">
        <v>-42736452847</v>
      </c>
      <c r="J2377">
        <v>4853808369</v>
      </c>
      <c r="K2377">
        <v>-43686359</v>
      </c>
      <c r="L2377">
        <v>-52670133</v>
      </c>
      <c r="M2377">
        <v>-67850725</v>
      </c>
      <c r="N2377">
        <v>-50412811</v>
      </c>
      <c r="O2377">
        <v>-92737323</v>
      </c>
      <c r="P2377">
        <v>234</v>
      </c>
      <c r="Q2377" t="s">
        <v>4798</v>
      </c>
    </row>
    <row r="2378" spans="1:17" x14ac:dyDescent="0.3">
      <c r="A2378" t="s">
        <v>4382</v>
      </c>
      <c r="B2378" t="str">
        <f>"000619"</f>
        <v>000619</v>
      </c>
      <c r="C2378" t="s">
        <v>4799</v>
      </c>
      <c r="D2378" t="s">
        <v>350</v>
      </c>
      <c r="F2378">
        <v>-100885018</v>
      </c>
      <c r="G2378">
        <v>-140588851</v>
      </c>
      <c r="H2378">
        <v>-21967420</v>
      </c>
      <c r="I2378">
        <v>-182978715</v>
      </c>
      <c r="J2378">
        <v>-58312498</v>
      </c>
      <c r="K2378">
        <v>173991371</v>
      </c>
      <c r="L2378">
        <v>391890601</v>
      </c>
      <c r="M2378">
        <v>298507205</v>
      </c>
      <c r="N2378">
        <v>161171998</v>
      </c>
      <c r="O2378">
        <v>43504162</v>
      </c>
      <c r="P2378">
        <v>98</v>
      </c>
      <c r="Q2378" t="s">
        <v>4800</v>
      </c>
    </row>
    <row r="2379" spans="1:17" x14ac:dyDescent="0.3">
      <c r="A2379" t="s">
        <v>4382</v>
      </c>
      <c r="B2379" t="str">
        <f>"000620"</f>
        <v>000620</v>
      </c>
      <c r="C2379" t="s">
        <v>4801</v>
      </c>
      <c r="D2379" t="s">
        <v>30</v>
      </c>
      <c r="F2379">
        <v>689843495</v>
      </c>
      <c r="G2379">
        <v>2449772791</v>
      </c>
      <c r="H2379">
        <v>735734959</v>
      </c>
      <c r="I2379">
        <v>282566921</v>
      </c>
      <c r="J2379">
        <v>1117146122</v>
      </c>
      <c r="K2379">
        <v>-1278417411</v>
      </c>
      <c r="L2379">
        <v>-1904378119</v>
      </c>
      <c r="M2379">
        <v>-1800407522</v>
      </c>
      <c r="N2379">
        <v>-2512908353</v>
      </c>
      <c r="O2379">
        <v>-595828806</v>
      </c>
      <c r="P2379">
        <v>298</v>
      </c>
      <c r="Q2379" t="s">
        <v>4802</v>
      </c>
    </row>
    <row r="2380" spans="1:17" x14ac:dyDescent="0.3">
      <c r="A2380" t="s">
        <v>4382</v>
      </c>
      <c r="B2380" t="str">
        <f>"000622"</f>
        <v>000622</v>
      </c>
      <c r="C2380" t="s">
        <v>4803</v>
      </c>
      <c r="D2380" t="s">
        <v>103</v>
      </c>
      <c r="F2380">
        <v>-80311582</v>
      </c>
      <c r="G2380">
        <v>-67486318</v>
      </c>
      <c r="H2380">
        <v>-98085485</v>
      </c>
      <c r="I2380">
        <v>-131776674</v>
      </c>
      <c r="J2380">
        <v>-27948244</v>
      </c>
      <c r="K2380">
        <v>-20541257</v>
      </c>
      <c r="L2380">
        <v>-16359229</v>
      </c>
      <c r="M2380">
        <v>-34315608</v>
      </c>
      <c r="N2380">
        <v>-19918394</v>
      </c>
      <c r="O2380">
        <v>5609232</v>
      </c>
      <c r="P2380">
        <v>101</v>
      </c>
      <c r="Q2380" t="s">
        <v>4804</v>
      </c>
    </row>
    <row r="2381" spans="1:17" x14ac:dyDescent="0.3">
      <c r="A2381" t="s">
        <v>4382</v>
      </c>
      <c r="B2381" t="str">
        <f>"000623"</f>
        <v>000623</v>
      </c>
      <c r="C2381" t="s">
        <v>4805</v>
      </c>
      <c r="D2381" t="s">
        <v>113</v>
      </c>
      <c r="F2381">
        <v>-19603597</v>
      </c>
      <c r="G2381">
        <v>197234404</v>
      </c>
      <c r="H2381">
        <v>37240764</v>
      </c>
      <c r="I2381">
        <v>134542215</v>
      </c>
      <c r="J2381">
        <v>129084404</v>
      </c>
      <c r="K2381">
        <v>88574545</v>
      </c>
      <c r="L2381">
        <v>-57931211</v>
      </c>
      <c r="M2381">
        <v>-97668359</v>
      </c>
      <c r="N2381">
        <v>-85355609</v>
      </c>
      <c r="O2381">
        <v>-165826991</v>
      </c>
      <c r="P2381">
        <v>671</v>
      </c>
      <c r="Q2381" t="s">
        <v>4806</v>
      </c>
    </row>
    <row r="2382" spans="1:17" x14ac:dyDescent="0.3">
      <c r="A2382" t="s">
        <v>4382</v>
      </c>
      <c r="B2382" t="str">
        <f>"000625"</f>
        <v>000625</v>
      </c>
      <c r="C2382" t="s">
        <v>4807</v>
      </c>
      <c r="D2382" t="s">
        <v>27</v>
      </c>
      <c r="F2382">
        <v>21313403869</v>
      </c>
      <c r="G2382">
        <v>4242242683</v>
      </c>
      <c r="H2382">
        <v>453209067</v>
      </c>
      <c r="I2382">
        <v>-3661285703</v>
      </c>
      <c r="J2382">
        <v>-1697299565</v>
      </c>
      <c r="K2382">
        <v>2827066460</v>
      </c>
      <c r="L2382">
        <v>6209777992</v>
      </c>
      <c r="M2382">
        <v>3490355016</v>
      </c>
      <c r="N2382">
        <v>1076506343</v>
      </c>
      <c r="O2382">
        <v>-2865667384</v>
      </c>
      <c r="P2382">
        <v>3100</v>
      </c>
      <c r="Q2382" t="s">
        <v>4808</v>
      </c>
    </row>
    <row r="2383" spans="1:17" x14ac:dyDescent="0.3">
      <c r="A2383" t="s">
        <v>4382</v>
      </c>
      <c r="B2383" t="str">
        <f>"000626"</f>
        <v>000626</v>
      </c>
      <c r="C2383" t="s">
        <v>4809</v>
      </c>
      <c r="D2383" t="s">
        <v>22</v>
      </c>
      <c r="F2383">
        <v>295515909</v>
      </c>
      <c r="G2383">
        <v>-459539511</v>
      </c>
      <c r="H2383">
        <v>-237494927</v>
      </c>
      <c r="I2383">
        <v>-1467293859</v>
      </c>
      <c r="J2383">
        <v>-82179873</v>
      </c>
      <c r="K2383">
        <v>-2103321301</v>
      </c>
      <c r="L2383">
        <v>-600921939</v>
      </c>
      <c r="M2383">
        <v>-570146606</v>
      </c>
      <c r="N2383">
        <v>-539145941</v>
      </c>
      <c r="O2383">
        <v>-470579229</v>
      </c>
      <c r="P2383">
        <v>125</v>
      </c>
      <c r="Q2383" t="s">
        <v>4810</v>
      </c>
    </row>
    <row r="2384" spans="1:17" x14ac:dyDescent="0.3">
      <c r="A2384" t="s">
        <v>4382</v>
      </c>
      <c r="B2384" t="str">
        <f>"000627"</f>
        <v>000627</v>
      </c>
      <c r="C2384" t="s">
        <v>4811</v>
      </c>
      <c r="D2384" t="s">
        <v>75</v>
      </c>
      <c r="F2384">
        <v>-2284652808</v>
      </c>
      <c r="G2384">
        <v>16661719776</v>
      </c>
      <c r="H2384">
        <v>26184418630</v>
      </c>
      <c r="I2384">
        <v>8723347762</v>
      </c>
      <c r="J2384">
        <v>8933485049</v>
      </c>
      <c r="K2384">
        <v>-5807815216</v>
      </c>
      <c r="L2384">
        <v>-49542590</v>
      </c>
      <c r="M2384">
        <v>-181799114</v>
      </c>
      <c r="N2384">
        <v>-15400235</v>
      </c>
      <c r="O2384">
        <v>-9177937</v>
      </c>
      <c r="P2384">
        <v>288</v>
      </c>
      <c r="Q2384" t="s">
        <v>4812</v>
      </c>
    </row>
    <row r="2385" spans="1:17" x14ac:dyDescent="0.3">
      <c r="A2385" t="s">
        <v>4382</v>
      </c>
      <c r="B2385" t="str">
        <f>"000628"</f>
        <v>000628</v>
      </c>
      <c r="C2385" t="s">
        <v>4813</v>
      </c>
      <c r="D2385" t="s">
        <v>95</v>
      </c>
      <c r="F2385">
        <v>258258467</v>
      </c>
      <c r="G2385">
        <v>-11415104</v>
      </c>
      <c r="H2385">
        <v>69329797</v>
      </c>
      <c r="I2385">
        <v>-102340073</v>
      </c>
      <c r="J2385">
        <v>414070200</v>
      </c>
      <c r="K2385">
        <v>63826476</v>
      </c>
      <c r="L2385">
        <v>-136171305</v>
      </c>
      <c r="M2385">
        <v>51535536</v>
      </c>
      <c r="N2385">
        <v>-68470472</v>
      </c>
      <c r="O2385">
        <v>-66334236</v>
      </c>
      <c r="P2385">
        <v>127</v>
      </c>
      <c r="Q2385" t="s">
        <v>4814</v>
      </c>
    </row>
    <row r="2386" spans="1:17" x14ac:dyDescent="0.3">
      <c r="A2386" t="s">
        <v>4382</v>
      </c>
      <c r="B2386" t="str">
        <f>"000629"</f>
        <v>000629</v>
      </c>
      <c r="C2386" t="s">
        <v>4815</v>
      </c>
      <c r="D2386" t="s">
        <v>38</v>
      </c>
      <c r="F2386">
        <v>351747571</v>
      </c>
      <c r="G2386">
        <v>758336326</v>
      </c>
      <c r="H2386">
        <v>2007735888</v>
      </c>
      <c r="I2386">
        <v>1240381405</v>
      </c>
      <c r="J2386">
        <v>48964135</v>
      </c>
      <c r="K2386">
        <v>375615685</v>
      </c>
      <c r="L2386">
        <v>-827086596</v>
      </c>
      <c r="M2386">
        <v>-2045483787</v>
      </c>
      <c r="N2386">
        <v>-2214496607</v>
      </c>
      <c r="O2386">
        <v>-1560115283</v>
      </c>
      <c r="P2386">
        <v>335</v>
      </c>
      <c r="Q2386" t="s">
        <v>4816</v>
      </c>
    </row>
    <row r="2387" spans="1:17" x14ac:dyDescent="0.3">
      <c r="A2387" t="s">
        <v>4382</v>
      </c>
      <c r="B2387" t="str">
        <f>"000630"</f>
        <v>000630</v>
      </c>
      <c r="C2387" t="s">
        <v>4817</v>
      </c>
      <c r="D2387" t="s">
        <v>234</v>
      </c>
      <c r="F2387">
        <v>796794257</v>
      </c>
      <c r="G2387">
        <v>344239585</v>
      </c>
      <c r="H2387">
        <v>745292023</v>
      </c>
      <c r="I2387">
        <v>2536229719</v>
      </c>
      <c r="J2387">
        <v>682188926</v>
      </c>
      <c r="K2387">
        <v>3406031391</v>
      </c>
      <c r="L2387">
        <v>4549381939</v>
      </c>
      <c r="M2387">
        <v>968291810</v>
      </c>
      <c r="N2387">
        <v>-3767289139</v>
      </c>
      <c r="O2387">
        <v>-2588717627</v>
      </c>
      <c r="P2387">
        <v>464</v>
      </c>
      <c r="Q2387" t="s">
        <v>4818</v>
      </c>
    </row>
    <row r="2388" spans="1:17" x14ac:dyDescent="0.3">
      <c r="A2388" t="s">
        <v>4382</v>
      </c>
      <c r="B2388" t="str">
        <f>"000631"</f>
        <v>000631</v>
      </c>
      <c r="C2388" t="s">
        <v>4819</v>
      </c>
      <c r="D2388" t="s">
        <v>30</v>
      </c>
      <c r="F2388">
        <v>1218556243</v>
      </c>
      <c r="G2388">
        <v>-915264571</v>
      </c>
      <c r="H2388">
        <v>286315858</v>
      </c>
      <c r="I2388">
        <v>1387969798</v>
      </c>
      <c r="J2388">
        <v>1365855345</v>
      </c>
      <c r="K2388">
        <v>2556316499</v>
      </c>
      <c r="L2388">
        <v>1304762759</v>
      </c>
      <c r="M2388">
        <v>-907951265</v>
      </c>
      <c r="N2388">
        <v>-658451020</v>
      </c>
      <c r="O2388">
        <v>1046156765</v>
      </c>
      <c r="P2388">
        <v>359</v>
      </c>
      <c r="Q2388" t="s">
        <v>4820</v>
      </c>
    </row>
    <row r="2389" spans="1:17" x14ac:dyDescent="0.3">
      <c r="A2389" t="s">
        <v>4382</v>
      </c>
      <c r="B2389" t="str">
        <f>"000632"</f>
        <v>000632</v>
      </c>
      <c r="C2389" t="s">
        <v>4821</v>
      </c>
      <c r="D2389" t="s">
        <v>103</v>
      </c>
      <c r="F2389">
        <v>103745921</v>
      </c>
      <c r="G2389">
        <v>-1310127124</v>
      </c>
      <c r="H2389">
        <v>1185549315</v>
      </c>
      <c r="I2389">
        <v>908686421</v>
      </c>
      <c r="J2389">
        <v>427760873</v>
      </c>
      <c r="K2389">
        <v>-221893369</v>
      </c>
      <c r="L2389">
        <v>189881011</v>
      </c>
      <c r="M2389">
        <v>-249585433</v>
      </c>
      <c r="N2389">
        <v>-302005343</v>
      </c>
      <c r="O2389">
        <v>7916983</v>
      </c>
      <c r="P2389">
        <v>69</v>
      </c>
      <c r="Q2389" t="s">
        <v>4822</v>
      </c>
    </row>
    <row r="2390" spans="1:17" x14ac:dyDescent="0.3">
      <c r="A2390" t="s">
        <v>4382</v>
      </c>
      <c r="B2390" t="str">
        <f>"000633"</f>
        <v>000633</v>
      </c>
      <c r="C2390" t="s">
        <v>4823</v>
      </c>
      <c r="D2390" t="s">
        <v>234</v>
      </c>
      <c r="F2390">
        <v>-8515156</v>
      </c>
      <c r="G2390">
        <v>4305454</v>
      </c>
      <c r="H2390">
        <v>-52374253</v>
      </c>
      <c r="I2390">
        <v>-126136732</v>
      </c>
      <c r="J2390">
        <v>-171987323</v>
      </c>
      <c r="K2390">
        <v>-24676053</v>
      </c>
      <c r="L2390">
        <v>32538171</v>
      </c>
      <c r="M2390">
        <v>-59038962</v>
      </c>
      <c r="N2390">
        <v>-36369663</v>
      </c>
      <c r="O2390">
        <v>-55291739</v>
      </c>
      <c r="P2390">
        <v>72</v>
      </c>
      <c r="Q2390" t="s">
        <v>4824</v>
      </c>
    </row>
    <row r="2391" spans="1:17" x14ac:dyDescent="0.3">
      <c r="A2391" t="s">
        <v>4382</v>
      </c>
      <c r="B2391" t="str">
        <f>"000635"</f>
        <v>000635</v>
      </c>
      <c r="C2391" t="s">
        <v>4825</v>
      </c>
      <c r="D2391" t="s">
        <v>133</v>
      </c>
      <c r="F2391">
        <v>210586568</v>
      </c>
      <c r="G2391">
        <v>110011752</v>
      </c>
      <c r="H2391">
        <v>53110412</v>
      </c>
      <c r="I2391">
        <v>89644687</v>
      </c>
      <c r="J2391">
        <v>233023608</v>
      </c>
      <c r="K2391">
        <v>107558777</v>
      </c>
      <c r="L2391">
        <v>6600407</v>
      </c>
      <c r="M2391">
        <v>103043775</v>
      </c>
      <c r="N2391">
        <v>180071615</v>
      </c>
      <c r="O2391">
        <v>150632804</v>
      </c>
      <c r="P2391">
        <v>135</v>
      </c>
      <c r="Q2391" t="s">
        <v>4826</v>
      </c>
    </row>
    <row r="2392" spans="1:17" x14ac:dyDescent="0.3">
      <c r="A2392" t="s">
        <v>4382</v>
      </c>
      <c r="B2392" t="str">
        <f>"000636"</f>
        <v>000636</v>
      </c>
      <c r="C2392" t="s">
        <v>4827</v>
      </c>
      <c r="D2392" t="s">
        <v>150</v>
      </c>
      <c r="F2392">
        <v>-698262539</v>
      </c>
      <c r="G2392">
        <v>-465539401</v>
      </c>
      <c r="H2392">
        <v>318213431</v>
      </c>
      <c r="I2392">
        <v>764068950</v>
      </c>
      <c r="J2392">
        <v>-163280633</v>
      </c>
      <c r="K2392">
        <v>-186137505</v>
      </c>
      <c r="L2392">
        <v>-281389987</v>
      </c>
      <c r="M2392">
        <v>-105690907</v>
      </c>
      <c r="N2392">
        <v>-48255553</v>
      </c>
      <c r="O2392">
        <v>-32436663</v>
      </c>
      <c r="P2392">
        <v>896</v>
      </c>
      <c r="Q2392" t="s">
        <v>4828</v>
      </c>
    </row>
    <row r="2393" spans="1:17" x14ac:dyDescent="0.3">
      <c r="A2393" t="s">
        <v>4382</v>
      </c>
      <c r="B2393" t="str">
        <f>"000637"</f>
        <v>000637</v>
      </c>
      <c r="C2393" t="s">
        <v>4829</v>
      </c>
      <c r="D2393" t="s">
        <v>70</v>
      </c>
      <c r="F2393">
        <v>-285913143</v>
      </c>
      <c r="G2393">
        <v>-310920458</v>
      </c>
      <c r="H2393">
        <v>-103547871</v>
      </c>
      <c r="I2393">
        <v>20644553</v>
      </c>
      <c r="J2393">
        <v>43157692</v>
      </c>
      <c r="K2393">
        <v>249435255</v>
      </c>
      <c r="L2393">
        <v>126985602</v>
      </c>
      <c r="M2393">
        <v>23240405</v>
      </c>
      <c r="N2393">
        <v>-36314604</v>
      </c>
      <c r="O2393">
        <v>-118063183</v>
      </c>
      <c r="P2393">
        <v>93</v>
      </c>
      <c r="Q2393" t="s">
        <v>4830</v>
      </c>
    </row>
    <row r="2394" spans="1:17" x14ac:dyDescent="0.3">
      <c r="A2394" t="s">
        <v>4382</v>
      </c>
      <c r="B2394" t="str">
        <f>"000638"</f>
        <v>000638</v>
      </c>
      <c r="C2394" t="s">
        <v>4831</v>
      </c>
      <c r="D2394" t="s">
        <v>212</v>
      </c>
      <c r="F2394">
        <v>-80706730</v>
      </c>
      <c r="G2394">
        <v>-68998148</v>
      </c>
      <c r="H2394">
        <v>-8460913</v>
      </c>
      <c r="I2394">
        <v>-95750697</v>
      </c>
      <c r="J2394">
        <v>183213194</v>
      </c>
      <c r="K2394">
        <v>-752049560</v>
      </c>
      <c r="L2394">
        <v>-232138780</v>
      </c>
      <c r="M2394">
        <v>-186434573</v>
      </c>
      <c r="N2394">
        <v>-116545285</v>
      </c>
      <c r="O2394">
        <v>95349060</v>
      </c>
      <c r="P2394">
        <v>87</v>
      </c>
      <c r="Q2394" t="s">
        <v>4832</v>
      </c>
    </row>
    <row r="2395" spans="1:17" x14ac:dyDescent="0.3">
      <c r="A2395" t="s">
        <v>4382</v>
      </c>
      <c r="B2395" t="str">
        <f>"000639"</f>
        <v>000639</v>
      </c>
      <c r="C2395" t="s">
        <v>4833</v>
      </c>
      <c r="D2395" t="s">
        <v>205</v>
      </c>
      <c r="F2395">
        <v>-209719687</v>
      </c>
      <c r="G2395">
        <v>348035759</v>
      </c>
      <c r="H2395">
        <v>364067836</v>
      </c>
      <c r="I2395">
        <v>847822838</v>
      </c>
      <c r="J2395">
        <v>105726879</v>
      </c>
      <c r="K2395">
        <v>-190708551</v>
      </c>
      <c r="L2395">
        <v>-33662854</v>
      </c>
      <c r="M2395">
        <v>7119125</v>
      </c>
      <c r="N2395">
        <v>90710104</v>
      </c>
      <c r="O2395">
        <v>283414948</v>
      </c>
      <c r="P2395">
        <v>328</v>
      </c>
      <c r="Q2395" t="s">
        <v>4834</v>
      </c>
    </row>
    <row r="2396" spans="1:17" x14ac:dyDescent="0.3">
      <c r="A2396" t="s">
        <v>4382</v>
      </c>
      <c r="B2396" t="str">
        <f>"000650"</f>
        <v>000650</v>
      </c>
      <c r="C2396" t="s">
        <v>4835</v>
      </c>
      <c r="D2396" t="s">
        <v>113</v>
      </c>
      <c r="F2396">
        <v>104953039</v>
      </c>
      <c r="G2396">
        <v>194209787</v>
      </c>
      <c r="H2396">
        <v>228810832</v>
      </c>
      <c r="I2396">
        <v>198270451</v>
      </c>
      <c r="J2396">
        <v>130238905</v>
      </c>
      <c r="K2396">
        <v>154842470</v>
      </c>
      <c r="L2396">
        <v>269895143</v>
      </c>
      <c r="M2396">
        <v>112925068</v>
      </c>
      <c r="N2396">
        <v>-23176422</v>
      </c>
      <c r="O2396">
        <v>-38181496</v>
      </c>
      <c r="P2396">
        <v>888</v>
      </c>
      <c r="Q2396" t="s">
        <v>4836</v>
      </c>
    </row>
    <row r="2397" spans="1:17" x14ac:dyDescent="0.3">
      <c r="A2397" t="s">
        <v>4382</v>
      </c>
      <c r="B2397" t="str">
        <f>"000651"</f>
        <v>000651</v>
      </c>
      <c r="C2397" t="s">
        <v>4837</v>
      </c>
      <c r="D2397" t="s">
        <v>126</v>
      </c>
      <c r="F2397">
        <v>2022428839</v>
      </c>
      <c r="G2397">
        <v>-389507676</v>
      </c>
      <c r="H2397">
        <v>29533537215</v>
      </c>
      <c r="I2397">
        <v>12482627186</v>
      </c>
      <c r="J2397">
        <v>3998551796</v>
      </c>
      <c r="K2397">
        <v>11988598910</v>
      </c>
      <c r="L2397">
        <v>34833063577</v>
      </c>
      <c r="M2397">
        <v>20460934640</v>
      </c>
      <c r="N2397">
        <v>17727573416</v>
      </c>
      <c r="O2397">
        <v>15546029737</v>
      </c>
      <c r="P2397">
        <v>55072</v>
      </c>
      <c r="Q2397" t="s">
        <v>4838</v>
      </c>
    </row>
    <row r="2398" spans="1:17" x14ac:dyDescent="0.3">
      <c r="A2398" t="s">
        <v>4382</v>
      </c>
      <c r="B2398" t="str">
        <f>"000652"</f>
        <v>000652</v>
      </c>
      <c r="C2398" t="s">
        <v>4839</v>
      </c>
      <c r="D2398" t="s">
        <v>103</v>
      </c>
      <c r="F2398">
        <v>-971193848</v>
      </c>
      <c r="G2398">
        <v>247435744</v>
      </c>
      <c r="H2398">
        <v>2226487376</v>
      </c>
      <c r="I2398">
        <v>1160957472</v>
      </c>
      <c r="J2398">
        <v>614215692</v>
      </c>
      <c r="K2398">
        <v>-978662452</v>
      </c>
      <c r="L2398">
        <v>-271321060</v>
      </c>
      <c r="M2398">
        <v>-1505843751</v>
      </c>
      <c r="N2398">
        <v>-375055878</v>
      </c>
      <c r="O2398">
        <v>-687019400</v>
      </c>
      <c r="P2398">
        <v>196</v>
      </c>
      <c r="Q2398" t="s">
        <v>4840</v>
      </c>
    </row>
    <row r="2399" spans="1:17" x14ac:dyDescent="0.3">
      <c r="A2399" t="s">
        <v>4382</v>
      </c>
      <c r="B2399" t="str">
        <f>"000655"</f>
        <v>000655</v>
      </c>
      <c r="C2399" t="s">
        <v>4841</v>
      </c>
      <c r="D2399" t="s">
        <v>38</v>
      </c>
      <c r="F2399">
        <v>380956992</v>
      </c>
      <c r="G2399">
        <v>190391790</v>
      </c>
      <c r="H2399">
        <v>327363359</v>
      </c>
      <c r="I2399">
        <v>366290114</v>
      </c>
      <c r="J2399">
        <v>159555716</v>
      </c>
      <c r="K2399">
        <v>-128132509</v>
      </c>
      <c r="L2399">
        <v>-84183493</v>
      </c>
      <c r="M2399">
        <v>126945486</v>
      </c>
      <c r="N2399">
        <v>-42051634</v>
      </c>
      <c r="O2399">
        <v>-26423398</v>
      </c>
      <c r="P2399">
        <v>145</v>
      </c>
      <c r="Q2399" t="s">
        <v>4842</v>
      </c>
    </row>
    <row r="2400" spans="1:17" x14ac:dyDescent="0.3">
      <c r="A2400" t="s">
        <v>4382</v>
      </c>
      <c r="B2400" t="str">
        <f>"000656"</f>
        <v>000656</v>
      </c>
      <c r="C2400" t="s">
        <v>4843</v>
      </c>
      <c r="D2400" t="s">
        <v>30</v>
      </c>
      <c r="F2400">
        <v>7344268894</v>
      </c>
      <c r="G2400">
        <v>1063564739</v>
      </c>
      <c r="H2400">
        <v>-5691471794</v>
      </c>
      <c r="I2400">
        <v>1521116317</v>
      </c>
      <c r="J2400">
        <v>-14588180628</v>
      </c>
      <c r="K2400">
        <v>1232557500</v>
      </c>
      <c r="L2400">
        <v>-1506101300</v>
      </c>
      <c r="M2400">
        <v>-7784831035</v>
      </c>
      <c r="N2400">
        <v>-3582497399</v>
      </c>
      <c r="O2400">
        <v>148394366</v>
      </c>
      <c r="P2400">
        <v>1065</v>
      </c>
      <c r="Q2400" t="s">
        <v>4844</v>
      </c>
    </row>
    <row r="2401" spans="1:17" x14ac:dyDescent="0.3">
      <c r="A2401" t="s">
        <v>4382</v>
      </c>
      <c r="B2401" t="str">
        <f>"000657"</f>
        <v>000657</v>
      </c>
      <c r="C2401" t="s">
        <v>4845</v>
      </c>
      <c r="D2401" t="s">
        <v>234</v>
      </c>
      <c r="F2401">
        <v>65603367</v>
      </c>
      <c r="G2401">
        <v>-642027747</v>
      </c>
      <c r="H2401">
        <v>-149813283</v>
      </c>
      <c r="I2401">
        <v>-413247418</v>
      </c>
      <c r="J2401">
        <v>319608317</v>
      </c>
      <c r="K2401">
        <v>64263740</v>
      </c>
      <c r="L2401">
        <v>277445708</v>
      </c>
      <c r="M2401">
        <v>-136553003</v>
      </c>
      <c r="N2401">
        <v>1433619</v>
      </c>
      <c r="O2401">
        <v>15157931</v>
      </c>
      <c r="P2401">
        <v>178</v>
      </c>
      <c r="Q2401" t="s">
        <v>4846</v>
      </c>
    </row>
    <row r="2402" spans="1:17" x14ac:dyDescent="0.3">
      <c r="A2402" t="s">
        <v>4382</v>
      </c>
      <c r="B2402" t="str">
        <f>"000658"</f>
        <v>000658</v>
      </c>
      <c r="C2402" t="s">
        <v>4847</v>
      </c>
      <c r="K2402">
        <v>-1008429.5</v>
      </c>
      <c r="L2402">
        <v>-405549.99</v>
      </c>
      <c r="M2402">
        <v>-396272.7</v>
      </c>
      <c r="N2402">
        <v>-341759.04</v>
      </c>
      <c r="O2402">
        <v>-524872.98</v>
      </c>
      <c r="P2402">
        <v>5</v>
      </c>
      <c r="Q2402" t="s">
        <v>4848</v>
      </c>
    </row>
    <row r="2403" spans="1:17" x14ac:dyDescent="0.3">
      <c r="A2403" t="s">
        <v>4382</v>
      </c>
      <c r="B2403" t="str">
        <f>"000659"</f>
        <v>000659</v>
      </c>
      <c r="C2403" t="s">
        <v>4849</v>
      </c>
      <c r="D2403" t="s">
        <v>161</v>
      </c>
      <c r="F2403">
        <v>150641315</v>
      </c>
      <c r="G2403">
        <v>86549365</v>
      </c>
      <c r="H2403">
        <v>103473620</v>
      </c>
      <c r="I2403">
        <v>183508910</v>
      </c>
      <c r="J2403">
        <v>74345229</v>
      </c>
      <c r="K2403">
        <v>83904604</v>
      </c>
      <c r="L2403">
        <v>276057624</v>
      </c>
      <c r="M2403">
        <v>426077400</v>
      </c>
      <c r="N2403">
        <v>-106974643</v>
      </c>
      <c r="O2403">
        <v>83353478</v>
      </c>
      <c r="P2403">
        <v>77</v>
      </c>
      <c r="Q2403" t="s">
        <v>4850</v>
      </c>
    </row>
    <row r="2404" spans="1:17" x14ac:dyDescent="0.3">
      <c r="A2404" t="s">
        <v>4382</v>
      </c>
      <c r="B2404" t="str">
        <f>"000660"</f>
        <v>000660</v>
      </c>
      <c r="C2404" t="s">
        <v>4851</v>
      </c>
      <c r="K2404">
        <v>-105022828.84</v>
      </c>
      <c r="O2404">
        <v>448078.44</v>
      </c>
      <c r="P2404">
        <v>6</v>
      </c>
      <c r="Q2404" t="s">
        <v>4852</v>
      </c>
    </row>
    <row r="2405" spans="1:17" x14ac:dyDescent="0.3">
      <c r="A2405" t="s">
        <v>4382</v>
      </c>
      <c r="B2405" t="str">
        <f>"000661"</f>
        <v>000661</v>
      </c>
      <c r="C2405" t="s">
        <v>4853</v>
      </c>
      <c r="D2405" t="s">
        <v>113</v>
      </c>
      <c r="F2405">
        <v>215424301</v>
      </c>
      <c r="G2405">
        <v>995179722</v>
      </c>
      <c r="H2405">
        <v>1033448260</v>
      </c>
      <c r="I2405">
        <v>-92422828</v>
      </c>
      <c r="J2405">
        <v>-91162438</v>
      </c>
      <c r="K2405">
        <v>-6201604</v>
      </c>
      <c r="L2405">
        <v>385994579</v>
      </c>
      <c r="M2405">
        <v>36205790</v>
      </c>
      <c r="N2405">
        <v>175454334</v>
      </c>
      <c r="O2405">
        <v>15596827</v>
      </c>
      <c r="P2405">
        <v>59938</v>
      </c>
      <c r="Q2405" t="s">
        <v>4854</v>
      </c>
    </row>
    <row r="2406" spans="1:17" x14ac:dyDescent="0.3">
      <c r="A2406" t="s">
        <v>4382</v>
      </c>
      <c r="B2406" t="str">
        <f>"000662"</f>
        <v>000662</v>
      </c>
      <c r="C2406" t="s">
        <v>4855</v>
      </c>
      <c r="G2406">
        <v>-1437707</v>
      </c>
      <c r="H2406">
        <v>-178444956</v>
      </c>
      <c r="I2406">
        <v>-986681567</v>
      </c>
      <c r="J2406">
        <v>-528622010</v>
      </c>
      <c r="K2406">
        <v>245480493</v>
      </c>
      <c r="L2406">
        <v>10085007</v>
      </c>
      <c r="M2406">
        <v>74968425</v>
      </c>
      <c r="N2406">
        <v>-179972218</v>
      </c>
      <c r="O2406">
        <v>-32588621</v>
      </c>
      <c r="P2406">
        <v>146</v>
      </c>
      <c r="Q2406" t="s">
        <v>4856</v>
      </c>
    </row>
    <row r="2407" spans="1:17" x14ac:dyDescent="0.3">
      <c r="A2407" t="s">
        <v>4382</v>
      </c>
      <c r="B2407" t="str">
        <f>"000663"</f>
        <v>000663</v>
      </c>
      <c r="C2407" t="s">
        <v>4857</v>
      </c>
      <c r="D2407" t="s">
        <v>161</v>
      </c>
      <c r="F2407">
        <v>193891157</v>
      </c>
      <c r="G2407">
        <v>38829269</v>
      </c>
      <c r="H2407">
        <v>38436609</v>
      </c>
      <c r="I2407">
        <v>-121197557</v>
      </c>
      <c r="J2407">
        <v>-164736461</v>
      </c>
      <c r="K2407">
        <v>125130775</v>
      </c>
      <c r="L2407">
        <v>9674916</v>
      </c>
      <c r="M2407">
        <v>27984924</v>
      </c>
      <c r="N2407">
        <v>23637224</v>
      </c>
      <c r="O2407">
        <v>71054778</v>
      </c>
      <c r="P2407">
        <v>93</v>
      </c>
      <c r="Q2407" t="s">
        <v>4858</v>
      </c>
    </row>
    <row r="2408" spans="1:17" x14ac:dyDescent="0.3">
      <c r="A2408" t="s">
        <v>4382</v>
      </c>
      <c r="B2408" t="str">
        <f>"000665"</f>
        <v>000665</v>
      </c>
      <c r="C2408" t="s">
        <v>4859</v>
      </c>
      <c r="D2408" t="s">
        <v>89</v>
      </c>
      <c r="F2408">
        <v>-505147719</v>
      </c>
      <c r="G2408">
        <v>-241137294</v>
      </c>
      <c r="H2408">
        <v>-1072996575</v>
      </c>
      <c r="I2408">
        <v>-811668676</v>
      </c>
      <c r="J2408">
        <v>-313119098</v>
      </c>
      <c r="K2408">
        <v>53495971</v>
      </c>
      <c r="L2408">
        <v>-46536091</v>
      </c>
      <c r="M2408">
        <v>-192517108</v>
      </c>
      <c r="N2408">
        <v>52046099</v>
      </c>
      <c r="O2408">
        <v>110052953</v>
      </c>
      <c r="P2408">
        <v>221</v>
      </c>
      <c r="Q2408" t="s">
        <v>4860</v>
      </c>
    </row>
    <row r="2409" spans="1:17" x14ac:dyDescent="0.3">
      <c r="A2409" t="s">
        <v>4382</v>
      </c>
      <c r="B2409" t="str">
        <f>"000666"</f>
        <v>000666</v>
      </c>
      <c r="C2409" t="s">
        <v>4861</v>
      </c>
      <c r="D2409" t="s">
        <v>75</v>
      </c>
      <c r="F2409">
        <v>-6929015752</v>
      </c>
      <c r="G2409">
        <v>-8422366327</v>
      </c>
      <c r="H2409">
        <v>-4087958534</v>
      </c>
      <c r="I2409">
        <v>-2731362417</v>
      </c>
      <c r="J2409">
        <v>1188750351</v>
      </c>
      <c r="K2409">
        <v>-2010350918</v>
      </c>
      <c r="L2409">
        <v>2398011327</v>
      </c>
      <c r="M2409">
        <v>1747510400</v>
      </c>
      <c r="N2409">
        <v>1363375010</v>
      </c>
      <c r="O2409">
        <v>1537804774</v>
      </c>
      <c r="P2409">
        <v>186</v>
      </c>
      <c r="Q2409" t="s">
        <v>4862</v>
      </c>
    </row>
    <row r="2410" spans="1:17" x14ac:dyDescent="0.3">
      <c r="A2410" t="s">
        <v>4382</v>
      </c>
      <c r="B2410" t="str">
        <f>"000667"</f>
        <v>000667</v>
      </c>
      <c r="C2410" t="s">
        <v>4863</v>
      </c>
      <c r="D2410" t="s">
        <v>30</v>
      </c>
      <c r="F2410">
        <v>1269799277</v>
      </c>
      <c r="G2410">
        <v>-238604360</v>
      </c>
      <c r="H2410">
        <v>-1980386805</v>
      </c>
      <c r="I2410">
        <v>-1016899989</v>
      </c>
      <c r="J2410">
        <v>-1320309051</v>
      </c>
      <c r="K2410">
        <v>2818593647</v>
      </c>
      <c r="L2410">
        <v>-186392201</v>
      </c>
      <c r="M2410">
        <v>-608049732</v>
      </c>
      <c r="N2410">
        <v>-533340159</v>
      </c>
      <c r="O2410">
        <v>-1982918563</v>
      </c>
      <c r="P2410">
        <v>169</v>
      </c>
      <c r="Q2410" t="s">
        <v>4864</v>
      </c>
    </row>
    <row r="2411" spans="1:17" x14ac:dyDescent="0.3">
      <c r="A2411" t="s">
        <v>4382</v>
      </c>
      <c r="B2411" t="str">
        <f>"000668"</f>
        <v>000668</v>
      </c>
      <c r="C2411" t="s">
        <v>4865</v>
      </c>
      <c r="D2411" t="s">
        <v>30</v>
      </c>
      <c r="F2411">
        <v>491648899</v>
      </c>
      <c r="G2411">
        <v>-96128194</v>
      </c>
      <c r="H2411">
        <v>-159862735</v>
      </c>
      <c r="I2411">
        <v>30010757</v>
      </c>
      <c r="J2411">
        <v>7296622</v>
      </c>
      <c r="K2411">
        <v>-122593350</v>
      </c>
      <c r="L2411">
        <v>-128709723</v>
      </c>
      <c r="M2411">
        <v>35967097</v>
      </c>
      <c r="N2411">
        <v>-124629858</v>
      </c>
      <c r="O2411">
        <v>-130339653</v>
      </c>
      <c r="P2411">
        <v>96</v>
      </c>
      <c r="Q2411" t="s">
        <v>4866</v>
      </c>
    </row>
    <row r="2412" spans="1:17" x14ac:dyDescent="0.3">
      <c r="A2412" t="s">
        <v>4382</v>
      </c>
      <c r="B2412" t="str">
        <f>"000669"</f>
        <v>000669</v>
      </c>
      <c r="C2412" t="s">
        <v>4867</v>
      </c>
      <c r="D2412" t="s">
        <v>41</v>
      </c>
      <c r="F2412">
        <v>112337488</v>
      </c>
      <c r="G2412">
        <v>91337039</v>
      </c>
      <c r="H2412">
        <v>-70712024</v>
      </c>
      <c r="I2412">
        <v>97214756</v>
      </c>
      <c r="J2412">
        <v>-590849377</v>
      </c>
      <c r="K2412">
        <v>-599381716</v>
      </c>
      <c r="L2412">
        <v>-407146866</v>
      </c>
      <c r="M2412">
        <v>-377738392</v>
      </c>
      <c r="N2412">
        <v>-433515886</v>
      </c>
      <c r="O2412">
        <v>36741334</v>
      </c>
      <c r="P2412">
        <v>83</v>
      </c>
      <c r="Q2412" t="s">
        <v>4868</v>
      </c>
    </row>
    <row r="2413" spans="1:17" x14ac:dyDescent="0.3">
      <c r="A2413" t="s">
        <v>4382</v>
      </c>
      <c r="B2413" t="str">
        <f>"000670"</f>
        <v>000670</v>
      </c>
      <c r="C2413" t="s">
        <v>4869</v>
      </c>
      <c r="D2413" t="s">
        <v>150</v>
      </c>
      <c r="F2413">
        <v>-131832249</v>
      </c>
      <c r="G2413">
        <v>-98053196</v>
      </c>
      <c r="H2413">
        <v>-24539992</v>
      </c>
      <c r="I2413">
        <v>-17898299</v>
      </c>
      <c r="J2413">
        <v>-58509875</v>
      </c>
      <c r="K2413">
        <v>-131199661</v>
      </c>
      <c r="L2413">
        <v>-166341286</v>
      </c>
      <c r="M2413">
        <v>-64779912</v>
      </c>
      <c r="N2413">
        <v>-69408558</v>
      </c>
      <c r="O2413">
        <v>-19632033</v>
      </c>
      <c r="P2413">
        <v>116</v>
      </c>
      <c r="Q2413" t="s">
        <v>4870</v>
      </c>
    </row>
    <row r="2414" spans="1:17" x14ac:dyDescent="0.3">
      <c r="A2414" t="s">
        <v>4382</v>
      </c>
      <c r="B2414" t="str">
        <f>"000671"</f>
        <v>000671</v>
      </c>
      <c r="C2414" t="s">
        <v>4871</v>
      </c>
      <c r="D2414" t="s">
        <v>30</v>
      </c>
      <c r="F2414">
        <v>20740588078</v>
      </c>
      <c r="G2414">
        <v>21774597763</v>
      </c>
      <c r="H2414">
        <v>11270978856</v>
      </c>
      <c r="I2414">
        <v>11280366391</v>
      </c>
      <c r="J2414">
        <v>5833752778</v>
      </c>
      <c r="K2414">
        <v>-3805065541</v>
      </c>
      <c r="L2414">
        <v>-2383782141</v>
      </c>
      <c r="M2414">
        <v>-4457447059</v>
      </c>
      <c r="N2414">
        <v>-1604129483</v>
      </c>
      <c r="O2414">
        <v>860897535</v>
      </c>
      <c r="P2414">
        <v>1191</v>
      </c>
      <c r="Q2414" t="s">
        <v>4872</v>
      </c>
    </row>
    <row r="2415" spans="1:17" x14ac:dyDescent="0.3">
      <c r="A2415" t="s">
        <v>4382</v>
      </c>
      <c r="B2415" t="str">
        <f>"000672"</f>
        <v>000672</v>
      </c>
      <c r="C2415" t="s">
        <v>4873</v>
      </c>
      <c r="D2415" t="s">
        <v>350</v>
      </c>
      <c r="F2415">
        <v>724649235</v>
      </c>
      <c r="G2415">
        <v>567001914</v>
      </c>
      <c r="H2415">
        <v>1686696724</v>
      </c>
      <c r="I2415">
        <v>960606690</v>
      </c>
      <c r="J2415">
        <v>510087606</v>
      </c>
      <c r="K2415">
        <v>66828724</v>
      </c>
      <c r="L2415">
        <v>-121891415</v>
      </c>
      <c r="M2415">
        <v>421892633</v>
      </c>
      <c r="N2415">
        <v>383021869</v>
      </c>
      <c r="O2415">
        <v>4271910</v>
      </c>
      <c r="P2415">
        <v>1263</v>
      </c>
      <c r="Q2415" t="s">
        <v>4874</v>
      </c>
    </row>
    <row r="2416" spans="1:17" x14ac:dyDescent="0.3">
      <c r="A2416" t="s">
        <v>4382</v>
      </c>
      <c r="B2416" t="str">
        <f>"000673"</f>
        <v>000673</v>
      </c>
      <c r="C2416" t="s">
        <v>4875</v>
      </c>
      <c r="D2416" t="s">
        <v>89</v>
      </c>
      <c r="F2416">
        <v>15252574</v>
      </c>
      <c r="G2416">
        <v>-17344437</v>
      </c>
      <c r="H2416">
        <v>73930788</v>
      </c>
      <c r="I2416">
        <v>-73730248</v>
      </c>
      <c r="J2416">
        <v>-226276058</v>
      </c>
      <c r="K2416">
        <v>-137062517</v>
      </c>
      <c r="L2416">
        <v>-425532983</v>
      </c>
      <c r="M2416">
        <v>-9405075</v>
      </c>
      <c r="N2416">
        <v>1186867</v>
      </c>
      <c r="O2416">
        <v>4656908</v>
      </c>
      <c r="P2416">
        <v>90</v>
      </c>
      <c r="Q2416" t="s">
        <v>4876</v>
      </c>
    </row>
    <row r="2417" spans="1:17" x14ac:dyDescent="0.3">
      <c r="A2417" t="s">
        <v>4382</v>
      </c>
      <c r="B2417" t="str">
        <f>"000675"</f>
        <v>000675</v>
      </c>
      <c r="C2417" t="s">
        <v>4877</v>
      </c>
      <c r="L2417">
        <v>-2694802.1</v>
      </c>
      <c r="N2417">
        <v>1833882.2</v>
      </c>
      <c r="O2417">
        <v>1061374.73</v>
      </c>
      <c r="P2417">
        <v>5</v>
      </c>
      <c r="Q2417" t="s">
        <v>4878</v>
      </c>
    </row>
    <row r="2418" spans="1:17" x14ac:dyDescent="0.3">
      <c r="A2418" t="s">
        <v>4382</v>
      </c>
      <c r="B2418" t="str">
        <f>"000676"</f>
        <v>000676</v>
      </c>
      <c r="C2418" t="s">
        <v>4879</v>
      </c>
      <c r="D2418" t="s">
        <v>89</v>
      </c>
      <c r="F2418">
        <v>-114954558</v>
      </c>
      <c r="G2418">
        <v>-100641439</v>
      </c>
      <c r="H2418">
        <v>-3826260</v>
      </c>
      <c r="I2418">
        <v>117128547</v>
      </c>
      <c r="J2418">
        <v>-266499883</v>
      </c>
      <c r="K2418">
        <v>3925821</v>
      </c>
      <c r="L2418">
        <v>102518075</v>
      </c>
      <c r="M2418">
        <v>-38441924</v>
      </c>
      <c r="N2418">
        <v>4963562</v>
      </c>
      <c r="O2418">
        <v>27159301</v>
      </c>
      <c r="P2418">
        <v>215</v>
      </c>
      <c r="Q2418" t="s">
        <v>4880</v>
      </c>
    </row>
    <row r="2419" spans="1:17" x14ac:dyDescent="0.3">
      <c r="A2419" t="s">
        <v>4382</v>
      </c>
      <c r="B2419" t="str">
        <f>"000677"</f>
        <v>000677</v>
      </c>
      <c r="C2419" t="s">
        <v>4881</v>
      </c>
      <c r="D2419" t="s">
        <v>133</v>
      </c>
      <c r="F2419">
        <v>49526936</v>
      </c>
      <c r="G2419">
        <v>22448692</v>
      </c>
      <c r="H2419">
        <v>56652494</v>
      </c>
      <c r="I2419">
        <v>14664910</v>
      </c>
      <c r="J2419">
        <v>-59217890</v>
      </c>
      <c r="K2419">
        <v>13204570</v>
      </c>
      <c r="L2419">
        <v>-24538306</v>
      </c>
      <c r="M2419">
        <v>-91860313</v>
      </c>
      <c r="N2419">
        <v>-101306170</v>
      </c>
      <c r="O2419">
        <v>-26451204</v>
      </c>
      <c r="P2419">
        <v>80</v>
      </c>
      <c r="Q2419" t="s">
        <v>4882</v>
      </c>
    </row>
    <row r="2420" spans="1:17" x14ac:dyDescent="0.3">
      <c r="A2420" t="s">
        <v>4382</v>
      </c>
      <c r="B2420" t="str">
        <f>"000678"</f>
        <v>000678</v>
      </c>
      <c r="C2420" t="s">
        <v>4883</v>
      </c>
      <c r="D2420" t="s">
        <v>27</v>
      </c>
      <c r="F2420">
        <v>21449238</v>
      </c>
      <c r="G2420">
        <v>45520244</v>
      </c>
      <c r="H2420">
        <v>-97841276</v>
      </c>
      <c r="I2420">
        <v>-10688650</v>
      </c>
      <c r="J2420">
        <v>-82895767</v>
      </c>
      <c r="K2420">
        <v>-97251303</v>
      </c>
      <c r="L2420">
        <v>-156405608</v>
      </c>
      <c r="M2420">
        <v>-151761253</v>
      </c>
      <c r="N2420">
        <v>-107643862</v>
      </c>
      <c r="O2420">
        <v>-73036014</v>
      </c>
      <c r="P2420">
        <v>71</v>
      </c>
      <c r="Q2420" t="s">
        <v>4884</v>
      </c>
    </row>
    <row r="2421" spans="1:17" x14ac:dyDescent="0.3">
      <c r="A2421" t="s">
        <v>4382</v>
      </c>
      <c r="B2421" t="str">
        <f>"000679"</f>
        <v>000679</v>
      </c>
      <c r="C2421" t="s">
        <v>4885</v>
      </c>
      <c r="D2421" t="s">
        <v>120</v>
      </c>
      <c r="F2421">
        <v>-30876435</v>
      </c>
      <c r="G2421">
        <v>1931021294</v>
      </c>
      <c r="H2421">
        <v>118342976</v>
      </c>
      <c r="I2421">
        <v>-64311605</v>
      </c>
      <c r="J2421">
        <v>-114899211</v>
      </c>
      <c r="K2421">
        <v>1293817845</v>
      </c>
      <c r="L2421">
        <v>-479410252</v>
      </c>
      <c r="M2421">
        <v>-611113315</v>
      </c>
      <c r="N2421">
        <v>-841464617</v>
      </c>
      <c r="O2421">
        <v>103263014</v>
      </c>
      <c r="P2421">
        <v>83</v>
      </c>
      <c r="Q2421" t="s">
        <v>4886</v>
      </c>
    </row>
    <row r="2422" spans="1:17" x14ac:dyDescent="0.3">
      <c r="A2422" t="s">
        <v>4382</v>
      </c>
      <c r="B2422" t="str">
        <f>"000680"</f>
        <v>000680</v>
      </c>
      <c r="C2422" t="s">
        <v>4887</v>
      </c>
      <c r="D2422" t="s">
        <v>78</v>
      </c>
      <c r="F2422">
        <v>636503490</v>
      </c>
      <c r="G2422">
        <v>430501741</v>
      </c>
      <c r="H2422">
        <v>516448070</v>
      </c>
      <c r="I2422">
        <v>223963060</v>
      </c>
      <c r="J2422">
        <v>489859365</v>
      </c>
      <c r="K2422">
        <v>109759853</v>
      </c>
      <c r="L2422">
        <v>162653497</v>
      </c>
      <c r="M2422">
        <v>487508172</v>
      </c>
      <c r="N2422">
        <v>190536599</v>
      </c>
      <c r="O2422">
        <v>47328844</v>
      </c>
      <c r="P2422">
        <v>120</v>
      </c>
      <c r="Q2422" t="s">
        <v>4888</v>
      </c>
    </row>
    <row r="2423" spans="1:17" x14ac:dyDescent="0.3">
      <c r="A2423" t="s">
        <v>4382</v>
      </c>
      <c r="B2423" t="str">
        <f>"000681"</f>
        <v>000681</v>
      </c>
      <c r="C2423" t="s">
        <v>4889</v>
      </c>
      <c r="D2423" t="s">
        <v>89</v>
      </c>
      <c r="F2423">
        <v>4286250</v>
      </c>
      <c r="G2423">
        <v>25574075</v>
      </c>
      <c r="H2423">
        <v>65268018</v>
      </c>
      <c r="I2423">
        <v>155787216</v>
      </c>
      <c r="J2423">
        <v>108353732</v>
      </c>
      <c r="K2423">
        <v>248288185</v>
      </c>
      <c r="L2423">
        <v>66990921</v>
      </c>
      <c r="M2423">
        <v>21418964</v>
      </c>
      <c r="N2423">
        <v>-9327455</v>
      </c>
      <c r="O2423">
        <v>42227752</v>
      </c>
      <c r="P2423">
        <v>449</v>
      </c>
      <c r="Q2423" t="s">
        <v>4890</v>
      </c>
    </row>
    <row r="2424" spans="1:17" x14ac:dyDescent="0.3">
      <c r="A2424" t="s">
        <v>4382</v>
      </c>
      <c r="B2424" t="str">
        <f>"000682"</f>
        <v>000682</v>
      </c>
      <c r="C2424" t="s">
        <v>4891</v>
      </c>
      <c r="D2424" t="s">
        <v>188</v>
      </c>
      <c r="F2424">
        <v>-510442132</v>
      </c>
      <c r="G2424">
        <v>-346862954</v>
      </c>
      <c r="H2424">
        <v>-312512898</v>
      </c>
      <c r="I2424">
        <v>-233147209</v>
      </c>
      <c r="J2424">
        <v>-200977637</v>
      </c>
      <c r="K2424">
        <v>-193695409</v>
      </c>
      <c r="L2424">
        <v>-213401115</v>
      </c>
      <c r="M2424">
        <v>-168477510</v>
      </c>
      <c r="N2424">
        <v>-99260278</v>
      </c>
      <c r="O2424">
        <v>-220106558</v>
      </c>
      <c r="P2424">
        <v>157</v>
      </c>
      <c r="Q2424" t="s">
        <v>4892</v>
      </c>
    </row>
    <row r="2425" spans="1:17" x14ac:dyDescent="0.3">
      <c r="A2425" t="s">
        <v>4382</v>
      </c>
      <c r="B2425" t="str">
        <f>"000683"</f>
        <v>000683</v>
      </c>
      <c r="C2425" t="s">
        <v>4893</v>
      </c>
      <c r="D2425" t="s">
        <v>133</v>
      </c>
      <c r="F2425">
        <v>2732214090</v>
      </c>
      <c r="G2425">
        <v>1052808131</v>
      </c>
      <c r="H2425">
        <v>781133332</v>
      </c>
      <c r="I2425">
        <v>856740155</v>
      </c>
      <c r="J2425">
        <v>406202167</v>
      </c>
      <c r="K2425">
        <v>191967106</v>
      </c>
      <c r="L2425">
        <v>59590085</v>
      </c>
      <c r="M2425">
        <v>836994314</v>
      </c>
      <c r="N2425">
        <v>-757857412</v>
      </c>
      <c r="O2425">
        <v>-549039552</v>
      </c>
      <c r="P2425">
        <v>314</v>
      </c>
      <c r="Q2425" t="s">
        <v>4894</v>
      </c>
    </row>
    <row r="2426" spans="1:17" x14ac:dyDescent="0.3">
      <c r="A2426" t="s">
        <v>4382</v>
      </c>
      <c r="B2426" t="str">
        <f>"000685"</f>
        <v>000685</v>
      </c>
      <c r="C2426" t="s">
        <v>4895</v>
      </c>
      <c r="D2426" t="s">
        <v>33</v>
      </c>
      <c r="F2426">
        <v>172467863</v>
      </c>
      <c r="G2426">
        <v>-37235182</v>
      </c>
      <c r="H2426">
        <v>-291773163</v>
      </c>
      <c r="I2426">
        <v>-49838448</v>
      </c>
      <c r="J2426">
        <v>227536039</v>
      </c>
      <c r="K2426">
        <v>228976952</v>
      </c>
      <c r="L2426">
        <v>176262014</v>
      </c>
      <c r="M2426">
        <v>133590329</v>
      </c>
      <c r="N2426">
        <v>99120216</v>
      </c>
      <c r="O2426">
        <v>34015058</v>
      </c>
      <c r="P2426">
        <v>511</v>
      </c>
      <c r="Q2426" t="s">
        <v>4896</v>
      </c>
    </row>
    <row r="2427" spans="1:17" x14ac:dyDescent="0.3">
      <c r="A2427" t="s">
        <v>4382</v>
      </c>
      <c r="B2427" t="str">
        <f>"000686"</f>
        <v>000686</v>
      </c>
      <c r="C2427" t="s">
        <v>4897</v>
      </c>
      <c r="D2427" t="s">
        <v>75</v>
      </c>
      <c r="F2427">
        <v>1636362641</v>
      </c>
      <c r="G2427">
        <v>2302240502</v>
      </c>
      <c r="H2427">
        <v>2695355668</v>
      </c>
      <c r="I2427">
        <v>1007965962</v>
      </c>
      <c r="J2427">
        <v>2412022435</v>
      </c>
      <c r="K2427">
        <v>-10999215933</v>
      </c>
      <c r="L2427">
        <v>-4218936372</v>
      </c>
      <c r="M2427">
        <v>1914579744</v>
      </c>
      <c r="N2427">
        <v>-2002296258</v>
      </c>
      <c r="O2427">
        <v>-1944290398</v>
      </c>
      <c r="P2427">
        <v>888</v>
      </c>
      <c r="Q2427" t="s">
        <v>4898</v>
      </c>
    </row>
    <row r="2428" spans="1:17" x14ac:dyDescent="0.3">
      <c r="A2428" t="s">
        <v>4382</v>
      </c>
      <c r="B2428" t="str">
        <f>"000687"</f>
        <v>000687</v>
      </c>
      <c r="C2428" t="s">
        <v>4899</v>
      </c>
      <c r="D2428" t="s">
        <v>92</v>
      </c>
      <c r="F2428">
        <v>-7299935</v>
      </c>
      <c r="G2428">
        <v>52287132</v>
      </c>
      <c r="H2428">
        <v>-172856421</v>
      </c>
      <c r="I2428">
        <v>-446252676</v>
      </c>
      <c r="J2428">
        <v>-397681006</v>
      </c>
      <c r="K2428">
        <v>81803769</v>
      </c>
      <c r="L2428">
        <v>-509015329</v>
      </c>
      <c r="M2428">
        <v>-110758554</v>
      </c>
      <c r="N2428">
        <v>-167176216</v>
      </c>
      <c r="O2428">
        <v>-343440951</v>
      </c>
      <c r="P2428">
        <v>86</v>
      </c>
      <c r="Q2428" t="s">
        <v>4900</v>
      </c>
    </row>
    <row r="2429" spans="1:17" x14ac:dyDescent="0.3">
      <c r="A2429" t="s">
        <v>4382</v>
      </c>
      <c r="B2429" t="str">
        <f>"000688"</f>
        <v>000688</v>
      </c>
      <c r="C2429" t="s">
        <v>4901</v>
      </c>
      <c r="D2429" t="s">
        <v>234</v>
      </c>
      <c r="F2429">
        <v>-185590569</v>
      </c>
      <c r="G2429">
        <v>8175215</v>
      </c>
      <c r="H2429">
        <v>75556555</v>
      </c>
      <c r="I2429">
        <v>288106003</v>
      </c>
      <c r="J2429">
        <v>328677544</v>
      </c>
      <c r="K2429">
        <v>194668004</v>
      </c>
      <c r="L2429">
        <v>-5451370</v>
      </c>
      <c r="M2429">
        <v>-112990228</v>
      </c>
      <c r="N2429">
        <v>25863352</v>
      </c>
      <c r="O2429">
        <v>-6714849</v>
      </c>
      <c r="P2429">
        <v>197</v>
      </c>
      <c r="Q2429" t="s">
        <v>4902</v>
      </c>
    </row>
    <row r="2430" spans="1:17" x14ac:dyDescent="0.3">
      <c r="A2430" t="s">
        <v>4382</v>
      </c>
      <c r="B2430" t="str">
        <f>"000689"</f>
        <v>000689</v>
      </c>
      <c r="C2430" t="s">
        <v>4903</v>
      </c>
      <c r="P2430">
        <v>5</v>
      </c>
      <c r="Q2430" t="s">
        <v>4904</v>
      </c>
    </row>
    <row r="2431" spans="1:17" x14ac:dyDescent="0.3">
      <c r="A2431" t="s">
        <v>4382</v>
      </c>
      <c r="B2431" t="str">
        <f>"000690"</f>
        <v>000690</v>
      </c>
      <c r="C2431" t="s">
        <v>4905</v>
      </c>
      <c r="D2431" t="s">
        <v>41</v>
      </c>
      <c r="F2431">
        <v>1382129865</v>
      </c>
      <c r="G2431">
        <v>2693743271</v>
      </c>
      <c r="H2431">
        <v>756338704</v>
      </c>
      <c r="I2431">
        <v>-1088412135</v>
      </c>
      <c r="J2431">
        <v>-1091371974</v>
      </c>
      <c r="K2431">
        <v>-137303860</v>
      </c>
      <c r="L2431">
        <v>414490431</v>
      </c>
      <c r="M2431">
        <v>1059913893</v>
      </c>
      <c r="N2431">
        <v>2094654643</v>
      </c>
      <c r="O2431">
        <v>228243734</v>
      </c>
      <c r="P2431">
        <v>643</v>
      </c>
      <c r="Q2431" t="s">
        <v>4906</v>
      </c>
    </row>
    <row r="2432" spans="1:17" x14ac:dyDescent="0.3">
      <c r="A2432" t="s">
        <v>4382</v>
      </c>
      <c r="B2432" t="str">
        <f>"000691"</f>
        <v>000691</v>
      </c>
      <c r="C2432" t="s">
        <v>4907</v>
      </c>
      <c r="D2432" t="s">
        <v>30</v>
      </c>
      <c r="F2432">
        <v>52883316</v>
      </c>
      <c r="G2432">
        <v>47529190</v>
      </c>
      <c r="H2432">
        <v>-1667693</v>
      </c>
      <c r="I2432">
        <v>-7569409</v>
      </c>
      <c r="J2432">
        <v>5437320</v>
      </c>
      <c r="K2432">
        <v>-6159612</v>
      </c>
      <c r="L2432">
        <v>-2998872</v>
      </c>
      <c r="M2432">
        <v>3450828</v>
      </c>
      <c r="N2432">
        <v>2181277</v>
      </c>
      <c r="O2432">
        <v>968329</v>
      </c>
      <c r="P2432">
        <v>91</v>
      </c>
      <c r="Q2432" t="s">
        <v>4908</v>
      </c>
    </row>
    <row r="2433" spans="1:17" x14ac:dyDescent="0.3">
      <c r="A2433" t="s">
        <v>4382</v>
      </c>
      <c r="B2433" t="str">
        <f>"000692"</f>
        <v>000692</v>
      </c>
      <c r="C2433" t="s">
        <v>4909</v>
      </c>
      <c r="D2433" t="s">
        <v>41</v>
      </c>
      <c r="F2433">
        <v>-369227192</v>
      </c>
      <c r="G2433">
        <v>-434093174</v>
      </c>
      <c r="H2433">
        <v>-659735921</v>
      </c>
      <c r="I2433">
        <v>-643224682</v>
      </c>
      <c r="J2433">
        <v>-883026450</v>
      </c>
      <c r="K2433">
        <v>-1022701801</v>
      </c>
      <c r="L2433">
        <v>-728066436</v>
      </c>
      <c r="M2433">
        <v>-495873285</v>
      </c>
      <c r="N2433">
        <v>-687592440</v>
      </c>
      <c r="O2433">
        <v>-568360581</v>
      </c>
      <c r="P2433">
        <v>77</v>
      </c>
      <c r="Q2433" t="s">
        <v>4910</v>
      </c>
    </row>
    <row r="2434" spans="1:17" x14ac:dyDescent="0.3">
      <c r="A2434" t="s">
        <v>4382</v>
      </c>
      <c r="B2434" t="str">
        <f>"000693"</f>
        <v>000693</v>
      </c>
      <c r="C2434" t="s">
        <v>4911</v>
      </c>
      <c r="I2434">
        <v>-4093293</v>
      </c>
      <c r="J2434">
        <v>-972883</v>
      </c>
      <c r="K2434">
        <v>-951006260.26999998</v>
      </c>
      <c r="L2434">
        <v>-167433232.97999999</v>
      </c>
      <c r="M2434">
        <v>390752624.57999998</v>
      </c>
      <c r="N2434">
        <v>-98556280.540000007</v>
      </c>
      <c r="O2434">
        <v>-67784551.340000004</v>
      </c>
      <c r="P2434">
        <v>17</v>
      </c>
      <c r="Q2434" t="s">
        <v>4912</v>
      </c>
    </row>
    <row r="2435" spans="1:17" x14ac:dyDescent="0.3">
      <c r="A2435" t="s">
        <v>4382</v>
      </c>
      <c r="B2435" t="str">
        <f>"000695"</f>
        <v>000695</v>
      </c>
      <c r="C2435" t="s">
        <v>4913</v>
      </c>
      <c r="D2435" t="s">
        <v>161</v>
      </c>
      <c r="F2435">
        <v>-24736305</v>
      </c>
      <c r="G2435">
        <v>-136768538</v>
      </c>
      <c r="H2435">
        <v>-25818079</v>
      </c>
      <c r="I2435">
        <v>39680205</v>
      </c>
      <c r="J2435">
        <v>7161404</v>
      </c>
      <c r="K2435">
        <v>48323432</v>
      </c>
      <c r="L2435">
        <v>16146141</v>
      </c>
      <c r="M2435">
        <v>23221368</v>
      </c>
      <c r="N2435">
        <v>92231114</v>
      </c>
      <c r="O2435">
        <v>100819857</v>
      </c>
      <c r="P2435">
        <v>82</v>
      </c>
      <c r="Q2435" t="s">
        <v>4914</v>
      </c>
    </row>
    <row r="2436" spans="1:17" x14ac:dyDescent="0.3">
      <c r="A2436" t="s">
        <v>4382</v>
      </c>
      <c r="B2436" t="str">
        <f>"000697"</f>
        <v>000697</v>
      </c>
      <c r="C2436" t="s">
        <v>4915</v>
      </c>
      <c r="D2436" t="s">
        <v>92</v>
      </c>
      <c r="F2436">
        <v>-210546653</v>
      </c>
      <c r="G2436">
        <v>-113201272</v>
      </c>
      <c r="H2436">
        <v>-148236136</v>
      </c>
      <c r="I2436">
        <v>-107123112</v>
      </c>
      <c r="J2436">
        <v>-348788102</v>
      </c>
      <c r="K2436">
        <v>-176443846</v>
      </c>
      <c r="L2436">
        <v>-250432375</v>
      </c>
      <c r="M2436">
        <v>-110149762</v>
      </c>
      <c r="N2436">
        <v>54184052</v>
      </c>
      <c r="O2436">
        <v>-70117844</v>
      </c>
      <c r="P2436">
        <v>110</v>
      </c>
      <c r="Q2436" t="s">
        <v>4916</v>
      </c>
    </row>
    <row r="2437" spans="1:17" x14ac:dyDescent="0.3">
      <c r="A2437" t="s">
        <v>4382</v>
      </c>
      <c r="B2437" t="str">
        <f>"000698"</f>
        <v>000698</v>
      </c>
      <c r="C2437" t="s">
        <v>4917</v>
      </c>
      <c r="D2437" t="s">
        <v>70</v>
      </c>
      <c r="F2437">
        <v>1218503066</v>
      </c>
      <c r="G2437">
        <v>-897138922</v>
      </c>
      <c r="H2437">
        <v>484736358</v>
      </c>
      <c r="I2437">
        <v>-70874488</v>
      </c>
      <c r="J2437">
        <v>124597330</v>
      </c>
      <c r="K2437">
        <v>148665053</v>
      </c>
      <c r="L2437">
        <v>106852241</v>
      </c>
      <c r="M2437">
        <v>-721391941</v>
      </c>
      <c r="N2437">
        <v>91446609</v>
      </c>
      <c r="O2437">
        <v>-195681864</v>
      </c>
      <c r="P2437">
        <v>166</v>
      </c>
      <c r="Q2437" t="s">
        <v>4918</v>
      </c>
    </row>
    <row r="2438" spans="1:17" x14ac:dyDescent="0.3">
      <c r="A2438" t="s">
        <v>4382</v>
      </c>
      <c r="B2438" t="str">
        <f>"000700"</f>
        <v>000700</v>
      </c>
      <c r="C2438" t="s">
        <v>4919</v>
      </c>
      <c r="D2438" t="s">
        <v>27</v>
      </c>
      <c r="F2438">
        <v>37442023</v>
      </c>
      <c r="G2438">
        <v>-156179431</v>
      </c>
      <c r="H2438">
        <v>-208626202</v>
      </c>
      <c r="I2438">
        <v>-443582730</v>
      </c>
      <c r="J2438">
        <v>-709492775</v>
      </c>
      <c r="K2438">
        <v>-151831479</v>
      </c>
      <c r="L2438">
        <v>-15742682</v>
      </c>
      <c r="M2438">
        <v>89482059</v>
      </c>
      <c r="N2438">
        <v>294398022</v>
      </c>
      <c r="O2438">
        <v>155812017</v>
      </c>
      <c r="P2438">
        <v>259</v>
      </c>
      <c r="Q2438" t="s">
        <v>4920</v>
      </c>
    </row>
    <row r="2439" spans="1:17" x14ac:dyDescent="0.3">
      <c r="A2439" t="s">
        <v>4382</v>
      </c>
      <c r="B2439" t="str">
        <f>"000701"</f>
        <v>000701</v>
      </c>
      <c r="C2439" t="s">
        <v>4921</v>
      </c>
      <c r="D2439" t="s">
        <v>150</v>
      </c>
      <c r="F2439">
        <v>-718906775</v>
      </c>
      <c r="G2439">
        <v>-1243133302</v>
      </c>
      <c r="H2439">
        <v>-7334463513</v>
      </c>
      <c r="I2439">
        <v>-4689114607</v>
      </c>
      <c r="J2439">
        <v>-5025146763</v>
      </c>
      <c r="K2439">
        <v>-5901735515</v>
      </c>
      <c r="L2439">
        <v>-3536994024</v>
      </c>
      <c r="M2439">
        <v>-3689532337</v>
      </c>
      <c r="N2439">
        <v>-2219722718</v>
      </c>
      <c r="O2439">
        <v>-1533159179</v>
      </c>
      <c r="P2439">
        <v>120</v>
      </c>
      <c r="Q2439" t="s">
        <v>4922</v>
      </c>
    </row>
    <row r="2440" spans="1:17" x14ac:dyDescent="0.3">
      <c r="A2440" t="s">
        <v>4382</v>
      </c>
      <c r="B2440" t="str">
        <f>"000702"</f>
        <v>000702</v>
      </c>
      <c r="C2440" t="s">
        <v>4923</v>
      </c>
      <c r="D2440" t="s">
        <v>205</v>
      </c>
      <c r="F2440">
        <v>-234812243</v>
      </c>
      <c r="G2440">
        <v>-183141608</v>
      </c>
      <c r="H2440">
        <v>34597027</v>
      </c>
      <c r="I2440">
        <v>84400664</v>
      </c>
      <c r="J2440">
        <v>505511</v>
      </c>
      <c r="K2440">
        <v>48635870</v>
      </c>
      <c r="L2440">
        <v>24588734</v>
      </c>
      <c r="M2440">
        <v>14385494</v>
      </c>
      <c r="N2440">
        <v>73401555</v>
      </c>
      <c r="O2440">
        <v>157768986</v>
      </c>
      <c r="P2440">
        <v>127</v>
      </c>
      <c r="Q2440" t="s">
        <v>4924</v>
      </c>
    </row>
    <row r="2441" spans="1:17" x14ac:dyDescent="0.3">
      <c r="A2441" t="s">
        <v>4382</v>
      </c>
      <c r="B2441" t="str">
        <f>"000703"</f>
        <v>000703</v>
      </c>
      <c r="C2441" t="s">
        <v>4925</v>
      </c>
      <c r="D2441" t="s">
        <v>70</v>
      </c>
      <c r="F2441">
        <v>-2196857724</v>
      </c>
      <c r="G2441">
        <v>-5037136190</v>
      </c>
      <c r="H2441">
        <v>-8684319362</v>
      </c>
      <c r="I2441">
        <v>-6701605213</v>
      </c>
      <c r="J2441">
        <v>-2706711163</v>
      </c>
      <c r="K2441">
        <v>1856727665</v>
      </c>
      <c r="L2441">
        <v>1581993649</v>
      </c>
      <c r="M2441">
        <v>1130630051</v>
      </c>
      <c r="N2441">
        <v>220173379</v>
      </c>
      <c r="O2441">
        <v>1156986659</v>
      </c>
      <c r="P2441">
        <v>582</v>
      </c>
      <c r="Q2441" t="s">
        <v>4926</v>
      </c>
    </row>
    <row r="2442" spans="1:17" x14ac:dyDescent="0.3">
      <c r="A2442" t="s">
        <v>4382</v>
      </c>
      <c r="B2442" t="str">
        <f>"000705"</f>
        <v>000705</v>
      </c>
      <c r="C2442" t="s">
        <v>4927</v>
      </c>
      <c r="D2442" t="s">
        <v>113</v>
      </c>
      <c r="F2442">
        <v>-59537848</v>
      </c>
      <c r="G2442">
        <v>41887267</v>
      </c>
      <c r="H2442">
        <v>-95722941</v>
      </c>
      <c r="I2442">
        <v>-104573601</v>
      </c>
      <c r="J2442">
        <v>35404131</v>
      </c>
      <c r="K2442">
        <v>-29964986</v>
      </c>
      <c r="L2442">
        <v>-167700431</v>
      </c>
      <c r="M2442">
        <v>-56754195</v>
      </c>
      <c r="N2442">
        <v>-156893027</v>
      </c>
      <c r="O2442">
        <v>43757974</v>
      </c>
      <c r="P2442">
        <v>107</v>
      </c>
      <c r="Q2442" t="s">
        <v>4928</v>
      </c>
    </row>
    <row r="2443" spans="1:17" x14ac:dyDescent="0.3">
      <c r="A2443" t="s">
        <v>4382</v>
      </c>
      <c r="B2443" t="str">
        <f>"000707"</f>
        <v>000707</v>
      </c>
      <c r="C2443" t="s">
        <v>4929</v>
      </c>
      <c r="D2443" t="s">
        <v>133</v>
      </c>
      <c r="F2443">
        <v>322427434</v>
      </c>
      <c r="G2443">
        <v>-78413341</v>
      </c>
      <c r="H2443">
        <v>-48303810</v>
      </c>
      <c r="I2443">
        <v>-22421298</v>
      </c>
      <c r="J2443">
        <v>72823963</v>
      </c>
      <c r="K2443">
        <v>-117350522</v>
      </c>
      <c r="L2443">
        <v>-283620770</v>
      </c>
      <c r="M2443">
        <v>101867539</v>
      </c>
      <c r="N2443">
        <v>-117680377</v>
      </c>
      <c r="O2443">
        <v>817206344</v>
      </c>
      <c r="P2443">
        <v>83</v>
      </c>
      <c r="Q2443" t="s">
        <v>4930</v>
      </c>
    </row>
    <row r="2444" spans="1:17" x14ac:dyDescent="0.3">
      <c r="A2444" t="s">
        <v>4382</v>
      </c>
      <c r="B2444" t="str">
        <f>"000708"</f>
        <v>000708</v>
      </c>
      <c r="C2444" t="s">
        <v>4931</v>
      </c>
      <c r="D2444" t="s">
        <v>38</v>
      </c>
      <c r="F2444">
        <v>3311157212</v>
      </c>
      <c r="G2444">
        <v>2881287649</v>
      </c>
      <c r="H2444">
        <v>4051752876</v>
      </c>
      <c r="I2444">
        <v>385643843</v>
      </c>
      <c r="J2444">
        <v>-251344445</v>
      </c>
      <c r="K2444">
        <v>449017126</v>
      </c>
      <c r="L2444">
        <v>-40623504</v>
      </c>
      <c r="M2444">
        <v>200612910</v>
      </c>
      <c r="N2444">
        <v>-5495866</v>
      </c>
      <c r="O2444">
        <v>-148132892</v>
      </c>
      <c r="P2444">
        <v>681</v>
      </c>
      <c r="Q2444" t="s">
        <v>4932</v>
      </c>
    </row>
    <row r="2445" spans="1:17" x14ac:dyDescent="0.3">
      <c r="A2445" t="s">
        <v>4382</v>
      </c>
      <c r="B2445" t="str">
        <f>"000709"</f>
        <v>000709</v>
      </c>
      <c r="C2445" t="s">
        <v>4933</v>
      </c>
      <c r="D2445" t="s">
        <v>38</v>
      </c>
      <c r="F2445">
        <v>17390833354</v>
      </c>
      <c r="G2445">
        <v>-6368370011</v>
      </c>
      <c r="H2445">
        <v>-248162791</v>
      </c>
      <c r="I2445">
        <v>1473691319</v>
      </c>
      <c r="J2445">
        <v>6857573971</v>
      </c>
      <c r="K2445">
        <v>3098301693</v>
      </c>
      <c r="L2445">
        <v>4359703579</v>
      </c>
      <c r="M2445">
        <v>4747204696</v>
      </c>
      <c r="N2445">
        <v>-5568493306</v>
      </c>
      <c r="O2445">
        <v>-6914131237</v>
      </c>
      <c r="P2445">
        <v>524</v>
      </c>
      <c r="Q2445" t="s">
        <v>4934</v>
      </c>
    </row>
    <row r="2446" spans="1:17" x14ac:dyDescent="0.3">
      <c r="A2446" t="s">
        <v>4382</v>
      </c>
      <c r="B2446" t="str">
        <f>"000710"</f>
        <v>000710</v>
      </c>
      <c r="C2446" t="s">
        <v>4935</v>
      </c>
      <c r="D2446" t="s">
        <v>113</v>
      </c>
      <c r="F2446">
        <v>-327293065</v>
      </c>
      <c r="G2446">
        <v>-186130246</v>
      </c>
      <c r="H2446">
        <v>-184731083</v>
      </c>
      <c r="I2446">
        <v>-4833716</v>
      </c>
      <c r="J2446">
        <v>-176771253</v>
      </c>
      <c r="K2446">
        <v>20546298</v>
      </c>
      <c r="L2446">
        <v>-75394344</v>
      </c>
      <c r="M2446">
        <v>18507689</v>
      </c>
      <c r="N2446">
        <v>-16402827</v>
      </c>
      <c r="O2446">
        <v>58970783</v>
      </c>
      <c r="P2446">
        <v>460</v>
      </c>
      <c r="Q2446" t="s">
        <v>4936</v>
      </c>
    </row>
    <row r="2447" spans="1:17" x14ac:dyDescent="0.3">
      <c r="A2447" t="s">
        <v>4382</v>
      </c>
      <c r="B2447" t="str">
        <f>"000711"</f>
        <v>000711</v>
      </c>
      <c r="C2447" t="s">
        <v>4937</v>
      </c>
      <c r="D2447" t="s">
        <v>33</v>
      </c>
      <c r="F2447">
        <v>42798658</v>
      </c>
      <c r="G2447">
        <v>-111042830</v>
      </c>
      <c r="H2447">
        <v>-451232456</v>
      </c>
      <c r="I2447">
        <v>-692897460</v>
      </c>
      <c r="J2447">
        <v>-903386548</v>
      </c>
      <c r="K2447">
        <v>-255062040</v>
      </c>
      <c r="L2447">
        <v>-23876299</v>
      </c>
      <c r="M2447">
        <v>-72988391</v>
      </c>
      <c r="N2447">
        <v>22207988</v>
      </c>
      <c r="O2447">
        <v>-43368089</v>
      </c>
      <c r="P2447">
        <v>109</v>
      </c>
      <c r="Q2447" t="s">
        <v>4938</v>
      </c>
    </row>
    <row r="2448" spans="1:17" x14ac:dyDescent="0.3">
      <c r="A2448" t="s">
        <v>4382</v>
      </c>
      <c r="B2448" t="str">
        <f>"000712"</f>
        <v>000712</v>
      </c>
      <c r="C2448" t="s">
        <v>4939</v>
      </c>
      <c r="D2448" t="s">
        <v>75</v>
      </c>
      <c r="F2448">
        <v>-1779472078</v>
      </c>
      <c r="G2448">
        <v>1016774101</v>
      </c>
      <c r="H2448">
        <v>1378835219</v>
      </c>
      <c r="I2448">
        <v>1186509184</v>
      </c>
      <c r="J2448">
        <v>-2676303550</v>
      </c>
      <c r="K2448">
        <v>-1352570174.1900001</v>
      </c>
      <c r="L2448">
        <v>3183729954.7800002</v>
      </c>
      <c r="M2448">
        <v>339151924.89999998</v>
      </c>
      <c r="N2448">
        <v>433119.7</v>
      </c>
      <c r="O2448">
        <v>14690636.710000001</v>
      </c>
      <c r="P2448">
        <v>557</v>
      </c>
      <c r="Q2448" t="s">
        <v>4940</v>
      </c>
    </row>
    <row r="2449" spans="1:17" x14ac:dyDescent="0.3">
      <c r="A2449" t="s">
        <v>4382</v>
      </c>
      <c r="B2449" t="str">
        <f>"000713"</f>
        <v>000713</v>
      </c>
      <c r="C2449" t="s">
        <v>4941</v>
      </c>
      <c r="D2449" t="s">
        <v>205</v>
      </c>
      <c r="F2449">
        <v>-20861790</v>
      </c>
      <c r="G2449">
        <v>64884499</v>
      </c>
      <c r="H2449">
        <v>-66443165</v>
      </c>
      <c r="I2449">
        <v>-144539229</v>
      </c>
      <c r="J2449">
        <v>-156657218</v>
      </c>
      <c r="K2449">
        <v>-195577363</v>
      </c>
      <c r="L2449">
        <v>22912149</v>
      </c>
      <c r="M2449">
        <v>29098372</v>
      </c>
      <c r="N2449">
        <v>47230970</v>
      </c>
      <c r="O2449">
        <v>-70423181</v>
      </c>
      <c r="P2449">
        <v>237</v>
      </c>
      <c r="Q2449" t="s">
        <v>4942</v>
      </c>
    </row>
    <row r="2450" spans="1:17" x14ac:dyDescent="0.3">
      <c r="A2450" t="s">
        <v>4382</v>
      </c>
      <c r="B2450" t="str">
        <f>"000715"</f>
        <v>000715</v>
      </c>
      <c r="C2450" t="s">
        <v>4943</v>
      </c>
      <c r="D2450" t="s">
        <v>120</v>
      </c>
      <c r="F2450">
        <v>154611986</v>
      </c>
      <c r="G2450">
        <v>151622960</v>
      </c>
      <c r="H2450">
        <v>156616816</v>
      </c>
      <c r="I2450">
        <v>150000632</v>
      </c>
      <c r="J2450">
        <v>4030319</v>
      </c>
      <c r="K2450">
        <v>42093241</v>
      </c>
      <c r="L2450">
        <v>20389578</v>
      </c>
      <c r="M2450">
        <v>-28936682</v>
      </c>
      <c r="N2450">
        <v>101711223</v>
      </c>
      <c r="O2450">
        <v>141830476</v>
      </c>
      <c r="P2450">
        <v>103</v>
      </c>
      <c r="Q2450" t="s">
        <v>4944</v>
      </c>
    </row>
    <row r="2451" spans="1:17" x14ac:dyDescent="0.3">
      <c r="A2451" t="s">
        <v>4382</v>
      </c>
      <c r="B2451" t="str">
        <f>"000716"</f>
        <v>000716</v>
      </c>
      <c r="C2451" t="s">
        <v>4945</v>
      </c>
      <c r="D2451" t="s">
        <v>123</v>
      </c>
      <c r="F2451">
        <v>161485979</v>
      </c>
      <c r="G2451">
        <v>271372502</v>
      </c>
      <c r="H2451">
        <v>-86427790</v>
      </c>
      <c r="I2451">
        <v>-212008425</v>
      </c>
      <c r="J2451">
        <v>-136823592</v>
      </c>
      <c r="K2451">
        <v>-188123001</v>
      </c>
      <c r="L2451">
        <v>-195864486</v>
      </c>
      <c r="M2451">
        <v>-131389742</v>
      </c>
      <c r="N2451">
        <v>-138026859</v>
      </c>
      <c r="O2451">
        <v>-70731576</v>
      </c>
      <c r="P2451">
        <v>163</v>
      </c>
      <c r="Q2451" t="s">
        <v>4946</v>
      </c>
    </row>
    <row r="2452" spans="1:17" x14ac:dyDescent="0.3">
      <c r="A2452" t="s">
        <v>4382</v>
      </c>
      <c r="B2452" t="str">
        <f>"000717"</f>
        <v>000717</v>
      </c>
      <c r="C2452" t="s">
        <v>4947</v>
      </c>
      <c r="D2452" t="s">
        <v>38</v>
      </c>
      <c r="F2452">
        <v>2800243525</v>
      </c>
      <c r="G2452">
        <v>610826266</v>
      </c>
      <c r="H2452">
        <v>974676851</v>
      </c>
      <c r="I2452">
        <v>2161068631</v>
      </c>
      <c r="J2452">
        <v>1069087994</v>
      </c>
      <c r="K2452">
        <v>1121852165</v>
      </c>
      <c r="L2452">
        <v>-408718955</v>
      </c>
      <c r="M2452">
        <v>1458782569</v>
      </c>
      <c r="N2452">
        <v>384737848</v>
      </c>
      <c r="O2452">
        <v>654266471</v>
      </c>
      <c r="P2452">
        <v>681</v>
      </c>
      <c r="Q2452" t="s">
        <v>4948</v>
      </c>
    </row>
    <row r="2453" spans="1:17" x14ac:dyDescent="0.3">
      <c r="A2453" t="s">
        <v>4382</v>
      </c>
      <c r="B2453" t="str">
        <f>"000718"</f>
        <v>000718</v>
      </c>
      <c r="C2453" t="s">
        <v>4949</v>
      </c>
      <c r="D2453" t="s">
        <v>30</v>
      </c>
      <c r="F2453">
        <v>437191458</v>
      </c>
      <c r="G2453">
        <v>27654724</v>
      </c>
      <c r="H2453">
        <v>-273571394</v>
      </c>
      <c r="I2453">
        <v>430302429</v>
      </c>
      <c r="J2453">
        <v>1481424668</v>
      </c>
      <c r="K2453">
        <v>2813942029</v>
      </c>
      <c r="L2453">
        <v>1693183914</v>
      </c>
      <c r="M2453">
        <v>-107815401</v>
      </c>
      <c r="N2453">
        <v>1188042214</v>
      </c>
      <c r="O2453">
        <v>1662306437</v>
      </c>
      <c r="P2453">
        <v>659</v>
      </c>
      <c r="Q2453" t="s">
        <v>4950</v>
      </c>
    </row>
    <row r="2454" spans="1:17" x14ac:dyDescent="0.3">
      <c r="A2454" t="s">
        <v>4382</v>
      </c>
      <c r="B2454" t="str">
        <f>"000719"</f>
        <v>000719</v>
      </c>
      <c r="C2454" t="s">
        <v>4951</v>
      </c>
      <c r="D2454" t="s">
        <v>89</v>
      </c>
      <c r="F2454">
        <v>-863642903</v>
      </c>
      <c r="G2454">
        <v>330716846</v>
      </c>
      <c r="H2454">
        <v>-340395782</v>
      </c>
      <c r="I2454">
        <v>-239772065</v>
      </c>
      <c r="J2454">
        <v>-223490613</v>
      </c>
      <c r="K2454">
        <v>-42491174</v>
      </c>
      <c r="L2454">
        <v>-96194754</v>
      </c>
      <c r="M2454">
        <v>357167016</v>
      </c>
      <c r="N2454">
        <v>-18715328</v>
      </c>
      <c r="O2454">
        <v>55873269</v>
      </c>
      <c r="P2454">
        <v>695</v>
      </c>
      <c r="Q2454" t="s">
        <v>4952</v>
      </c>
    </row>
    <row r="2455" spans="1:17" x14ac:dyDescent="0.3">
      <c r="A2455" t="s">
        <v>4382</v>
      </c>
      <c r="B2455" t="str">
        <f>"000720"</f>
        <v>000720</v>
      </c>
      <c r="C2455" t="s">
        <v>4953</v>
      </c>
      <c r="D2455" t="s">
        <v>30</v>
      </c>
      <c r="F2455">
        <v>-826483609</v>
      </c>
      <c r="G2455">
        <v>-185194138</v>
      </c>
      <c r="H2455">
        <v>-536975778</v>
      </c>
      <c r="I2455">
        <v>1206548810</v>
      </c>
      <c r="J2455">
        <v>-224771940</v>
      </c>
      <c r="K2455">
        <v>280066887</v>
      </c>
      <c r="L2455">
        <v>522268240</v>
      </c>
      <c r="M2455">
        <v>246840477</v>
      </c>
      <c r="N2455">
        <v>421366067</v>
      </c>
      <c r="O2455">
        <v>289124855</v>
      </c>
      <c r="P2455">
        <v>122</v>
      </c>
      <c r="Q2455" t="s">
        <v>4954</v>
      </c>
    </row>
    <row r="2456" spans="1:17" x14ac:dyDescent="0.3">
      <c r="A2456" t="s">
        <v>4382</v>
      </c>
      <c r="B2456" t="str">
        <f>"000721"</f>
        <v>000721</v>
      </c>
      <c r="C2456" t="s">
        <v>4955</v>
      </c>
      <c r="D2456" t="s">
        <v>110</v>
      </c>
      <c r="F2456">
        <v>-251945961</v>
      </c>
      <c r="G2456">
        <v>-47763206</v>
      </c>
      <c r="H2456">
        <v>-135279037</v>
      </c>
      <c r="I2456">
        <v>3916353</v>
      </c>
      <c r="J2456">
        <v>-1833768</v>
      </c>
      <c r="K2456">
        <v>68644973</v>
      </c>
      <c r="L2456">
        <v>-86278147</v>
      </c>
      <c r="M2456">
        <v>-47144740</v>
      </c>
      <c r="N2456">
        <v>-34242749</v>
      </c>
      <c r="O2456">
        <v>-55374399</v>
      </c>
      <c r="P2456">
        <v>130</v>
      </c>
      <c r="Q2456" t="s">
        <v>4956</v>
      </c>
    </row>
    <row r="2457" spans="1:17" x14ac:dyDescent="0.3">
      <c r="A2457" t="s">
        <v>4382</v>
      </c>
      <c r="B2457" t="str">
        <f>"000722"</f>
        <v>000722</v>
      </c>
      <c r="C2457" t="s">
        <v>4957</v>
      </c>
      <c r="D2457" t="s">
        <v>41</v>
      </c>
      <c r="F2457">
        <v>-170751627</v>
      </c>
      <c r="G2457">
        <v>-214412634</v>
      </c>
      <c r="H2457">
        <v>123124673</v>
      </c>
      <c r="I2457">
        <v>75504472</v>
      </c>
      <c r="J2457">
        <v>57726443</v>
      </c>
      <c r="K2457">
        <v>112657284</v>
      </c>
      <c r="L2457">
        <v>99415637</v>
      </c>
      <c r="M2457">
        <v>154033039</v>
      </c>
      <c r="N2457">
        <v>60895231</v>
      </c>
      <c r="O2457">
        <v>140424537</v>
      </c>
      <c r="P2457">
        <v>104</v>
      </c>
      <c r="Q2457" t="s">
        <v>4958</v>
      </c>
    </row>
    <row r="2458" spans="1:17" x14ac:dyDescent="0.3">
      <c r="A2458" t="s">
        <v>4382</v>
      </c>
      <c r="B2458" t="str">
        <f>"000723"</f>
        <v>000723</v>
      </c>
      <c r="C2458" t="s">
        <v>4959</v>
      </c>
      <c r="D2458" t="s">
        <v>257</v>
      </c>
      <c r="F2458">
        <v>2628909411</v>
      </c>
      <c r="G2458">
        <v>-522247386</v>
      </c>
      <c r="H2458">
        <v>731674791</v>
      </c>
      <c r="I2458">
        <v>378274636</v>
      </c>
      <c r="J2458">
        <v>923707825</v>
      </c>
      <c r="K2458">
        <v>-717530513</v>
      </c>
      <c r="L2458">
        <v>-15680328</v>
      </c>
      <c r="M2458">
        <v>34888776</v>
      </c>
      <c r="N2458">
        <v>58691719</v>
      </c>
      <c r="O2458">
        <v>-80387774</v>
      </c>
      <c r="P2458">
        <v>673</v>
      </c>
      <c r="Q2458" t="s">
        <v>4960</v>
      </c>
    </row>
    <row r="2459" spans="1:17" x14ac:dyDescent="0.3">
      <c r="A2459" t="s">
        <v>4382</v>
      </c>
      <c r="B2459" t="str">
        <f>"000725"</f>
        <v>000725</v>
      </c>
      <c r="C2459" t="s">
        <v>4961</v>
      </c>
      <c r="D2459" t="s">
        <v>150</v>
      </c>
      <c r="F2459">
        <v>15958287495</v>
      </c>
      <c r="G2459">
        <v>-7954860542</v>
      </c>
      <c r="H2459">
        <v>-21293724600</v>
      </c>
      <c r="I2459">
        <v>-19431254793</v>
      </c>
      <c r="J2459">
        <v>-17211281515</v>
      </c>
      <c r="K2459">
        <v>-8832732269</v>
      </c>
      <c r="L2459">
        <v>-5873398999</v>
      </c>
      <c r="M2459">
        <v>-9644984888</v>
      </c>
      <c r="N2459">
        <v>-8126054872</v>
      </c>
      <c r="O2459">
        <v>-2318909855</v>
      </c>
      <c r="P2459">
        <v>4544</v>
      </c>
      <c r="Q2459" t="s">
        <v>4962</v>
      </c>
    </row>
    <row r="2460" spans="1:17" x14ac:dyDescent="0.3">
      <c r="A2460" t="s">
        <v>4382</v>
      </c>
      <c r="B2460" t="str">
        <f>"000726"</f>
        <v>000726</v>
      </c>
      <c r="C2460" t="s">
        <v>4963</v>
      </c>
      <c r="D2460" t="s">
        <v>227</v>
      </c>
      <c r="F2460">
        <v>-114442851</v>
      </c>
      <c r="G2460">
        <v>-8557727</v>
      </c>
      <c r="H2460">
        <v>-127249745</v>
      </c>
      <c r="I2460">
        <v>349176850</v>
      </c>
      <c r="J2460">
        <v>419441466</v>
      </c>
      <c r="K2460">
        <v>510858845</v>
      </c>
      <c r="L2460">
        <v>584025474</v>
      </c>
      <c r="M2460">
        <v>235063312</v>
      </c>
      <c r="N2460">
        <v>449901096</v>
      </c>
      <c r="O2460">
        <v>197411845</v>
      </c>
      <c r="P2460">
        <v>980</v>
      </c>
      <c r="Q2460" t="s">
        <v>4964</v>
      </c>
    </row>
    <row r="2461" spans="1:17" x14ac:dyDescent="0.3">
      <c r="A2461" t="s">
        <v>4382</v>
      </c>
      <c r="B2461" t="str">
        <f>"000727"</f>
        <v>000727</v>
      </c>
      <c r="C2461" t="s">
        <v>4965</v>
      </c>
      <c r="D2461" t="s">
        <v>150</v>
      </c>
      <c r="F2461">
        <v>-7303499918</v>
      </c>
      <c r="G2461">
        <v>-167298286</v>
      </c>
      <c r="H2461">
        <v>-37812397</v>
      </c>
      <c r="I2461">
        <v>-588944597</v>
      </c>
      <c r="J2461">
        <v>-1736999712</v>
      </c>
      <c r="K2461">
        <v>-3917078709</v>
      </c>
      <c r="L2461">
        <v>-6967745905</v>
      </c>
      <c r="M2461">
        <v>-16135088</v>
      </c>
      <c r="N2461">
        <v>6005645</v>
      </c>
      <c r="O2461">
        <v>153475159</v>
      </c>
      <c r="P2461">
        <v>197</v>
      </c>
      <c r="Q2461" t="s">
        <v>4966</v>
      </c>
    </row>
    <row r="2462" spans="1:17" x14ac:dyDescent="0.3">
      <c r="A2462" t="s">
        <v>4382</v>
      </c>
      <c r="B2462" t="str">
        <f>"000728"</f>
        <v>000728</v>
      </c>
      <c r="C2462" t="s">
        <v>4967</v>
      </c>
      <c r="D2462" t="s">
        <v>75</v>
      </c>
      <c r="F2462">
        <v>-1777850600</v>
      </c>
      <c r="G2462">
        <v>765042616</v>
      </c>
      <c r="H2462">
        <v>4898467939</v>
      </c>
      <c r="I2462">
        <v>-1918747935</v>
      </c>
      <c r="J2462">
        <v>-2189673437</v>
      </c>
      <c r="K2462">
        <v>-5959530117</v>
      </c>
      <c r="L2462">
        <v>8912240017</v>
      </c>
      <c r="M2462">
        <v>2732757221</v>
      </c>
      <c r="N2462">
        <v>-7016649965</v>
      </c>
      <c r="O2462">
        <v>-2383226013</v>
      </c>
      <c r="P2462">
        <v>1900</v>
      </c>
      <c r="Q2462" t="s">
        <v>4968</v>
      </c>
    </row>
    <row r="2463" spans="1:17" x14ac:dyDescent="0.3">
      <c r="A2463" t="s">
        <v>4382</v>
      </c>
      <c r="B2463" t="str">
        <f>"000729"</f>
        <v>000729</v>
      </c>
      <c r="C2463" t="s">
        <v>4969</v>
      </c>
      <c r="D2463" t="s">
        <v>123</v>
      </c>
      <c r="F2463">
        <v>2579171692</v>
      </c>
      <c r="G2463">
        <v>2210982643</v>
      </c>
      <c r="H2463">
        <v>1764715596</v>
      </c>
      <c r="I2463">
        <v>1407402345</v>
      </c>
      <c r="J2463">
        <v>1360388985</v>
      </c>
      <c r="K2463">
        <v>1443055766</v>
      </c>
      <c r="L2463">
        <v>2036042900</v>
      </c>
      <c r="M2463">
        <v>1265833242</v>
      </c>
      <c r="N2463">
        <v>1585369916</v>
      </c>
      <c r="O2463">
        <v>798435309</v>
      </c>
      <c r="P2463">
        <v>607</v>
      </c>
      <c r="Q2463" t="s">
        <v>4970</v>
      </c>
    </row>
    <row r="2464" spans="1:17" x14ac:dyDescent="0.3">
      <c r="A2464" t="s">
        <v>4382</v>
      </c>
      <c r="B2464" t="str">
        <f>"000730"</f>
        <v>000730</v>
      </c>
      <c r="C2464" t="s">
        <v>4971</v>
      </c>
      <c r="K2464">
        <v>-37118040.340000004</v>
      </c>
      <c r="L2464">
        <v>-6943306.3899999997</v>
      </c>
      <c r="P2464">
        <v>4</v>
      </c>
      <c r="Q2464" t="s">
        <v>4972</v>
      </c>
    </row>
    <row r="2465" spans="1:17" x14ac:dyDescent="0.3">
      <c r="A2465" t="s">
        <v>4382</v>
      </c>
      <c r="B2465" t="str">
        <f>"000731"</f>
        <v>000731</v>
      </c>
      <c r="C2465" t="s">
        <v>4973</v>
      </c>
      <c r="D2465" t="s">
        <v>133</v>
      </c>
      <c r="F2465">
        <v>475278040</v>
      </c>
      <c r="G2465">
        <v>101960250</v>
      </c>
      <c r="H2465">
        <v>267608197</v>
      </c>
      <c r="I2465">
        <v>361967285</v>
      </c>
      <c r="J2465">
        <v>249175489</v>
      </c>
      <c r="K2465">
        <v>-153470578</v>
      </c>
      <c r="L2465">
        <v>-109547697</v>
      </c>
      <c r="M2465">
        <v>-424595793</v>
      </c>
      <c r="N2465">
        <v>-215365968</v>
      </c>
      <c r="O2465">
        <v>-83081741</v>
      </c>
      <c r="P2465">
        <v>126</v>
      </c>
      <c r="Q2465" t="s">
        <v>4974</v>
      </c>
    </row>
    <row r="2466" spans="1:17" x14ac:dyDescent="0.3">
      <c r="A2466" t="s">
        <v>4382</v>
      </c>
      <c r="B2466" t="str">
        <f>"000732"</f>
        <v>000732</v>
      </c>
      <c r="C2466" t="s">
        <v>4975</v>
      </c>
      <c r="D2466" t="s">
        <v>30</v>
      </c>
      <c r="F2466">
        <v>-1183023703</v>
      </c>
      <c r="G2466">
        <v>-1604683412</v>
      </c>
      <c r="H2466">
        <v>22046092450</v>
      </c>
      <c r="I2466">
        <v>-261174612</v>
      </c>
      <c r="J2466">
        <v>-7780253173</v>
      </c>
      <c r="K2466">
        <v>-17381194990</v>
      </c>
      <c r="L2466">
        <v>2231356979</v>
      </c>
      <c r="M2466">
        <v>-18232163698</v>
      </c>
      <c r="N2466">
        <v>-11715592154</v>
      </c>
      <c r="O2466">
        <v>-700476715</v>
      </c>
      <c r="P2466">
        <v>438</v>
      </c>
      <c r="Q2466" t="s">
        <v>4976</v>
      </c>
    </row>
    <row r="2467" spans="1:17" x14ac:dyDescent="0.3">
      <c r="A2467" t="s">
        <v>4382</v>
      </c>
      <c r="B2467" t="str">
        <f>"000733"</f>
        <v>000733</v>
      </c>
      <c r="C2467" t="s">
        <v>4977</v>
      </c>
      <c r="D2467" t="s">
        <v>92</v>
      </c>
      <c r="F2467">
        <v>333157431</v>
      </c>
      <c r="G2467">
        <v>-822090172</v>
      </c>
      <c r="H2467">
        <v>-492066979</v>
      </c>
      <c r="I2467">
        <v>-172863370</v>
      </c>
      <c r="J2467">
        <v>-936472054</v>
      </c>
      <c r="K2467">
        <v>-29563081</v>
      </c>
      <c r="L2467">
        <v>-389284690</v>
      </c>
      <c r="M2467">
        <v>-145867339</v>
      </c>
      <c r="N2467">
        <v>-110243443</v>
      </c>
      <c r="O2467">
        <v>-138989565</v>
      </c>
      <c r="P2467">
        <v>490</v>
      </c>
      <c r="Q2467" t="s">
        <v>4978</v>
      </c>
    </row>
    <row r="2468" spans="1:17" x14ac:dyDescent="0.3">
      <c r="A2468" t="s">
        <v>4382</v>
      </c>
      <c r="B2468" t="str">
        <f>"000735"</f>
        <v>000735</v>
      </c>
      <c r="C2468" t="s">
        <v>4979</v>
      </c>
      <c r="D2468" t="s">
        <v>205</v>
      </c>
      <c r="F2468">
        <v>525389967</v>
      </c>
      <c r="G2468">
        <v>-1068853397</v>
      </c>
      <c r="H2468">
        <v>-125380583</v>
      </c>
      <c r="I2468">
        <v>-203413934</v>
      </c>
      <c r="J2468">
        <v>-179811641</v>
      </c>
      <c r="K2468">
        <v>-146089960</v>
      </c>
      <c r="L2468">
        <v>-119378878</v>
      </c>
      <c r="M2468">
        <v>-173177119</v>
      </c>
      <c r="N2468">
        <v>98266073</v>
      </c>
      <c r="O2468">
        <v>-73399634</v>
      </c>
      <c r="P2468">
        <v>290</v>
      </c>
      <c r="Q2468" t="s">
        <v>4980</v>
      </c>
    </row>
    <row r="2469" spans="1:17" x14ac:dyDescent="0.3">
      <c r="A2469" t="s">
        <v>4382</v>
      </c>
      <c r="B2469" t="str">
        <f>"000736"</f>
        <v>000736</v>
      </c>
      <c r="C2469" t="s">
        <v>4981</v>
      </c>
      <c r="D2469" t="s">
        <v>30</v>
      </c>
      <c r="F2469">
        <v>-13423877739</v>
      </c>
      <c r="G2469">
        <v>-14285729926</v>
      </c>
      <c r="H2469">
        <v>-5217988681</v>
      </c>
      <c r="I2469">
        <v>3308664114</v>
      </c>
      <c r="J2469">
        <v>-2846716893</v>
      </c>
      <c r="K2469">
        <v>-556495037</v>
      </c>
      <c r="L2469">
        <v>-11981488</v>
      </c>
      <c r="M2469">
        <v>-1078180877</v>
      </c>
      <c r="N2469">
        <v>-145036160</v>
      </c>
      <c r="O2469">
        <v>159204595</v>
      </c>
      <c r="P2469">
        <v>189</v>
      </c>
      <c r="Q2469" t="s">
        <v>4982</v>
      </c>
    </row>
    <row r="2470" spans="1:17" x14ac:dyDescent="0.3">
      <c r="A2470" t="s">
        <v>4382</v>
      </c>
      <c r="B2470" t="str">
        <f>"000737"</f>
        <v>000737</v>
      </c>
      <c r="C2470" t="s">
        <v>4983</v>
      </c>
      <c r="D2470" t="s">
        <v>133</v>
      </c>
      <c r="F2470">
        <v>16554570</v>
      </c>
      <c r="G2470">
        <v>-21114063</v>
      </c>
      <c r="H2470">
        <v>-527681</v>
      </c>
      <c r="I2470">
        <v>-148892130</v>
      </c>
      <c r="J2470">
        <v>-161545796</v>
      </c>
      <c r="K2470">
        <v>160078101</v>
      </c>
      <c r="L2470">
        <v>89299842</v>
      </c>
      <c r="M2470">
        <v>111911774</v>
      </c>
      <c r="N2470">
        <v>-352216171</v>
      </c>
      <c r="O2470">
        <v>-116158677</v>
      </c>
      <c r="P2470">
        <v>83</v>
      </c>
      <c r="Q2470" t="s">
        <v>4984</v>
      </c>
    </row>
    <row r="2471" spans="1:17" x14ac:dyDescent="0.3">
      <c r="A2471" t="s">
        <v>4382</v>
      </c>
      <c r="B2471" t="str">
        <f>"000738"</f>
        <v>000738</v>
      </c>
      <c r="C2471" t="s">
        <v>4985</v>
      </c>
      <c r="D2471" t="s">
        <v>92</v>
      </c>
      <c r="F2471">
        <v>343954067</v>
      </c>
      <c r="G2471">
        <v>-227357637</v>
      </c>
      <c r="H2471">
        <v>-282813157</v>
      </c>
      <c r="I2471">
        <v>-519926587</v>
      </c>
      <c r="J2471">
        <v>-116452890</v>
      </c>
      <c r="K2471">
        <v>-97098073</v>
      </c>
      <c r="L2471">
        <v>-179940908</v>
      </c>
      <c r="M2471">
        <v>-341222127</v>
      </c>
      <c r="N2471">
        <v>-325075476</v>
      </c>
      <c r="O2471">
        <v>-334918967</v>
      </c>
      <c r="P2471">
        <v>326</v>
      </c>
      <c r="Q2471" t="s">
        <v>4986</v>
      </c>
    </row>
    <row r="2472" spans="1:17" x14ac:dyDescent="0.3">
      <c r="A2472" t="s">
        <v>4382</v>
      </c>
      <c r="B2472" t="str">
        <f>"000739"</f>
        <v>000739</v>
      </c>
      <c r="C2472" t="s">
        <v>4987</v>
      </c>
      <c r="D2472" t="s">
        <v>113</v>
      </c>
      <c r="F2472">
        <v>49611544</v>
      </c>
      <c r="G2472">
        <v>836546492</v>
      </c>
      <c r="H2472">
        <v>1001998509</v>
      </c>
      <c r="I2472">
        <v>492071774</v>
      </c>
      <c r="J2472">
        <v>121836159</v>
      </c>
      <c r="K2472">
        <v>-184744021</v>
      </c>
      <c r="L2472">
        <v>-21851224</v>
      </c>
      <c r="M2472">
        <v>121078295</v>
      </c>
      <c r="N2472">
        <v>-75414468</v>
      </c>
      <c r="O2472">
        <v>22820760</v>
      </c>
      <c r="P2472">
        <v>760</v>
      </c>
      <c r="Q2472" t="s">
        <v>4988</v>
      </c>
    </row>
    <row r="2473" spans="1:17" x14ac:dyDescent="0.3">
      <c r="A2473" t="s">
        <v>4382</v>
      </c>
      <c r="B2473" t="str">
        <f>"000748"</f>
        <v>000748</v>
      </c>
      <c r="C2473" t="s">
        <v>4989</v>
      </c>
      <c r="K2473">
        <v>-500348222.57999998</v>
      </c>
      <c r="L2473">
        <v>-336030833.75</v>
      </c>
      <c r="M2473">
        <v>-515738568.32999998</v>
      </c>
      <c r="N2473">
        <v>-560555163.39999998</v>
      </c>
      <c r="O2473">
        <v>-323699357.69</v>
      </c>
      <c r="P2473">
        <v>8</v>
      </c>
      <c r="Q2473" t="s">
        <v>4990</v>
      </c>
    </row>
    <row r="2474" spans="1:17" x14ac:dyDescent="0.3">
      <c r="A2474" t="s">
        <v>4382</v>
      </c>
      <c r="B2474" t="str">
        <f>"000750"</f>
        <v>000750</v>
      </c>
      <c r="C2474" t="s">
        <v>4991</v>
      </c>
      <c r="D2474" t="s">
        <v>75</v>
      </c>
      <c r="F2474">
        <v>-10683415579</v>
      </c>
      <c r="G2474">
        <v>-13864741715</v>
      </c>
      <c r="H2474">
        <v>2532430932</v>
      </c>
      <c r="I2474">
        <v>-621395138</v>
      </c>
      <c r="J2474">
        <v>-3657824254</v>
      </c>
      <c r="K2474">
        <v>-6363154641</v>
      </c>
      <c r="L2474">
        <v>-4414660284</v>
      </c>
      <c r="M2474">
        <v>3145030884</v>
      </c>
      <c r="N2474">
        <v>-446599423</v>
      </c>
      <c r="O2474">
        <v>153178828</v>
      </c>
      <c r="P2474">
        <v>1038</v>
      </c>
      <c r="Q2474" t="s">
        <v>4992</v>
      </c>
    </row>
    <row r="2475" spans="1:17" x14ac:dyDescent="0.3">
      <c r="A2475" t="s">
        <v>4382</v>
      </c>
      <c r="B2475" t="str">
        <f>"000751"</f>
        <v>000751</v>
      </c>
      <c r="C2475" t="s">
        <v>4993</v>
      </c>
      <c r="D2475" t="s">
        <v>234</v>
      </c>
      <c r="F2475">
        <v>-164555517</v>
      </c>
      <c r="G2475">
        <v>-216747499</v>
      </c>
      <c r="H2475">
        <v>691334203</v>
      </c>
      <c r="I2475">
        <v>-147278455</v>
      </c>
      <c r="J2475">
        <v>68899125</v>
      </c>
      <c r="K2475">
        <v>-92473334</v>
      </c>
      <c r="L2475">
        <v>-85079877</v>
      </c>
      <c r="M2475">
        <v>-104363185</v>
      </c>
      <c r="N2475">
        <v>71762540</v>
      </c>
      <c r="O2475">
        <v>122173686</v>
      </c>
      <c r="P2475">
        <v>128</v>
      </c>
      <c r="Q2475" t="s">
        <v>4994</v>
      </c>
    </row>
    <row r="2476" spans="1:17" x14ac:dyDescent="0.3">
      <c r="A2476" t="s">
        <v>4382</v>
      </c>
      <c r="B2476" t="str">
        <f>"000752"</f>
        <v>000752</v>
      </c>
      <c r="C2476" t="s">
        <v>4995</v>
      </c>
      <c r="D2476" t="s">
        <v>123</v>
      </c>
      <c r="F2476">
        <v>-14500693</v>
      </c>
      <c r="G2476">
        <v>-72082885</v>
      </c>
      <c r="H2476">
        <v>89679257</v>
      </c>
      <c r="I2476">
        <v>93524342</v>
      </c>
      <c r="J2476">
        <v>84900002</v>
      </c>
      <c r="K2476">
        <v>51868412</v>
      </c>
      <c r="L2476">
        <v>91199904</v>
      </c>
      <c r="M2476">
        <v>46781587</v>
      </c>
      <c r="N2476">
        <v>63011623</v>
      </c>
      <c r="O2476">
        <v>156418140</v>
      </c>
      <c r="P2476">
        <v>103</v>
      </c>
      <c r="Q2476" t="s">
        <v>4996</v>
      </c>
    </row>
    <row r="2477" spans="1:17" x14ac:dyDescent="0.3">
      <c r="A2477" t="s">
        <v>4382</v>
      </c>
      <c r="B2477" t="str">
        <f>"000753"</f>
        <v>000753</v>
      </c>
      <c r="C2477" t="s">
        <v>4997</v>
      </c>
      <c r="D2477" t="s">
        <v>103</v>
      </c>
      <c r="F2477">
        <v>-1094641459</v>
      </c>
      <c r="G2477">
        <v>-753438850</v>
      </c>
      <c r="H2477">
        <v>431346744</v>
      </c>
      <c r="I2477">
        <v>37692974</v>
      </c>
      <c r="J2477">
        <v>310754144</v>
      </c>
      <c r="K2477">
        <v>-157129171</v>
      </c>
      <c r="L2477">
        <v>-75179545</v>
      </c>
      <c r="M2477">
        <v>-722577065</v>
      </c>
      <c r="N2477">
        <v>31950028</v>
      </c>
      <c r="O2477">
        <v>-36433642</v>
      </c>
      <c r="P2477">
        <v>85</v>
      </c>
      <c r="Q2477" t="s">
        <v>4998</v>
      </c>
    </row>
    <row r="2478" spans="1:17" x14ac:dyDescent="0.3">
      <c r="A2478" t="s">
        <v>4382</v>
      </c>
      <c r="B2478" t="str">
        <f>"000755"</f>
        <v>000755</v>
      </c>
      <c r="C2478" t="s">
        <v>4999</v>
      </c>
      <c r="D2478" t="s">
        <v>22</v>
      </c>
      <c r="F2478">
        <v>993749974</v>
      </c>
      <c r="G2478">
        <v>227038226</v>
      </c>
      <c r="H2478">
        <v>164926279</v>
      </c>
      <c r="I2478">
        <v>349464405</v>
      </c>
      <c r="J2478">
        <v>-350941280</v>
      </c>
      <c r="K2478">
        <v>79772616</v>
      </c>
      <c r="L2478">
        <v>-69470645</v>
      </c>
      <c r="M2478">
        <v>256441055</v>
      </c>
      <c r="N2478">
        <v>-129101513</v>
      </c>
      <c r="O2478">
        <v>-86691399</v>
      </c>
      <c r="P2478">
        <v>96</v>
      </c>
      <c r="Q2478" t="s">
        <v>5000</v>
      </c>
    </row>
    <row r="2479" spans="1:17" x14ac:dyDescent="0.3">
      <c r="A2479" t="s">
        <v>4382</v>
      </c>
      <c r="B2479" t="str">
        <f>"000756"</f>
        <v>000756</v>
      </c>
      <c r="C2479" t="s">
        <v>5001</v>
      </c>
      <c r="D2479" t="s">
        <v>113</v>
      </c>
      <c r="F2479">
        <v>45685983</v>
      </c>
      <c r="G2479">
        <v>204496113</v>
      </c>
      <c r="H2479">
        <v>-24578220</v>
      </c>
      <c r="I2479">
        <v>-85860562</v>
      </c>
      <c r="J2479">
        <v>30153118</v>
      </c>
      <c r="K2479">
        <v>107485275</v>
      </c>
      <c r="L2479">
        <v>90405883</v>
      </c>
      <c r="M2479">
        <v>-1524079</v>
      </c>
      <c r="N2479">
        <v>-206485779</v>
      </c>
      <c r="O2479">
        <v>-266182018</v>
      </c>
      <c r="P2479">
        <v>218</v>
      </c>
      <c r="Q2479" t="s">
        <v>5002</v>
      </c>
    </row>
    <row r="2480" spans="1:17" x14ac:dyDescent="0.3">
      <c r="A2480" t="s">
        <v>4382</v>
      </c>
      <c r="B2480" t="str">
        <f>"000757"</f>
        <v>000757</v>
      </c>
      <c r="C2480" t="s">
        <v>5003</v>
      </c>
      <c r="D2480" t="s">
        <v>27</v>
      </c>
      <c r="F2480">
        <v>-2452912</v>
      </c>
      <c r="G2480">
        <v>-118594454</v>
      </c>
      <c r="H2480">
        <v>-93492471</v>
      </c>
      <c r="I2480">
        <v>-35863895</v>
      </c>
      <c r="J2480">
        <v>-44620147</v>
      </c>
      <c r="K2480">
        <v>-26629894</v>
      </c>
      <c r="L2480">
        <v>-44007714</v>
      </c>
      <c r="M2480">
        <v>-50004808</v>
      </c>
      <c r="N2480">
        <v>23304750</v>
      </c>
      <c r="O2480">
        <v>16159343</v>
      </c>
      <c r="P2480">
        <v>88</v>
      </c>
      <c r="Q2480" t="s">
        <v>5004</v>
      </c>
    </row>
    <row r="2481" spans="1:17" x14ac:dyDescent="0.3">
      <c r="A2481" t="s">
        <v>4382</v>
      </c>
      <c r="B2481" t="str">
        <f>"000758"</f>
        <v>000758</v>
      </c>
      <c r="C2481" t="s">
        <v>5005</v>
      </c>
      <c r="D2481" t="s">
        <v>234</v>
      </c>
      <c r="F2481">
        <v>2477327357</v>
      </c>
      <c r="G2481">
        <v>-60547501</v>
      </c>
      <c r="H2481">
        <v>514178418</v>
      </c>
      <c r="I2481">
        <v>3127970002</v>
      </c>
      <c r="J2481">
        <v>1472616390</v>
      </c>
      <c r="K2481">
        <v>-1400753313</v>
      </c>
      <c r="L2481">
        <v>-730841682</v>
      </c>
      <c r="M2481">
        <v>-1539598450</v>
      </c>
      <c r="N2481">
        <v>-1084931788</v>
      </c>
      <c r="O2481">
        <v>-1513596018</v>
      </c>
      <c r="P2481">
        <v>177</v>
      </c>
      <c r="Q2481" t="s">
        <v>5006</v>
      </c>
    </row>
    <row r="2482" spans="1:17" x14ac:dyDescent="0.3">
      <c r="A2482" t="s">
        <v>4382</v>
      </c>
      <c r="B2482" t="str">
        <f>"000759"</f>
        <v>000759</v>
      </c>
      <c r="C2482" t="s">
        <v>5007</v>
      </c>
      <c r="D2482" t="s">
        <v>120</v>
      </c>
      <c r="F2482">
        <v>646546183</v>
      </c>
      <c r="G2482">
        <v>643299422</v>
      </c>
      <c r="H2482">
        <v>532083566</v>
      </c>
      <c r="I2482">
        <v>1117080522</v>
      </c>
      <c r="J2482">
        <v>429164945</v>
      </c>
      <c r="K2482">
        <v>389935704</v>
      </c>
      <c r="L2482">
        <v>80723711</v>
      </c>
      <c r="M2482">
        <v>-122200285</v>
      </c>
      <c r="N2482">
        <v>39442907</v>
      </c>
      <c r="O2482">
        <v>270818966</v>
      </c>
      <c r="P2482">
        <v>153</v>
      </c>
      <c r="Q2482" t="s">
        <v>5008</v>
      </c>
    </row>
    <row r="2483" spans="1:17" x14ac:dyDescent="0.3">
      <c r="A2483" t="s">
        <v>4382</v>
      </c>
      <c r="B2483" t="str">
        <f>"000760"</f>
        <v>000760</v>
      </c>
      <c r="C2483" t="s">
        <v>5009</v>
      </c>
      <c r="G2483">
        <v>-665133</v>
      </c>
      <c r="H2483">
        <v>-134264486</v>
      </c>
      <c r="I2483">
        <v>-301098049</v>
      </c>
      <c r="J2483">
        <v>-390360100</v>
      </c>
      <c r="K2483">
        <v>-432389631</v>
      </c>
      <c r="L2483">
        <v>-400232058</v>
      </c>
      <c r="M2483">
        <v>-321558762</v>
      </c>
      <c r="N2483">
        <v>-1470509</v>
      </c>
      <c r="O2483">
        <v>11780751</v>
      </c>
      <c r="P2483">
        <v>59</v>
      </c>
      <c r="Q2483" t="s">
        <v>5010</v>
      </c>
    </row>
    <row r="2484" spans="1:17" x14ac:dyDescent="0.3">
      <c r="A2484" t="s">
        <v>4382</v>
      </c>
      <c r="B2484" t="str">
        <f>"000761"</f>
        <v>000761</v>
      </c>
      <c r="C2484" t="s">
        <v>5011</v>
      </c>
      <c r="D2484" t="s">
        <v>38</v>
      </c>
      <c r="F2484">
        <v>-248469023</v>
      </c>
      <c r="G2484">
        <v>-3172667935</v>
      </c>
      <c r="H2484">
        <v>3212206023</v>
      </c>
      <c r="I2484">
        <v>5671555313</v>
      </c>
      <c r="J2484">
        <v>-5052583216</v>
      </c>
      <c r="K2484">
        <v>2634871117</v>
      </c>
      <c r="L2484">
        <v>-3370372539</v>
      </c>
      <c r="M2484">
        <v>-1473051303</v>
      </c>
      <c r="N2484">
        <v>-954763161</v>
      </c>
      <c r="O2484">
        <v>-1084801999</v>
      </c>
      <c r="P2484">
        <v>237</v>
      </c>
      <c r="Q2484" t="s">
        <v>5012</v>
      </c>
    </row>
    <row r="2485" spans="1:17" x14ac:dyDescent="0.3">
      <c r="A2485" t="s">
        <v>4382</v>
      </c>
      <c r="B2485" t="str">
        <f>"000762"</f>
        <v>000762</v>
      </c>
      <c r="C2485" t="s">
        <v>5013</v>
      </c>
      <c r="D2485" t="s">
        <v>234</v>
      </c>
      <c r="F2485">
        <v>242683202</v>
      </c>
      <c r="G2485">
        <v>6148755</v>
      </c>
      <c r="H2485">
        <v>-113768011</v>
      </c>
      <c r="I2485">
        <v>-63677391</v>
      </c>
      <c r="J2485">
        <v>-93991724</v>
      </c>
      <c r="K2485">
        <v>137326147</v>
      </c>
      <c r="L2485">
        <v>67070040</v>
      </c>
      <c r="M2485">
        <v>-131629948</v>
      </c>
      <c r="N2485">
        <v>-236671153</v>
      </c>
      <c r="O2485">
        <v>-61427128</v>
      </c>
      <c r="P2485">
        <v>257</v>
      </c>
      <c r="Q2485" t="s">
        <v>5014</v>
      </c>
    </row>
    <row r="2486" spans="1:17" x14ac:dyDescent="0.3">
      <c r="A2486" t="s">
        <v>4382</v>
      </c>
      <c r="B2486" t="str">
        <f>"000765"</f>
        <v>000765</v>
      </c>
      <c r="C2486" t="s">
        <v>5015</v>
      </c>
      <c r="K2486">
        <v>-74841230.129999995</v>
      </c>
      <c r="L2486">
        <v>-11980329.5</v>
      </c>
      <c r="M2486">
        <v>-387951.7</v>
      </c>
      <c r="N2486">
        <v>52199.71</v>
      </c>
      <c r="O2486">
        <v>217761.49</v>
      </c>
      <c r="P2486">
        <v>4</v>
      </c>
      <c r="Q2486" t="s">
        <v>5016</v>
      </c>
    </row>
    <row r="2487" spans="1:17" x14ac:dyDescent="0.3">
      <c r="A2487" t="s">
        <v>4382</v>
      </c>
      <c r="B2487" t="str">
        <f>"000766"</f>
        <v>000766</v>
      </c>
      <c r="C2487" t="s">
        <v>5017</v>
      </c>
      <c r="D2487" t="s">
        <v>113</v>
      </c>
      <c r="F2487">
        <v>29119746</v>
      </c>
      <c r="G2487">
        <v>36513224</v>
      </c>
      <c r="H2487">
        <v>20044970</v>
      </c>
      <c r="I2487">
        <v>210021268</v>
      </c>
      <c r="J2487">
        <v>-106031730</v>
      </c>
      <c r="K2487">
        <v>-163256510</v>
      </c>
      <c r="L2487">
        <v>-129015060</v>
      </c>
      <c r="M2487">
        <v>-80234068</v>
      </c>
      <c r="N2487">
        <v>-36958901</v>
      </c>
      <c r="O2487">
        <v>-28633809</v>
      </c>
      <c r="P2487">
        <v>146</v>
      </c>
      <c r="Q2487" t="s">
        <v>5018</v>
      </c>
    </row>
    <row r="2488" spans="1:17" x14ac:dyDescent="0.3">
      <c r="A2488" t="s">
        <v>4382</v>
      </c>
      <c r="B2488" t="str">
        <f>"000767"</f>
        <v>000767</v>
      </c>
      <c r="C2488" t="s">
        <v>5019</v>
      </c>
      <c r="D2488" t="s">
        <v>41</v>
      </c>
      <c r="F2488">
        <v>-846437478</v>
      </c>
      <c r="G2488">
        <v>-2490390895</v>
      </c>
      <c r="H2488">
        <v>-1676084752</v>
      </c>
      <c r="I2488">
        <v>914854879</v>
      </c>
      <c r="J2488">
        <v>-4002650339</v>
      </c>
      <c r="K2488">
        <v>-2252090636</v>
      </c>
      <c r="L2488">
        <v>-278403266</v>
      </c>
      <c r="M2488">
        <v>669352634</v>
      </c>
      <c r="N2488">
        <v>320497927</v>
      </c>
      <c r="O2488">
        <v>401696693</v>
      </c>
      <c r="P2488">
        <v>173</v>
      </c>
      <c r="Q2488" t="s">
        <v>5020</v>
      </c>
    </row>
    <row r="2489" spans="1:17" x14ac:dyDescent="0.3">
      <c r="A2489" t="s">
        <v>4382</v>
      </c>
      <c r="B2489" t="str">
        <f>"000768"</f>
        <v>000768</v>
      </c>
      <c r="C2489" t="s">
        <v>5021</v>
      </c>
      <c r="D2489" t="s">
        <v>92</v>
      </c>
      <c r="F2489">
        <v>-14489587555</v>
      </c>
      <c r="G2489">
        <v>-5070488050</v>
      </c>
      <c r="H2489">
        <v>-4021692545</v>
      </c>
      <c r="I2489">
        <v>-3441911275</v>
      </c>
      <c r="J2489">
        <v>-2209780215</v>
      </c>
      <c r="K2489">
        <v>-2518946174</v>
      </c>
      <c r="L2489">
        <v>-299296806</v>
      </c>
      <c r="M2489">
        <v>-3442379552</v>
      </c>
      <c r="N2489">
        <v>-4827097854</v>
      </c>
      <c r="O2489">
        <v>-3131688971</v>
      </c>
      <c r="P2489">
        <v>662</v>
      </c>
      <c r="Q2489" t="s">
        <v>5022</v>
      </c>
    </row>
    <row r="2490" spans="1:17" x14ac:dyDescent="0.3">
      <c r="A2490" t="s">
        <v>4382</v>
      </c>
      <c r="B2490" t="str">
        <f>"000776"</f>
        <v>000776</v>
      </c>
      <c r="C2490" t="s">
        <v>5023</v>
      </c>
      <c r="D2490" t="s">
        <v>75</v>
      </c>
      <c r="F2490">
        <v>-8372720604</v>
      </c>
      <c r="G2490">
        <v>6647564303</v>
      </c>
      <c r="H2490">
        <v>23796864638</v>
      </c>
      <c r="I2490">
        <v>27141588619</v>
      </c>
      <c r="J2490">
        <v>-30070444718</v>
      </c>
      <c r="K2490">
        <v>-11903340599</v>
      </c>
      <c r="L2490">
        <v>36256856442</v>
      </c>
      <c r="M2490">
        <v>11824761190</v>
      </c>
      <c r="N2490">
        <v>-10364769098</v>
      </c>
      <c r="O2490">
        <v>1219237826</v>
      </c>
      <c r="P2490">
        <v>3522</v>
      </c>
      <c r="Q2490" t="s">
        <v>5024</v>
      </c>
    </row>
    <row r="2491" spans="1:17" x14ac:dyDescent="0.3">
      <c r="A2491" t="s">
        <v>4382</v>
      </c>
      <c r="B2491" t="str">
        <f>"000777"</f>
        <v>000777</v>
      </c>
      <c r="C2491" t="s">
        <v>5025</v>
      </c>
      <c r="D2491" t="s">
        <v>78</v>
      </c>
      <c r="F2491">
        <v>-109579260</v>
      </c>
      <c r="G2491">
        <v>-37988551</v>
      </c>
      <c r="H2491">
        <v>-215333731</v>
      </c>
      <c r="I2491">
        <v>-116754368</v>
      </c>
      <c r="J2491">
        <v>-148279001</v>
      </c>
      <c r="K2491">
        <v>-97673788</v>
      </c>
      <c r="L2491">
        <v>-53220192</v>
      </c>
      <c r="M2491">
        <v>-76034323</v>
      </c>
      <c r="N2491">
        <v>39020503</v>
      </c>
      <c r="O2491">
        <v>-177994857</v>
      </c>
      <c r="P2491">
        <v>131</v>
      </c>
      <c r="Q2491" t="s">
        <v>5026</v>
      </c>
    </row>
    <row r="2492" spans="1:17" x14ac:dyDescent="0.3">
      <c r="A2492" t="s">
        <v>4382</v>
      </c>
      <c r="B2492" t="str">
        <f>"000778"</f>
        <v>000778</v>
      </c>
      <c r="C2492" t="s">
        <v>5027</v>
      </c>
      <c r="D2492" t="s">
        <v>38</v>
      </c>
      <c r="F2492">
        <v>-1018388206</v>
      </c>
      <c r="G2492">
        <v>514215148</v>
      </c>
      <c r="H2492">
        <v>238264669</v>
      </c>
      <c r="I2492">
        <v>1528948908</v>
      </c>
      <c r="J2492">
        <v>481418211</v>
      </c>
      <c r="K2492">
        <v>-1158746476</v>
      </c>
      <c r="L2492">
        <v>685868369</v>
      </c>
      <c r="M2492">
        <v>-226481217</v>
      </c>
      <c r="N2492">
        <v>-2772167373</v>
      </c>
      <c r="O2492">
        <v>-2545144634</v>
      </c>
      <c r="P2492">
        <v>676</v>
      </c>
      <c r="Q2492" t="s">
        <v>5028</v>
      </c>
    </row>
    <row r="2493" spans="1:17" x14ac:dyDescent="0.3">
      <c r="A2493" t="s">
        <v>4382</v>
      </c>
      <c r="B2493" t="str">
        <f>"000779"</f>
        <v>000779</v>
      </c>
      <c r="C2493" t="s">
        <v>5029</v>
      </c>
      <c r="D2493" t="s">
        <v>95</v>
      </c>
      <c r="F2493">
        <v>-409562626</v>
      </c>
      <c r="G2493">
        <v>-150925526</v>
      </c>
      <c r="H2493">
        <v>-240474610</v>
      </c>
      <c r="I2493">
        <v>-15644685</v>
      </c>
      <c r="J2493">
        <v>142223646</v>
      </c>
      <c r="K2493">
        <v>43482283</v>
      </c>
      <c r="L2493">
        <v>-75068233</v>
      </c>
      <c r="M2493">
        <v>-148110445</v>
      </c>
      <c r="N2493">
        <v>-24388073</v>
      </c>
      <c r="O2493">
        <v>12609957</v>
      </c>
      <c r="P2493">
        <v>165</v>
      </c>
      <c r="Q2493" t="s">
        <v>5030</v>
      </c>
    </row>
    <row r="2494" spans="1:17" x14ac:dyDescent="0.3">
      <c r="A2494" t="s">
        <v>4382</v>
      </c>
      <c r="B2494" t="str">
        <f>"000780"</f>
        <v>000780</v>
      </c>
      <c r="C2494" t="s">
        <v>5031</v>
      </c>
      <c r="D2494" t="s">
        <v>257</v>
      </c>
      <c r="F2494">
        <v>287509928</v>
      </c>
      <c r="G2494">
        <v>97292458</v>
      </c>
      <c r="H2494">
        <v>-365379068</v>
      </c>
      <c r="I2494">
        <v>-583933521</v>
      </c>
      <c r="J2494">
        <v>1091637499</v>
      </c>
      <c r="K2494">
        <v>2044692</v>
      </c>
      <c r="L2494">
        <v>-161523735</v>
      </c>
      <c r="M2494">
        <v>-205061647</v>
      </c>
      <c r="N2494">
        <v>-442220415</v>
      </c>
      <c r="O2494">
        <v>522174559</v>
      </c>
      <c r="P2494">
        <v>99</v>
      </c>
      <c r="Q2494" t="s">
        <v>5032</v>
      </c>
    </row>
    <row r="2495" spans="1:17" x14ac:dyDescent="0.3">
      <c r="A2495" t="s">
        <v>4382</v>
      </c>
      <c r="B2495" t="str">
        <f>"000782"</f>
        <v>000782</v>
      </c>
      <c r="C2495" t="s">
        <v>5033</v>
      </c>
      <c r="D2495" t="s">
        <v>133</v>
      </c>
      <c r="F2495">
        <v>53780865</v>
      </c>
      <c r="G2495">
        <v>-219556400</v>
      </c>
      <c r="H2495">
        <v>144991346</v>
      </c>
      <c r="I2495">
        <v>421279320</v>
      </c>
      <c r="J2495">
        <v>-419079249</v>
      </c>
      <c r="K2495">
        <v>239401933</v>
      </c>
      <c r="L2495">
        <v>-232138946</v>
      </c>
      <c r="M2495">
        <v>88169497</v>
      </c>
      <c r="N2495">
        <v>-271410378</v>
      </c>
      <c r="O2495">
        <v>105548135</v>
      </c>
      <c r="P2495">
        <v>64</v>
      </c>
      <c r="Q2495" t="s">
        <v>5034</v>
      </c>
    </row>
    <row r="2496" spans="1:17" x14ac:dyDescent="0.3">
      <c r="A2496" t="s">
        <v>4382</v>
      </c>
      <c r="B2496" t="str">
        <f>"000783"</f>
        <v>000783</v>
      </c>
      <c r="C2496" t="s">
        <v>5035</v>
      </c>
      <c r="D2496" t="s">
        <v>75</v>
      </c>
      <c r="F2496">
        <v>8160849742</v>
      </c>
      <c r="G2496">
        <v>-4040401513</v>
      </c>
      <c r="H2496">
        <v>-2137065609</v>
      </c>
      <c r="I2496">
        <v>10864806860</v>
      </c>
      <c r="J2496">
        <v>-11851165631</v>
      </c>
      <c r="K2496">
        <v>-17003022328</v>
      </c>
      <c r="L2496">
        <v>16294867204</v>
      </c>
      <c r="M2496">
        <v>5793934478</v>
      </c>
      <c r="N2496">
        <v>-1880072842</v>
      </c>
      <c r="O2496">
        <v>-2181855284</v>
      </c>
      <c r="P2496">
        <v>1208</v>
      </c>
      <c r="Q2496" t="s">
        <v>5036</v>
      </c>
    </row>
    <row r="2497" spans="1:17" x14ac:dyDescent="0.3">
      <c r="A2497" t="s">
        <v>4382</v>
      </c>
      <c r="B2497" t="str">
        <f>"000785"</f>
        <v>000785</v>
      </c>
      <c r="C2497" t="s">
        <v>5037</v>
      </c>
      <c r="D2497" t="s">
        <v>120</v>
      </c>
      <c r="F2497">
        <v>3737092518</v>
      </c>
      <c r="G2497">
        <v>490997885</v>
      </c>
      <c r="H2497">
        <v>-15131731</v>
      </c>
      <c r="I2497">
        <v>95267345</v>
      </c>
      <c r="J2497">
        <v>271978079</v>
      </c>
      <c r="K2497">
        <v>43530175</v>
      </c>
      <c r="L2497">
        <v>-43680776</v>
      </c>
      <c r="M2497">
        <v>-191433053</v>
      </c>
      <c r="N2497">
        <v>-125230264</v>
      </c>
      <c r="O2497">
        <v>22056011</v>
      </c>
      <c r="P2497">
        <v>333</v>
      </c>
      <c r="Q2497" t="s">
        <v>5038</v>
      </c>
    </row>
    <row r="2498" spans="1:17" x14ac:dyDescent="0.3">
      <c r="A2498" t="s">
        <v>4382</v>
      </c>
      <c r="B2498" t="str">
        <f>"000786"</f>
        <v>000786</v>
      </c>
      <c r="C2498" t="s">
        <v>5039</v>
      </c>
      <c r="D2498" t="s">
        <v>350</v>
      </c>
      <c r="F2498">
        <v>564506902</v>
      </c>
      <c r="G2498">
        <v>-931187962</v>
      </c>
      <c r="H2498">
        <v>-229835542</v>
      </c>
      <c r="I2498">
        <v>788867500</v>
      </c>
      <c r="J2498">
        <v>1226743524</v>
      </c>
      <c r="K2498">
        <v>434472658</v>
      </c>
      <c r="L2498">
        <v>424455499</v>
      </c>
      <c r="M2498">
        <v>-130161735</v>
      </c>
      <c r="N2498">
        <v>268977030</v>
      </c>
      <c r="O2498">
        <v>-97178475</v>
      </c>
      <c r="P2498">
        <v>2488</v>
      </c>
      <c r="Q2498" t="s">
        <v>5040</v>
      </c>
    </row>
    <row r="2499" spans="1:17" x14ac:dyDescent="0.3">
      <c r="A2499" t="s">
        <v>4382</v>
      </c>
      <c r="B2499" t="str">
        <f>"000787"</f>
        <v>000787</v>
      </c>
      <c r="C2499" t="s">
        <v>5041</v>
      </c>
      <c r="K2499">
        <v>-443292191.92000002</v>
      </c>
      <c r="L2499">
        <v>110616273.17</v>
      </c>
      <c r="M2499">
        <v>19402042.48</v>
      </c>
      <c r="N2499">
        <v>-1484458.58</v>
      </c>
      <c r="O2499">
        <v>-8264028.2800000003</v>
      </c>
      <c r="P2499">
        <v>3</v>
      </c>
      <c r="Q2499" t="s">
        <v>5042</v>
      </c>
    </row>
    <row r="2500" spans="1:17" x14ac:dyDescent="0.3">
      <c r="A2500" t="s">
        <v>4382</v>
      </c>
      <c r="B2500" t="str">
        <f>"000788"</f>
        <v>000788</v>
      </c>
      <c r="C2500" t="s">
        <v>5043</v>
      </c>
      <c r="D2500" t="s">
        <v>113</v>
      </c>
      <c r="F2500">
        <v>488459</v>
      </c>
      <c r="G2500">
        <v>-53930069</v>
      </c>
      <c r="H2500">
        <v>-49873385</v>
      </c>
      <c r="I2500">
        <v>-16968130</v>
      </c>
      <c r="J2500">
        <v>-89967616</v>
      </c>
      <c r="K2500">
        <v>-337765728</v>
      </c>
      <c r="L2500">
        <v>-71530747</v>
      </c>
      <c r="M2500">
        <v>-93819832</v>
      </c>
      <c r="N2500">
        <v>-326338679</v>
      </c>
      <c r="O2500">
        <v>-303386843</v>
      </c>
      <c r="P2500">
        <v>137</v>
      </c>
      <c r="Q2500" t="s">
        <v>5044</v>
      </c>
    </row>
    <row r="2501" spans="1:17" x14ac:dyDescent="0.3">
      <c r="A2501" t="s">
        <v>4382</v>
      </c>
      <c r="B2501" t="str">
        <f>"000789"</f>
        <v>000789</v>
      </c>
      <c r="C2501" t="s">
        <v>5045</v>
      </c>
      <c r="D2501" t="s">
        <v>350</v>
      </c>
      <c r="F2501">
        <v>-373571331</v>
      </c>
      <c r="G2501">
        <v>-242523486</v>
      </c>
      <c r="H2501">
        <v>504328258</v>
      </c>
      <c r="I2501">
        <v>1217837842</v>
      </c>
      <c r="J2501">
        <v>568020406</v>
      </c>
      <c r="K2501">
        <v>365790537</v>
      </c>
      <c r="L2501">
        <v>209028849</v>
      </c>
      <c r="M2501">
        <v>386923481</v>
      </c>
      <c r="N2501">
        <v>335053403</v>
      </c>
      <c r="O2501">
        <v>196672562</v>
      </c>
      <c r="P2501">
        <v>1140</v>
      </c>
      <c r="Q2501" t="s">
        <v>5046</v>
      </c>
    </row>
    <row r="2502" spans="1:17" x14ac:dyDescent="0.3">
      <c r="A2502" t="s">
        <v>4382</v>
      </c>
      <c r="B2502" t="str">
        <f>"000790"</f>
        <v>000790</v>
      </c>
      <c r="C2502" t="s">
        <v>5047</v>
      </c>
      <c r="D2502" t="s">
        <v>113</v>
      </c>
      <c r="F2502">
        <v>-166335403</v>
      </c>
      <c r="G2502">
        <v>-7366835</v>
      </c>
      <c r="H2502">
        <v>19334019</v>
      </c>
      <c r="I2502">
        <v>16866554</v>
      </c>
      <c r="J2502">
        <v>-139638031</v>
      </c>
      <c r="K2502">
        <v>8209987</v>
      </c>
      <c r="L2502">
        <v>-13136145</v>
      </c>
      <c r="M2502">
        <v>-35994650</v>
      </c>
      <c r="N2502">
        <v>8385246</v>
      </c>
      <c r="O2502">
        <v>-114395299</v>
      </c>
      <c r="P2502">
        <v>175</v>
      </c>
      <c r="Q2502" t="s">
        <v>5048</v>
      </c>
    </row>
    <row r="2503" spans="1:17" x14ac:dyDescent="0.3">
      <c r="A2503" t="s">
        <v>4382</v>
      </c>
      <c r="B2503" t="str">
        <f>"000791"</f>
        <v>000791</v>
      </c>
      <c r="C2503" t="s">
        <v>5049</v>
      </c>
      <c r="D2503" t="s">
        <v>41</v>
      </c>
      <c r="F2503">
        <v>817967291</v>
      </c>
      <c r="G2503">
        <v>1071758902</v>
      </c>
      <c r="H2503">
        <v>1004016839</v>
      </c>
      <c r="I2503">
        <v>772861257</v>
      </c>
      <c r="J2503">
        <v>604726451</v>
      </c>
      <c r="K2503">
        <v>363145032</v>
      </c>
      <c r="L2503">
        <v>430509789</v>
      </c>
      <c r="M2503">
        <v>-62333717</v>
      </c>
      <c r="N2503">
        <v>391795312</v>
      </c>
      <c r="O2503">
        <v>-4168448</v>
      </c>
      <c r="P2503">
        <v>219</v>
      </c>
      <c r="Q2503" t="s">
        <v>5050</v>
      </c>
    </row>
    <row r="2504" spans="1:17" x14ac:dyDescent="0.3">
      <c r="A2504" t="s">
        <v>4382</v>
      </c>
      <c r="B2504" t="str">
        <f>"000792"</f>
        <v>000792</v>
      </c>
      <c r="C2504" t="s">
        <v>5051</v>
      </c>
      <c r="D2504" t="s">
        <v>133</v>
      </c>
      <c r="F2504">
        <v>3953076824</v>
      </c>
      <c r="G2504">
        <v>2240062942</v>
      </c>
      <c r="H2504">
        <v>1426710602</v>
      </c>
      <c r="I2504">
        <v>4696020775</v>
      </c>
      <c r="J2504">
        <v>-1633363726</v>
      </c>
      <c r="K2504">
        <v>-2339083637</v>
      </c>
      <c r="L2504">
        <v>-3336473998</v>
      </c>
      <c r="M2504">
        <v>-4330643435</v>
      </c>
      <c r="N2504">
        <v>-6620329404</v>
      </c>
      <c r="O2504">
        <v>-5050453996</v>
      </c>
      <c r="P2504">
        <v>422</v>
      </c>
      <c r="Q2504" t="s">
        <v>5052</v>
      </c>
    </row>
    <row r="2505" spans="1:17" x14ac:dyDescent="0.3">
      <c r="A2505" t="s">
        <v>4382</v>
      </c>
      <c r="B2505" t="str">
        <f>"000793"</f>
        <v>000793</v>
      </c>
      <c r="C2505" t="s">
        <v>5053</v>
      </c>
      <c r="D2505" t="s">
        <v>89</v>
      </c>
      <c r="F2505">
        <v>-500231208</v>
      </c>
      <c r="G2505">
        <v>76609365</v>
      </c>
      <c r="H2505">
        <v>-549305285</v>
      </c>
      <c r="I2505">
        <v>-1670815044</v>
      </c>
      <c r="J2505">
        <v>-122677543</v>
      </c>
      <c r="K2505">
        <v>-225467986</v>
      </c>
      <c r="L2505">
        <v>-20648854</v>
      </c>
      <c r="M2505">
        <v>85412821</v>
      </c>
      <c r="N2505">
        <v>502550495</v>
      </c>
      <c r="O2505">
        <v>-337766602</v>
      </c>
      <c r="P2505">
        <v>141</v>
      </c>
      <c r="Q2505" t="s">
        <v>5054</v>
      </c>
    </row>
    <row r="2506" spans="1:17" x14ac:dyDescent="0.3">
      <c r="A2506" t="s">
        <v>4382</v>
      </c>
      <c r="B2506" t="str">
        <f>"000795"</f>
        <v>000795</v>
      </c>
      <c r="C2506" t="s">
        <v>5055</v>
      </c>
      <c r="D2506" t="s">
        <v>234</v>
      </c>
      <c r="F2506">
        <v>-125436075</v>
      </c>
      <c r="G2506">
        <v>996328</v>
      </c>
      <c r="H2506">
        <v>197145910</v>
      </c>
      <c r="I2506">
        <v>-94292682</v>
      </c>
      <c r="J2506">
        <v>-29401895</v>
      </c>
      <c r="K2506">
        <v>78601978</v>
      </c>
      <c r="L2506">
        <v>-252702938</v>
      </c>
      <c r="M2506">
        <v>-121485519</v>
      </c>
      <c r="N2506">
        <v>-226443704</v>
      </c>
      <c r="O2506">
        <v>10391269</v>
      </c>
      <c r="P2506">
        <v>145</v>
      </c>
      <c r="Q2506" t="s">
        <v>5056</v>
      </c>
    </row>
    <row r="2507" spans="1:17" x14ac:dyDescent="0.3">
      <c r="A2507" t="s">
        <v>4382</v>
      </c>
      <c r="B2507" t="str">
        <f>"000796"</f>
        <v>000796</v>
      </c>
      <c r="C2507" t="s">
        <v>5057</v>
      </c>
      <c r="D2507" t="s">
        <v>110</v>
      </c>
      <c r="F2507">
        <v>-95075355</v>
      </c>
      <c r="G2507">
        <v>442296</v>
      </c>
      <c r="H2507">
        <v>-1003781598</v>
      </c>
      <c r="I2507">
        <v>-1110245819</v>
      </c>
      <c r="J2507">
        <v>-93773260</v>
      </c>
      <c r="K2507">
        <v>-190959451</v>
      </c>
      <c r="L2507">
        <v>27063721</v>
      </c>
      <c r="M2507">
        <v>75308825</v>
      </c>
      <c r="N2507">
        <v>-981326</v>
      </c>
      <c r="O2507">
        <v>31532938</v>
      </c>
      <c r="P2507">
        <v>224</v>
      </c>
      <c r="Q2507" t="s">
        <v>5058</v>
      </c>
    </row>
    <row r="2508" spans="1:17" x14ac:dyDescent="0.3">
      <c r="A2508" t="s">
        <v>4382</v>
      </c>
      <c r="B2508" t="str">
        <f>"000797"</f>
        <v>000797</v>
      </c>
      <c r="C2508" t="s">
        <v>5059</v>
      </c>
      <c r="D2508" t="s">
        <v>30</v>
      </c>
      <c r="F2508">
        <v>265214711</v>
      </c>
      <c r="G2508">
        <v>1156047855</v>
      </c>
      <c r="H2508">
        <v>-1098244485</v>
      </c>
      <c r="I2508">
        <v>-1611605143</v>
      </c>
      <c r="J2508">
        <v>-14330852</v>
      </c>
      <c r="K2508">
        <v>1019507049</v>
      </c>
      <c r="L2508">
        <v>-397255141</v>
      </c>
      <c r="M2508">
        <v>-202897176</v>
      </c>
      <c r="N2508">
        <v>-1020708993</v>
      </c>
      <c r="O2508">
        <v>407576021</v>
      </c>
      <c r="P2508">
        <v>121</v>
      </c>
      <c r="Q2508" t="s">
        <v>5060</v>
      </c>
    </row>
    <row r="2509" spans="1:17" x14ac:dyDescent="0.3">
      <c r="A2509" t="s">
        <v>4382</v>
      </c>
      <c r="B2509" t="str">
        <f>"000798"</f>
        <v>000798</v>
      </c>
      <c r="C2509" t="s">
        <v>5061</v>
      </c>
      <c r="D2509" t="s">
        <v>205</v>
      </c>
      <c r="F2509">
        <v>50009590</v>
      </c>
      <c r="G2509">
        <v>-157872371</v>
      </c>
      <c r="H2509">
        <v>-6715187</v>
      </c>
      <c r="I2509">
        <v>-24889231</v>
      </c>
      <c r="J2509">
        <v>198078746</v>
      </c>
      <c r="K2509">
        <v>-56918271</v>
      </c>
      <c r="L2509">
        <v>-36434484</v>
      </c>
      <c r="M2509">
        <v>-46487766</v>
      </c>
      <c r="N2509">
        <v>-91669086</v>
      </c>
      <c r="O2509">
        <v>-6082331</v>
      </c>
      <c r="P2509">
        <v>83</v>
      </c>
      <c r="Q2509" t="s">
        <v>5062</v>
      </c>
    </row>
    <row r="2510" spans="1:17" x14ac:dyDescent="0.3">
      <c r="A2510" t="s">
        <v>4382</v>
      </c>
      <c r="B2510" t="str">
        <f>"000799"</f>
        <v>000799</v>
      </c>
      <c r="C2510" t="s">
        <v>5063</v>
      </c>
      <c r="D2510" t="s">
        <v>123</v>
      </c>
      <c r="F2510">
        <v>678316612</v>
      </c>
      <c r="G2510">
        <v>487237833</v>
      </c>
      <c r="H2510">
        <v>153234254</v>
      </c>
      <c r="I2510">
        <v>46885122</v>
      </c>
      <c r="J2510">
        <v>38152162</v>
      </c>
      <c r="K2510">
        <v>50058658</v>
      </c>
      <c r="L2510">
        <v>149647130</v>
      </c>
      <c r="M2510">
        <v>-202182235</v>
      </c>
      <c r="N2510">
        <v>-536174601</v>
      </c>
      <c r="O2510">
        <v>431000219</v>
      </c>
      <c r="P2510">
        <v>1661</v>
      </c>
      <c r="Q2510" t="s">
        <v>5064</v>
      </c>
    </row>
    <row r="2511" spans="1:17" x14ac:dyDescent="0.3">
      <c r="A2511" t="s">
        <v>4382</v>
      </c>
      <c r="B2511" t="str">
        <f>"000800"</f>
        <v>000800</v>
      </c>
      <c r="C2511" t="s">
        <v>5065</v>
      </c>
      <c r="D2511" t="s">
        <v>27</v>
      </c>
      <c r="F2511">
        <v>27287696070</v>
      </c>
      <c r="G2511">
        <v>14133784802</v>
      </c>
      <c r="H2511">
        <v>475538570</v>
      </c>
      <c r="I2511">
        <v>21418684</v>
      </c>
      <c r="J2511">
        <v>1127575990</v>
      </c>
      <c r="K2511">
        <v>-1159825591</v>
      </c>
      <c r="L2511">
        <v>-263822200</v>
      </c>
      <c r="M2511">
        <v>-65866469</v>
      </c>
      <c r="N2511">
        <v>211749883</v>
      </c>
      <c r="O2511">
        <v>-704034758</v>
      </c>
      <c r="P2511">
        <v>446</v>
      </c>
      <c r="Q2511" t="s">
        <v>5066</v>
      </c>
    </row>
    <row r="2512" spans="1:17" x14ac:dyDescent="0.3">
      <c r="A2512" t="s">
        <v>4382</v>
      </c>
      <c r="B2512" t="str">
        <f>"000801"</f>
        <v>000801</v>
      </c>
      <c r="C2512" t="s">
        <v>5067</v>
      </c>
      <c r="D2512" t="s">
        <v>126</v>
      </c>
      <c r="F2512">
        <v>-46425970</v>
      </c>
      <c r="G2512">
        <v>273086321</v>
      </c>
      <c r="H2512">
        <v>-220914685</v>
      </c>
      <c r="I2512">
        <v>-118935322</v>
      </c>
      <c r="J2512">
        <v>-75066389</v>
      </c>
      <c r="K2512">
        <v>-93105532</v>
      </c>
      <c r="L2512">
        <v>-85636417</v>
      </c>
      <c r="M2512">
        <v>32694079</v>
      </c>
      <c r="N2512">
        <v>9637896</v>
      </c>
      <c r="O2512">
        <v>-241514636</v>
      </c>
      <c r="P2512">
        <v>218</v>
      </c>
      <c r="Q2512" t="s">
        <v>5068</v>
      </c>
    </row>
    <row r="2513" spans="1:17" x14ac:dyDescent="0.3">
      <c r="A2513" t="s">
        <v>4382</v>
      </c>
      <c r="B2513" t="str">
        <f>"000802"</f>
        <v>000802</v>
      </c>
      <c r="C2513" t="s">
        <v>5069</v>
      </c>
      <c r="D2513" t="s">
        <v>89</v>
      </c>
      <c r="F2513">
        <v>194781385</v>
      </c>
      <c r="G2513">
        <v>-130561428</v>
      </c>
      <c r="H2513">
        <v>-564645284</v>
      </c>
      <c r="I2513">
        <v>185312304</v>
      </c>
      <c r="J2513">
        <v>-598912500</v>
      </c>
      <c r="K2513">
        <v>-251749822</v>
      </c>
      <c r="L2513">
        <v>-2240763</v>
      </c>
      <c r="M2513">
        <v>-152097470</v>
      </c>
      <c r="N2513">
        <v>-29847287</v>
      </c>
      <c r="O2513">
        <v>-92849138</v>
      </c>
      <c r="P2513">
        <v>205</v>
      </c>
      <c r="Q2513" t="s">
        <v>5070</v>
      </c>
    </row>
    <row r="2514" spans="1:17" x14ac:dyDescent="0.3">
      <c r="A2514" t="s">
        <v>4382</v>
      </c>
      <c r="B2514" t="str">
        <f>"000803"</f>
        <v>000803</v>
      </c>
      <c r="C2514" t="s">
        <v>5071</v>
      </c>
      <c r="D2514" t="s">
        <v>41</v>
      </c>
      <c r="F2514">
        <v>-203972329</v>
      </c>
      <c r="G2514">
        <v>-27083680</v>
      </c>
      <c r="H2514">
        <v>54861260</v>
      </c>
      <c r="I2514">
        <v>-11796799</v>
      </c>
      <c r="J2514">
        <v>-18574754</v>
      </c>
      <c r="K2514">
        <v>-11576157</v>
      </c>
      <c r="L2514">
        <v>-24107307</v>
      </c>
      <c r="M2514">
        <v>-76637150</v>
      </c>
      <c r="N2514">
        <v>21474390</v>
      </c>
      <c r="O2514">
        <v>-18704197</v>
      </c>
      <c r="P2514">
        <v>80</v>
      </c>
      <c r="Q2514" t="s">
        <v>5072</v>
      </c>
    </row>
    <row r="2515" spans="1:17" x14ac:dyDescent="0.3">
      <c r="A2515" t="s">
        <v>4382</v>
      </c>
      <c r="B2515" t="str">
        <f>"000805"</f>
        <v>000805</v>
      </c>
      <c r="C2515" t="s">
        <v>5073</v>
      </c>
      <c r="K2515">
        <v>-27877220.300000001</v>
      </c>
      <c r="L2515">
        <v>-11593664.119999999</v>
      </c>
      <c r="M2515">
        <v>-6571782.46</v>
      </c>
      <c r="N2515">
        <v>-3614602.83</v>
      </c>
      <c r="O2515">
        <v>-14761590.890000001</v>
      </c>
      <c r="P2515">
        <v>3</v>
      </c>
      <c r="Q2515" t="s">
        <v>5074</v>
      </c>
    </row>
    <row r="2516" spans="1:17" x14ac:dyDescent="0.3">
      <c r="A2516" t="s">
        <v>4382</v>
      </c>
      <c r="B2516" t="str">
        <f>"000806"</f>
        <v>000806</v>
      </c>
      <c r="C2516" t="s">
        <v>5075</v>
      </c>
      <c r="D2516" t="s">
        <v>188</v>
      </c>
      <c r="F2516">
        <v>-93734888</v>
      </c>
      <c r="G2516">
        <v>-85161174</v>
      </c>
      <c r="H2516">
        <v>17808174</v>
      </c>
      <c r="I2516">
        <v>-352473376</v>
      </c>
      <c r="J2516">
        <v>-187630832</v>
      </c>
      <c r="K2516">
        <v>-13973269</v>
      </c>
      <c r="L2516">
        <v>-271239418</v>
      </c>
      <c r="M2516">
        <v>-10735994</v>
      </c>
      <c r="N2516">
        <v>12808081</v>
      </c>
      <c r="O2516">
        <v>269015137</v>
      </c>
      <c r="P2516">
        <v>123</v>
      </c>
      <c r="Q2516" t="s">
        <v>5076</v>
      </c>
    </row>
    <row r="2517" spans="1:17" x14ac:dyDescent="0.3">
      <c r="A2517" t="s">
        <v>4382</v>
      </c>
      <c r="B2517" t="str">
        <f>"000807"</f>
        <v>000807</v>
      </c>
      <c r="C2517" t="s">
        <v>5077</v>
      </c>
      <c r="D2517" t="s">
        <v>234</v>
      </c>
      <c r="F2517">
        <v>4655166278</v>
      </c>
      <c r="G2517">
        <v>557476464</v>
      </c>
      <c r="H2517">
        <v>1126084011</v>
      </c>
      <c r="I2517">
        <v>-497093892</v>
      </c>
      <c r="J2517">
        <v>288860921</v>
      </c>
      <c r="K2517">
        <v>1929011758</v>
      </c>
      <c r="L2517">
        <v>514748630</v>
      </c>
      <c r="M2517">
        <v>266776482</v>
      </c>
      <c r="N2517">
        <v>-905605640</v>
      </c>
      <c r="O2517">
        <v>-1788537660</v>
      </c>
      <c r="P2517">
        <v>551</v>
      </c>
      <c r="Q2517" t="s">
        <v>5078</v>
      </c>
    </row>
    <row r="2518" spans="1:17" x14ac:dyDescent="0.3">
      <c r="A2518" t="s">
        <v>4382</v>
      </c>
      <c r="B2518" t="str">
        <f>"000809"</f>
        <v>000809</v>
      </c>
      <c r="C2518" t="s">
        <v>5079</v>
      </c>
      <c r="D2518" t="s">
        <v>30</v>
      </c>
      <c r="F2518">
        <v>-26999338</v>
      </c>
      <c r="G2518">
        <v>144163798</v>
      </c>
      <c r="H2518">
        <v>115522815</v>
      </c>
      <c r="I2518">
        <v>100319545</v>
      </c>
      <c r="J2518">
        <v>397884314</v>
      </c>
      <c r="K2518">
        <v>-251492906</v>
      </c>
      <c r="L2518">
        <v>-123814382</v>
      </c>
      <c r="M2518">
        <v>-909434202</v>
      </c>
      <c r="N2518">
        <v>-64804400</v>
      </c>
      <c r="O2518">
        <v>-301209083</v>
      </c>
      <c r="P2518">
        <v>72</v>
      </c>
      <c r="Q2518" t="s">
        <v>5080</v>
      </c>
    </row>
    <row r="2519" spans="1:17" x14ac:dyDescent="0.3">
      <c r="A2519" t="s">
        <v>4382</v>
      </c>
      <c r="B2519" t="str">
        <f>"000810"</f>
        <v>000810</v>
      </c>
      <c r="C2519" t="s">
        <v>5081</v>
      </c>
      <c r="D2519" t="s">
        <v>126</v>
      </c>
      <c r="F2519">
        <v>-386765592</v>
      </c>
      <c r="G2519">
        <v>1346287427</v>
      </c>
      <c r="H2519">
        <v>-15223387</v>
      </c>
      <c r="I2519">
        <v>-579197017</v>
      </c>
      <c r="J2519">
        <v>-575270663</v>
      </c>
      <c r="K2519">
        <v>125724039</v>
      </c>
      <c r="L2519">
        <v>-130074640</v>
      </c>
      <c r="M2519">
        <v>-89152411</v>
      </c>
      <c r="N2519">
        <v>65535990</v>
      </c>
      <c r="O2519">
        <v>60190744</v>
      </c>
      <c r="P2519">
        <v>385</v>
      </c>
      <c r="Q2519" t="s">
        <v>5082</v>
      </c>
    </row>
    <row r="2520" spans="1:17" x14ac:dyDescent="0.3">
      <c r="A2520" t="s">
        <v>4382</v>
      </c>
      <c r="B2520" t="str">
        <f>"000811"</f>
        <v>000811</v>
      </c>
      <c r="C2520" t="s">
        <v>5083</v>
      </c>
      <c r="D2520" t="s">
        <v>78</v>
      </c>
      <c r="F2520">
        <v>-68346073</v>
      </c>
      <c r="G2520">
        <v>215695787</v>
      </c>
      <c r="H2520">
        <v>-109168131</v>
      </c>
      <c r="I2520">
        <v>-76279461</v>
      </c>
      <c r="J2520">
        <v>35586134</v>
      </c>
      <c r="K2520">
        <v>117949850</v>
      </c>
      <c r="L2520">
        <v>-10580021</v>
      </c>
      <c r="M2520">
        <v>45437662</v>
      </c>
      <c r="N2520">
        <v>13292221</v>
      </c>
      <c r="O2520">
        <v>80349065</v>
      </c>
      <c r="P2520">
        <v>225</v>
      </c>
      <c r="Q2520" t="s">
        <v>5084</v>
      </c>
    </row>
    <row r="2521" spans="1:17" x14ac:dyDescent="0.3">
      <c r="A2521" t="s">
        <v>4382</v>
      </c>
      <c r="B2521" t="str">
        <f>"000812"</f>
        <v>000812</v>
      </c>
      <c r="C2521" t="s">
        <v>5085</v>
      </c>
      <c r="D2521" t="s">
        <v>161</v>
      </c>
      <c r="F2521">
        <v>25188854</v>
      </c>
      <c r="G2521">
        <v>59216089</v>
      </c>
      <c r="H2521">
        <v>-150175267</v>
      </c>
      <c r="I2521">
        <v>-81555687</v>
      </c>
      <c r="J2521">
        <v>84005345</v>
      </c>
      <c r="K2521">
        <v>106534098</v>
      </c>
      <c r="L2521">
        <v>73724668</v>
      </c>
      <c r="M2521">
        <v>84268222</v>
      </c>
      <c r="N2521">
        <v>120715969</v>
      </c>
      <c r="O2521">
        <v>7924245</v>
      </c>
      <c r="P2521">
        <v>111</v>
      </c>
      <c r="Q2521" t="s">
        <v>5086</v>
      </c>
    </row>
    <row r="2522" spans="1:17" x14ac:dyDescent="0.3">
      <c r="A2522" t="s">
        <v>4382</v>
      </c>
      <c r="B2522" t="str">
        <f>"000813"</f>
        <v>000813</v>
      </c>
      <c r="C2522" t="s">
        <v>5087</v>
      </c>
      <c r="D2522" t="s">
        <v>113</v>
      </c>
      <c r="F2522">
        <v>61917376</v>
      </c>
      <c r="G2522">
        <v>717719116</v>
      </c>
      <c r="H2522">
        <v>1393551324</v>
      </c>
      <c r="I2522">
        <v>158602459</v>
      </c>
      <c r="J2522">
        <v>336583367</v>
      </c>
      <c r="K2522">
        <v>257691391</v>
      </c>
      <c r="L2522">
        <v>61793733</v>
      </c>
      <c r="M2522">
        <v>96694246</v>
      </c>
      <c r="N2522">
        <v>-50994906</v>
      </c>
      <c r="O2522">
        <v>-30349795</v>
      </c>
      <c r="P2522">
        <v>281</v>
      </c>
      <c r="Q2522" t="s">
        <v>5088</v>
      </c>
    </row>
    <row r="2523" spans="1:17" x14ac:dyDescent="0.3">
      <c r="A2523" t="s">
        <v>4382</v>
      </c>
      <c r="B2523" t="str">
        <f>"000815"</f>
        <v>000815</v>
      </c>
      <c r="C2523" t="s">
        <v>5089</v>
      </c>
      <c r="D2523" t="s">
        <v>161</v>
      </c>
      <c r="F2523">
        <v>-5601933</v>
      </c>
      <c r="G2523">
        <v>-198373533</v>
      </c>
      <c r="H2523">
        <v>-128314599</v>
      </c>
      <c r="I2523">
        <v>-139650111</v>
      </c>
      <c r="J2523">
        <v>-266579740</v>
      </c>
      <c r="K2523">
        <v>-141831816</v>
      </c>
      <c r="L2523">
        <v>-1537258</v>
      </c>
      <c r="M2523">
        <v>-39739710</v>
      </c>
      <c r="N2523">
        <v>-283686316</v>
      </c>
      <c r="O2523">
        <v>-111877619</v>
      </c>
      <c r="P2523">
        <v>125</v>
      </c>
      <c r="Q2523" t="s">
        <v>5090</v>
      </c>
    </row>
    <row r="2524" spans="1:17" x14ac:dyDescent="0.3">
      <c r="A2524" t="s">
        <v>4382</v>
      </c>
      <c r="B2524" t="str">
        <f>"000816"</f>
        <v>000816</v>
      </c>
      <c r="C2524" t="s">
        <v>5091</v>
      </c>
      <c r="D2524" t="s">
        <v>27</v>
      </c>
      <c r="F2524">
        <v>179551490</v>
      </c>
      <c r="G2524">
        <v>-4966536</v>
      </c>
      <c r="H2524">
        <v>-148966333</v>
      </c>
      <c r="I2524">
        <v>-114245958</v>
      </c>
      <c r="J2524">
        <v>-153189242</v>
      </c>
      <c r="K2524">
        <v>48507880</v>
      </c>
      <c r="L2524">
        <v>-42691061</v>
      </c>
      <c r="M2524">
        <v>-348729598</v>
      </c>
      <c r="N2524">
        <v>-202779485</v>
      </c>
      <c r="O2524">
        <v>-6309590</v>
      </c>
      <c r="P2524">
        <v>153</v>
      </c>
      <c r="Q2524" t="s">
        <v>5092</v>
      </c>
    </row>
    <row r="2525" spans="1:17" x14ac:dyDescent="0.3">
      <c r="A2525" t="s">
        <v>4382</v>
      </c>
      <c r="B2525" t="str">
        <f>"000818"</f>
        <v>000818</v>
      </c>
      <c r="C2525" t="s">
        <v>5093</v>
      </c>
      <c r="D2525" t="s">
        <v>133</v>
      </c>
      <c r="F2525">
        <v>443175511</v>
      </c>
      <c r="G2525">
        <v>35652991</v>
      </c>
      <c r="H2525">
        <v>156711491</v>
      </c>
      <c r="I2525">
        <v>200832154</v>
      </c>
      <c r="J2525">
        <v>107974873</v>
      </c>
      <c r="K2525">
        <v>-30579367</v>
      </c>
      <c r="L2525">
        <v>203038668</v>
      </c>
      <c r="M2525">
        <v>54821151</v>
      </c>
      <c r="N2525">
        <v>21617068</v>
      </c>
      <c r="O2525">
        <v>-72543091</v>
      </c>
      <c r="P2525">
        <v>258</v>
      </c>
      <c r="Q2525" t="s">
        <v>5094</v>
      </c>
    </row>
    <row r="2526" spans="1:17" x14ac:dyDescent="0.3">
      <c r="A2526" t="s">
        <v>4382</v>
      </c>
      <c r="B2526" t="str">
        <f>"000819"</f>
        <v>000819</v>
      </c>
      <c r="C2526" t="s">
        <v>5095</v>
      </c>
      <c r="D2526" t="s">
        <v>70</v>
      </c>
      <c r="F2526">
        <v>-240544061</v>
      </c>
      <c r="G2526">
        <v>9392791</v>
      </c>
      <c r="H2526">
        <v>48035029</v>
      </c>
      <c r="I2526">
        <v>66963195</v>
      </c>
      <c r="J2526">
        <v>52179075</v>
      </c>
      <c r="K2526">
        <v>66404677</v>
      </c>
      <c r="L2526">
        <v>35459150</v>
      </c>
      <c r="M2526">
        <v>-15513284</v>
      </c>
      <c r="N2526">
        <v>27940697</v>
      </c>
      <c r="O2526">
        <v>75338906</v>
      </c>
      <c r="P2526">
        <v>81</v>
      </c>
      <c r="Q2526" t="s">
        <v>5096</v>
      </c>
    </row>
    <row r="2527" spans="1:17" x14ac:dyDescent="0.3">
      <c r="A2527" t="s">
        <v>4382</v>
      </c>
      <c r="B2527" t="str">
        <f>"000820"</f>
        <v>000820</v>
      </c>
      <c r="C2527" t="s">
        <v>5097</v>
      </c>
      <c r="D2527" t="s">
        <v>33</v>
      </c>
      <c r="F2527">
        <v>-104172641</v>
      </c>
      <c r="G2527">
        <v>-6017551</v>
      </c>
      <c r="H2527">
        <v>-45859123</v>
      </c>
      <c r="I2527">
        <v>-86230668</v>
      </c>
      <c r="J2527">
        <v>-201049083</v>
      </c>
      <c r="K2527">
        <v>-46967984</v>
      </c>
      <c r="L2527">
        <v>-258338</v>
      </c>
      <c r="M2527">
        <v>-43803734</v>
      </c>
      <c r="N2527">
        <v>-39779380</v>
      </c>
      <c r="O2527">
        <v>4263560</v>
      </c>
      <c r="P2527">
        <v>156</v>
      </c>
      <c r="Q2527" t="s">
        <v>5098</v>
      </c>
    </row>
    <row r="2528" spans="1:17" x14ac:dyDescent="0.3">
      <c r="A2528" t="s">
        <v>4382</v>
      </c>
      <c r="B2528" t="str">
        <f>"000821"</f>
        <v>000821</v>
      </c>
      <c r="C2528" t="s">
        <v>5099</v>
      </c>
      <c r="D2528" t="s">
        <v>78</v>
      </c>
      <c r="F2528">
        <v>-19756952</v>
      </c>
      <c r="G2528">
        <v>-86418191</v>
      </c>
      <c r="H2528">
        <v>-173166207</v>
      </c>
      <c r="I2528">
        <v>5295373</v>
      </c>
      <c r="J2528">
        <v>-1559875</v>
      </c>
      <c r="K2528">
        <v>23540034</v>
      </c>
      <c r="L2528">
        <v>44424615</v>
      </c>
      <c r="M2528">
        <v>-22158645</v>
      </c>
      <c r="N2528">
        <v>-43432689</v>
      </c>
      <c r="O2528">
        <v>39819496</v>
      </c>
      <c r="P2528">
        <v>166</v>
      </c>
      <c r="Q2528" t="s">
        <v>5100</v>
      </c>
    </row>
    <row r="2529" spans="1:17" x14ac:dyDescent="0.3">
      <c r="A2529" t="s">
        <v>4382</v>
      </c>
      <c r="B2529" t="str">
        <f>"000822"</f>
        <v>000822</v>
      </c>
      <c r="C2529" t="s">
        <v>5101</v>
      </c>
      <c r="D2529" t="s">
        <v>133</v>
      </c>
      <c r="F2529">
        <v>335451614</v>
      </c>
      <c r="G2529">
        <v>57662248</v>
      </c>
      <c r="H2529">
        <v>446232803</v>
      </c>
      <c r="I2529">
        <v>124124234</v>
      </c>
      <c r="J2529">
        <v>-17794832</v>
      </c>
      <c r="K2529">
        <v>167707208</v>
      </c>
      <c r="L2529">
        <v>-43831132</v>
      </c>
      <c r="M2529">
        <v>523626781</v>
      </c>
      <c r="N2529">
        <v>-92358978</v>
      </c>
      <c r="O2529">
        <v>216622395</v>
      </c>
      <c r="P2529">
        <v>211</v>
      </c>
      <c r="Q2529" t="s">
        <v>5102</v>
      </c>
    </row>
    <row r="2530" spans="1:17" x14ac:dyDescent="0.3">
      <c r="A2530" t="s">
        <v>4382</v>
      </c>
      <c r="B2530" t="str">
        <f>"000823"</f>
        <v>000823</v>
      </c>
      <c r="C2530" t="s">
        <v>5103</v>
      </c>
      <c r="D2530" t="s">
        <v>150</v>
      </c>
      <c r="F2530">
        <v>-164435194</v>
      </c>
      <c r="G2530">
        <v>96606095</v>
      </c>
      <c r="H2530">
        <v>363056819</v>
      </c>
      <c r="I2530">
        <v>79094446</v>
      </c>
      <c r="J2530">
        <v>-10177121</v>
      </c>
      <c r="K2530">
        <v>372185865</v>
      </c>
      <c r="L2530">
        <v>98295781</v>
      </c>
      <c r="M2530">
        <v>-347518314</v>
      </c>
      <c r="N2530">
        <v>126138868</v>
      </c>
      <c r="O2530">
        <v>168600146</v>
      </c>
      <c r="P2530">
        <v>354</v>
      </c>
      <c r="Q2530" t="s">
        <v>5104</v>
      </c>
    </row>
    <row r="2531" spans="1:17" x14ac:dyDescent="0.3">
      <c r="A2531" t="s">
        <v>4382</v>
      </c>
      <c r="B2531" t="str">
        <f>"000825"</f>
        <v>000825</v>
      </c>
      <c r="C2531" t="s">
        <v>5105</v>
      </c>
      <c r="D2531" t="s">
        <v>38</v>
      </c>
      <c r="F2531">
        <v>9836607835</v>
      </c>
      <c r="G2531">
        <v>3094074961</v>
      </c>
      <c r="H2531">
        <v>194834337</v>
      </c>
      <c r="I2531">
        <v>6003819594</v>
      </c>
      <c r="J2531">
        <v>7662442195</v>
      </c>
      <c r="K2531">
        <v>4580355841</v>
      </c>
      <c r="L2531">
        <v>-1465882759</v>
      </c>
      <c r="M2531">
        <v>-275251995</v>
      </c>
      <c r="N2531">
        <v>-2151407315</v>
      </c>
      <c r="O2531">
        <v>2372676984</v>
      </c>
      <c r="P2531">
        <v>581</v>
      </c>
      <c r="Q2531" t="s">
        <v>5106</v>
      </c>
    </row>
    <row r="2532" spans="1:17" x14ac:dyDescent="0.3">
      <c r="A2532" t="s">
        <v>4382</v>
      </c>
      <c r="B2532" t="str">
        <f>"000826"</f>
        <v>000826</v>
      </c>
      <c r="C2532" t="s">
        <v>5107</v>
      </c>
      <c r="D2532" t="s">
        <v>33</v>
      </c>
      <c r="F2532">
        <v>-690785161</v>
      </c>
      <c r="G2532">
        <v>-1100405456</v>
      </c>
      <c r="H2532">
        <v>-1346728517</v>
      </c>
      <c r="I2532">
        <v>-2803556519</v>
      </c>
      <c r="J2532">
        <v>-3010313150</v>
      </c>
      <c r="K2532">
        <v>-2628098461</v>
      </c>
      <c r="L2532">
        <v>-1093199244</v>
      </c>
      <c r="M2532">
        <v>-1030609251</v>
      </c>
      <c r="N2532">
        <v>-166289643</v>
      </c>
      <c r="O2532">
        <v>154080475</v>
      </c>
      <c r="P2532">
        <v>559</v>
      </c>
      <c r="Q2532" t="s">
        <v>5108</v>
      </c>
    </row>
    <row r="2533" spans="1:17" x14ac:dyDescent="0.3">
      <c r="A2533" t="s">
        <v>4382</v>
      </c>
      <c r="B2533" t="str">
        <f>"000828"</f>
        <v>000828</v>
      </c>
      <c r="C2533" t="s">
        <v>5109</v>
      </c>
      <c r="D2533" t="s">
        <v>22</v>
      </c>
      <c r="F2533">
        <v>-1575448356</v>
      </c>
      <c r="G2533">
        <v>1119616974</v>
      </c>
      <c r="H2533">
        <v>1556828150</v>
      </c>
      <c r="I2533">
        <v>1864742767</v>
      </c>
      <c r="J2533">
        <v>274331167</v>
      </c>
      <c r="K2533">
        <v>820049940</v>
      </c>
      <c r="L2533">
        <v>-1202634042</v>
      </c>
      <c r="M2533">
        <v>160945942</v>
      </c>
      <c r="N2533">
        <v>390537326</v>
      </c>
      <c r="O2533">
        <v>410176675</v>
      </c>
      <c r="P2533">
        <v>961</v>
      </c>
      <c r="Q2533" t="s">
        <v>5110</v>
      </c>
    </row>
    <row r="2534" spans="1:17" x14ac:dyDescent="0.3">
      <c r="A2534" t="s">
        <v>4382</v>
      </c>
      <c r="B2534" t="str">
        <f>"000829"</f>
        <v>000829</v>
      </c>
      <c r="C2534" t="s">
        <v>5111</v>
      </c>
      <c r="D2534" t="s">
        <v>120</v>
      </c>
      <c r="F2534">
        <v>-2397781836</v>
      </c>
      <c r="G2534">
        <v>712100794</v>
      </c>
      <c r="H2534">
        <v>880503896</v>
      </c>
      <c r="I2534">
        <v>-215112935</v>
      </c>
      <c r="J2534">
        <v>1618420894</v>
      </c>
      <c r="K2534">
        <v>-1667393493</v>
      </c>
      <c r="L2534">
        <v>27850366</v>
      </c>
      <c r="M2534">
        <v>348480245</v>
      </c>
      <c r="N2534">
        <v>219984845</v>
      </c>
      <c r="O2534">
        <v>-1324165859</v>
      </c>
      <c r="P2534">
        <v>187</v>
      </c>
      <c r="Q2534" t="s">
        <v>5112</v>
      </c>
    </row>
    <row r="2535" spans="1:17" x14ac:dyDescent="0.3">
      <c r="A2535" t="s">
        <v>4382</v>
      </c>
      <c r="B2535" t="str">
        <f>"000830"</f>
        <v>000830</v>
      </c>
      <c r="C2535" t="s">
        <v>5113</v>
      </c>
      <c r="D2535" t="s">
        <v>133</v>
      </c>
      <c r="F2535">
        <v>4471865913</v>
      </c>
      <c r="G2535">
        <v>-285142050</v>
      </c>
      <c r="H2535">
        <v>115663461</v>
      </c>
      <c r="I2535">
        <v>1294131918</v>
      </c>
      <c r="J2535">
        <v>193698599</v>
      </c>
      <c r="K2535">
        <v>-934473656</v>
      </c>
      <c r="L2535">
        <v>-1087570840</v>
      </c>
      <c r="M2535">
        <v>-306632033</v>
      </c>
      <c r="N2535">
        <v>-935516009</v>
      </c>
      <c r="O2535">
        <v>-954498780</v>
      </c>
      <c r="P2535">
        <v>893</v>
      </c>
      <c r="Q2535" t="s">
        <v>5114</v>
      </c>
    </row>
    <row r="2536" spans="1:17" x14ac:dyDescent="0.3">
      <c r="A2536" t="s">
        <v>4382</v>
      </c>
      <c r="B2536" t="str">
        <f>"000831"</f>
        <v>000831</v>
      </c>
      <c r="C2536" t="s">
        <v>5115</v>
      </c>
      <c r="D2536" t="s">
        <v>234</v>
      </c>
      <c r="F2536">
        <v>-186831838</v>
      </c>
      <c r="G2536">
        <v>96781381</v>
      </c>
      <c r="H2536">
        <v>-160824404</v>
      </c>
      <c r="I2536">
        <v>-250035297</v>
      </c>
      <c r="J2536">
        <v>-68768602</v>
      </c>
      <c r="K2536">
        <v>122895569</v>
      </c>
      <c r="L2536">
        <v>78581887</v>
      </c>
      <c r="M2536">
        <v>746184094</v>
      </c>
      <c r="N2536">
        <v>-502305796</v>
      </c>
      <c r="O2536">
        <v>-20061382</v>
      </c>
      <c r="P2536">
        <v>458</v>
      </c>
      <c r="Q2536" t="s">
        <v>5116</v>
      </c>
    </row>
    <row r="2537" spans="1:17" x14ac:dyDescent="0.3">
      <c r="A2537" t="s">
        <v>4382</v>
      </c>
      <c r="B2537" t="str">
        <f>"000832"</f>
        <v>000832</v>
      </c>
      <c r="C2537" t="s">
        <v>5117</v>
      </c>
      <c r="K2537">
        <v>1034391.35</v>
      </c>
      <c r="L2537">
        <v>-650121.73</v>
      </c>
      <c r="M2537">
        <v>-147108.54</v>
      </c>
      <c r="N2537">
        <v>-486253.91</v>
      </c>
      <c r="O2537">
        <v>7958081.2599999998</v>
      </c>
      <c r="P2537">
        <v>6</v>
      </c>
      <c r="Q2537" t="s">
        <v>5118</v>
      </c>
    </row>
    <row r="2538" spans="1:17" x14ac:dyDescent="0.3">
      <c r="A2538" t="s">
        <v>4382</v>
      </c>
      <c r="B2538" t="str">
        <f>"000833"</f>
        <v>000833</v>
      </c>
      <c r="C2538" t="s">
        <v>5119</v>
      </c>
      <c r="D2538" t="s">
        <v>103</v>
      </c>
      <c r="F2538">
        <v>67351154</v>
      </c>
      <c r="G2538">
        <v>-101606447</v>
      </c>
      <c r="H2538">
        <v>4421902</v>
      </c>
      <c r="I2538">
        <v>44388928</v>
      </c>
      <c r="J2538">
        <v>-58639447</v>
      </c>
      <c r="K2538">
        <v>96249443</v>
      </c>
      <c r="L2538">
        <v>26798184</v>
      </c>
      <c r="M2538">
        <v>-129297362</v>
      </c>
      <c r="N2538">
        <v>-47322465</v>
      </c>
      <c r="O2538">
        <v>-102110004</v>
      </c>
      <c r="P2538">
        <v>88</v>
      </c>
      <c r="Q2538" t="s">
        <v>5120</v>
      </c>
    </row>
    <row r="2539" spans="1:17" x14ac:dyDescent="0.3">
      <c r="A2539" t="s">
        <v>4382</v>
      </c>
      <c r="B2539" t="str">
        <f>"000835"</f>
        <v>000835</v>
      </c>
      <c r="C2539" t="s">
        <v>5121</v>
      </c>
      <c r="D2539" t="s">
        <v>89</v>
      </c>
      <c r="F2539">
        <v>-722823</v>
      </c>
      <c r="G2539">
        <v>-3453030</v>
      </c>
      <c r="H2539">
        <v>-14937952</v>
      </c>
      <c r="I2539">
        <v>-25836739</v>
      </c>
      <c r="J2539">
        <v>103663706</v>
      </c>
      <c r="K2539">
        <v>-7485224</v>
      </c>
      <c r="L2539">
        <v>17178143</v>
      </c>
      <c r="M2539">
        <v>42480197</v>
      </c>
      <c r="N2539">
        <v>-68919950</v>
      </c>
      <c r="O2539">
        <v>6566780</v>
      </c>
      <c r="P2539">
        <v>69</v>
      </c>
      <c r="Q2539" t="s">
        <v>5122</v>
      </c>
    </row>
    <row r="2540" spans="1:17" x14ac:dyDescent="0.3">
      <c r="A2540" t="s">
        <v>4382</v>
      </c>
      <c r="B2540" t="str">
        <f>"000836"</f>
        <v>000836</v>
      </c>
      <c r="C2540" t="s">
        <v>5123</v>
      </c>
      <c r="D2540" t="s">
        <v>100</v>
      </c>
      <c r="F2540">
        <v>-161360860</v>
      </c>
      <c r="G2540">
        <v>-111871538</v>
      </c>
      <c r="H2540">
        <v>-63234377</v>
      </c>
      <c r="I2540">
        <v>-346302604</v>
      </c>
      <c r="J2540">
        <v>-31758104</v>
      </c>
      <c r="K2540">
        <v>-62221669</v>
      </c>
      <c r="L2540">
        <v>22329935</v>
      </c>
      <c r="M2540">
        <v>58999729</v>
      </c>
      <c r="N2540">
        <v>38879716</v>
      </c>
      <c r="O2540">
        <v>-69973120</v>
      </c>
      <c r="P2540">
        <v>135</v>
      </c>
      <c r="Q2540" t="s">
        <v>5124</v>
      </c>
    </row>
    <row r="2541" spans="1:17" x14ac:dyDescent="0.3">
      <c r="A2541" t="s">
        <v>4382</v>
      </c>
      <c r="B2541" t="str">
        <f>"000837"</f>
        <v>000837</v>
      </c>
      <c r="C2541" t="s">
        <v>5125</v>
      </c>
      <c r="D2541" t="s">
        <v>78</v>
      </c>
      <c r="F2541">
        <v>170186816</v>
      </c>
      <c r="G2541">
        <v>-26758232</v>
      </c>
      <c r="H2541">
        <v>-145367767</v>
      </c>
      <c r="I2541">
        <v>-67000939</v>
      </c>
      <c r="J2541">
        <v>-104980582</v>
      </c>
      <c r="K2541">
        <v>-93117120</v>
      </c>
      <c r="L2541">
        <v>-257022910</v>
      </c>
      <c r="M2541">
        <v>-114735624</v>
      </c>
      <c r="N2541">
        <v>-127194048</v>
      </c>
      <c r="O2541">
        <v>-154425786</v>
      </c>
      <c r="P2541">
        <v>129</v>
      </c>
      <c r="Q2541" t="s">
        <v>5126</v>
      </c>
    </row>
    <row r="2542" spans="1:17" x14ac:dyDescent="0.3">
      <c r="A2542" t="s">
        <v>4382</v>
      </c>
      <c r="B2542" t="str">
        <f>"000838"</f>
        <v>000838</v>
      </c>
      <c r="C2542" t="s">
        <v>5127</v>
      </c>
      <c r="D2542" t="s">
        <v>30</v>
      </c>
      <c r="F2542">
        <v>2009166615</v>
      </c>
      <c r="G2542">
        <v>377821541</v>
      </c>
      <c r="H2542">
        <v>1258086394</v>
      </c>
      <c r="I2542">
        <v>558790477</v>
      </c>
      <c r="J2542">
        <v>-106991418</v>
      </c>
      <c r="K2542">
        <v>-138729834</v>
      </c>
      <c r="L2542">
        <v>-216413968</v>
      </c>
      <c r="M2542">
        <v>8616014</v>
      </c>
      <c r="N2542">
        <v>96186131</v>
      </c>
      <c r="O2542">
        <v>-64821066</v>
      </c>
      <c r="P2542">
        <v>98</v>
      </c>
      <c r="Q2542" t="s">
        <v>5128</v>
      </c>
    </row>
    <row r="2543" spans="1:17" x14ac:dyDescent="0.3">
      <c r="A2543" t="s">
        <v>4382</v>
      </c>
      <c r="B2543" t="str">
        <f>"000839"</f>
        <v>000839</v>
      </c>
      <c r="C2543" t="s">
        <v>5129</v>
      </c>
      <c r="D2543" t="s">
        <v>103</v>
      </c>
      <c r="F2543">
        <v>-125992990</v>
      </c>
      <c r="G2543">
        <v>-402970056</v>
      </c>
      <c r="H2543">
        <v>-283068126</v>
      </c>
      <c r="I2543">
        <v>-1324308425</v>
      </c>
      <c r="J2543">
        <v>-1132632202</v>
      </c>
      <c r="K2543">
        <v>-532350810</v>
      </c>
      <c r="L2543">
        <v>-109327584</v>
      </c>
      <c r="M2543">
        <v>-483430661</v>
      </c>
      <c r="N2543">
        <v>-270664547</v>
      </c>
      <c r="O2543">
        <v>-447773713</v>
      </c>
      <c r="P2543">
        <v>219</v>
      </c>
      <c r="Q2543" t="s">
        <v>5130</v>
      </c>
    </row>
    <row r="2544" spans="1:17" x14ac:dyDescent="0.3">
      <c r="A2544" t="s">
        <v>4382</v>
      </c>
      <c r="B2544" t="str">
        <f>"000848"</f>
        <v>000848</v>
      </c>
      <c r="C2544" t="s">
        <v>5131</v>
      </c>
      <c r="D2544" t="s">
        <v>123</v>
      </c>
      <c r="F2544">
        <v>214170714</v>
      </c>
      <c r="G2544">
        <v>-31481734</v>
      </c>
      <c r="H2544">
        <v>106653304</v>
      </c>
      <c r="I2544">
        <v>131673940</v>
      </c>
      <c r="J2544">
        <v>-106986871</v>
      </c>
      <c r="K2544">
        <v>138995806</v>
      </c>
      <c r="L2544">
        <v>338882861</v>
      </c>
      <c r="M2544">
        <v>128225996</v>
      </c>
      <c r="N2544">
        <v>34897435</v>
      </c>
      <c r="O2544">
        <v>-104831585</v>
      </c>
      <c r="P2544">
        <v>41213</v>
      </c>
      <c r="Q2544" t="s">
        <v>5132</v>
      </c>
    </row>
    <row r="2545" spans="1:17" x14ac:dyDescent="0.3">
      <c r="A2545" t="s">
        <v>4382</v>
      </c>
      <c r="B2545" t="str">
        <f>"000850"</f>
        <v>000850</v>
      </c>
      <c r="C2545" t="s">
        <v>5133</v>
      </c>
      <c r="D2545" t="s">
        <v>227</v>
      </c>
      <c r="F2545">
        <v>234381949</v>
      </c>
      <c r="G2545">
        <v>353279749</v>
      </c>
      <c r="H2545">
        <v>-225393890</v>
      </c>
      <c r="I2545">
        <v>-161693233</v>
      </c>
      <c r="J2545">
        <v>-65912003</v>
      </c>
      <c r="K2545">
        <v>102351462</v>
      </c>
      <c r="L2545">
        <v>11038110</v>
      </c>
      <c r="M2545">
        <v>-63445181</v>
      </c>
      <c r="N2545">
        <v>-183907058</v>
      </c>
      <c r="O2545">
        <v>418335725</v>
      </c>
      <c r="P2545">
        <v>121</v>
      </c>
      <c r="Q2545" t="s">
        <v>5134</v>
      </c>
    </row>
    <row r="2546" spans="1:17" x14ac:dyDescent="0.3">
      <c r="A2546" t="s">
        <v>4382</v>
      </c>
      <c r="B2546" t="str">
        <f>"000851"</f>
        <v>000851</v>
      </c>
      <c r="C2546" t="s">
        <v>5135</v>
      </c>
      <c r="D2546" t="s">
        <v>100</v>
      </c>
      <c r="F2546">
        <v>-413184829</v>
      </c>
      <c r="G2546">
        <v>-435524814</v>
      </c>
      <c r="H2546">
        <v>-750396481</v>
      </c>
      <c r="I2546">
        <v>-1084895899</v>
      </c>
      <c r="J2546">
        <v>-933187137</v>
      </c>
      <c r="K2546">
        <v>-400283816</v>
      </c>
      <c r="L2546">
        <v>-153124308</v>
      </c>
      <c r="M2546">
        <v>-584492208</v>
      </c>
      <c r="N2546">
        <v>-635954994</v>
      </c>
      <c r="O2546">
        <v>-147899344</v>
      </c>
      <c r="P2546">
        <v>224</v>
      </c>
      <c r="Q2546" t="s">
        <v>5136</v>
      </c>
    </row>
    <row r="2547" spans="1:17" x14ac:dyDescent="0.3">
      <c r="A2547" t="s">
        <v>4382</v>
      </c>
      <c r="B2547" t="str">
        <f>"000852"</f>
        <v>000852</v>
      </c>
      <c r="C2547" t="s">
        <v>5137</v>
      </c>
      <c r="D2547" t="s">
        <v>78</v>
      </c>
      <c r="F2547">
        <v>4594695</v>
      </c>
      <c r="G2547">
        <v>-281426469</v>
      </c>
      <c r="H2547">
        <v>-1082797917</v>
      </c>
      <c r="I2547">
        <v>-316383713</v>
      </c>
      <c r="J2547">
        <v>-249964344</v>
      </c>
      <c r="K2547">
        <v>-270006865</v>
      </c>
      <c r="L2547">
        <v>-125753065</v>
      </c>
      <c r="M2547">
        <v>-27918854</v>
      </c>
      <c r="N2547">
        <v>-129855805</v>
      </c>
      <c r="O2547">
        <v>-44171860</v>
      </c>
      <c r="P2547">
        <v>155</v>
      </c>
      <c r="Q2547" t="s">
        <v>5138</v>
      </c>
    </row>
    <row r="2548" spans="1:17" x14ac:dyDescent="0.3">
      <c r="A2548" t="s">
        <v>4382</v>
      </c>
      <c r="B2548" t="str">
        <f>"000856"</f>
        <v>000856</v>
      </c>
      <c r="C2548" t="s">
        <v>5139</v>
      </c>
      <c r="D2548" t="s">
        <v>78</v>
      </c>
      <c r="F2548">
        <v>-34303636</v>
      </c>
      <c r="G2548">
        <v>111867244</v>
      </c>
      <c r="H2548">
        <v>-186842256</v>
      </c>
      <c r="I2548">
        <v>-6674532</v>
      </c>
      <c r="J2548">
        <v>-150820935</v>
      </c>
      <c r="K2548">
        <v>-8697451</v>
      </c>
      <c r="L2548">
        <v>-46813509</v>
      </c>
      <c r="M2548">
        <v>27274226</v>
      </c>
      <c r="N2548">
        <v>-47772669</v>
      </c>
      <c r="O2548">
        <v>48279966</v>
      </c>
      <c r="P2548">
        <v>101</v>
      </c>
      <c r="Q2548" t="s">
        <v>5140</v>
      </c>
    </row>
    <row r="2549" spans="1:17" x14ac:dyDescent="0.3">
      <c r="A2549" t="s">
        <v>4382</v>
      </c>
      <c r="B2549" t="str">
        <f>"000858"</f>
        <v>000858</v>
      </c>
      <c r="C2549" t="s">
        <v>5141</v>
      </c>
      <c r="D2549" t="s">
        <v>123</v>
      </c>
      <c r="F2549">
        <v>14483799710</v>
      </c>
      <c r="G2549">
        <v>3397245091</v>
      </c>
      <c r="H2549">
        <v>14747132421</v>
      </c>
      <c r="I2549">
        <v>3615177443</v>
      </c>
      <c r="J2549">
        <v>5982898711</v>
      </c>
      <c r="K2549">
        <v>10356632948</v>
      </c>
      <c r="L2549">
        <v>5384746876</v>
      </c>
      <c r="M2549">
        <v>-1020753722</v>
      </c>
      <c r="N2549">
        <v>31231158</v>
      </c>
      <c r="O2549">
        <v>6319892638</v>
      </c>
      <c r="P2549">
        <v>11640</v>
      </c>
      <c r="Q2549" t="s">
        <v>5142</v>
      </c>
    </row>
    <row r="2550" spans="1:17" x14ac:dyDescent="0.3">
      <c r="A2550" t="s">
        <v>4382</v>
      </c>
      <c r="B2550" t="str">
        <f>"000859"</f>
        <v>000859</v>
      </c>
      <c r="C2550" t="s">
        <v>5143</v>
      </c>
      <c r="D2550" t="s">
        <v>133</v>
      </c>
      <c r="F2550">
        <v>18814868</v>
      </c>
      <c r="G2550">
        <v>73526721</v>
      </c>
      <c r="H2550">
        <v>-58567484</v>
      </c>
      <c r="I2550">
        <v>-89954711</v>
      </c>
      <c r="J2550">
        <v>40412667</v>
      </c>
      <c r="K2550">
        <v>-83874152</v>
      </c>
      <c r="L2550">
        <v>44764773</v>
      </c>
      <c r="M2550">
        <v>-66165975</v>
      </c>
      <c r="N2550">
        <v>-89882013</v>
      </c>
      <c r="O2550">
        <v>10120865</v>
      </c>
      <c r="P2550">
        <v>118</v>
      </c>
      <c r="Q2550" t="s">
        <v>5144</v>
      </c>
    </row>
    <row r="2551" spans="1:17" x14ac:dyDescent="0.3">
      <c r="A2551" t="s">
        <v>4382</v>
      </c>
      <c r="B2551" t="str">
        <f>"000860"</f>
        <v>000860</v>
      </c>
      <c r="C2551" t="s">
        <v>5145</v>
      </c>
      <c r="D2551" t="s">
        <v>123</v>
      </c>
      <c r="F2551">
        <v>-1310984499</v>
      </c>
      <c r="G2551">
        <v>-936833001</v>
      </c>
      <c r="H2551">
        <v>-343772969</v>
      </c>
      <c r="I2551">
        <v>515558006</v>
      </c>
      <c r="J2551">
        <v>446624026</v>
      </c>
      <c r="K2551">
        <v>412536959</v>
      </c>
      <c r="L2551">
        <v>111844981</v>
      </c>
      <c r="M2551">
        <v>17595080</v>
      </c>
      <c r="N2551">
        <v>-4241915</v>
      </c>
      <c r="O2551">
        <v>-569498107</v>
      </c>
      <c r="P2551">
        <v>1515</v>
      </c>
      <c r="Q2551" t="s">
        <v>5146</v>
      </c>
    </row>
    <row r="2552" spans="1:17" x14ac:dyDescent="0.3">
      <c r="A2552" t="s">
        <v>4382</v>
      </c>
      <c r="B2552" t="str">
        <f>"000861"</f>
        <v>000861</v>
      </c>
      <c r="C2552" t="s">
        <v>5147</v>
      </c>
      <c r="D2552" t="s">
        <v>120</v>
      </c>
      <c r="F2552">
        <v>-2747106</v>
      </c>
      <c r="G2552">
        <v>367113584</v>
      </c>
      <c r="H2552">
        <v>376134921</v>
      </c>
      <c r="I2552">
        <v>-222698521</v>
      </c>
      <c r="J2552">
        <v>-422512833</v>
      </c>
      <c r="K2552">
        <v>-262611864</v>
      </c>
      <c r="L2552">
        <v>-205533276</v>
      </c>
      <c r="M2552">
        <v>-783087042</v>
      </c>
      <c r="N2552">
        <v>-743214014</v>
      </c>
      <c r="O2552">
        <v>-203742912</v>
      </c>
      <c r="P2552">
        <v>184</v>
      </c>
      <c r="Q2552" t="s">
        <v>5148</v>
      </c>
    </row>
    <row r="2553" spans="1:17" x14ac:dyDescent="0.3">
      <c r="A2553" t="s">
        <v>4382</v>
      </c>
      <c r="B2553" t="str">
        <f>"000862"</f>
        <v>000862</v>
      </c>
      <c r="C2553" t="s">
        <v>5149</v>
      </c>
      <c r="D2553" t="s">
        <v>41</v>
      </c>
      <c r="F2553">
        <v>364587229</v>
      </c>
      <c r="G2553">
        <v>357352687</v>
      </c>
      <c r="H2553">
        <v>321092304</v>
      </c>
      <c r="I2553">
        <v>366613005</v>
      </c>
      <c r="J2553">
        <v>-57970459</v>
      </c>
      <c r="K2553">
        <v>233753024</v>
      </c>
      <c r="L2553">
        <v>299603499</v>
      </c>
      <c r="M2553">
        <v>434452344</v>
      </c>
      <c r="N2553">
        <v>47278165</v>
      </c>
      <c r="O2553">
        <v>-337739062</v>
      </c>
      <c r="P2553">
        <v>171</v>
      </c>
      <c r="Q2553" t="s">
        <v>5150</v>
      </c>
    </row>
    <row r="2554" spans="1:17" x14ac:dyDescent="0.3">
      <c r="A2554" t="s">
        <v>4382</v>
      </c>
      <c r="B2554" t="str">
        <f>"000863"</f>
        <v>000863</v>
      </c>
      <c r="C2554" t="s">
        <v>5151</v>
      </c>
      <c r="D2554" t="s">
        <v>30</v>
      </c>
      <c r="F2554">
        <v>188533911</v>
      </c>
      <c r="G2554">
        <v>2326260826</v>
      </c>
      <c r="H2554">
        <v>1885471558</v>
      </c>
      <c r="I2554">
        <v>1461717735</v>
      </c>
      <c r="J2554">
        <v>-2756204346</v>
      </c>
      <c r="K2554">
        <v>137596371</v>
      </c>
      <c r="L2554">
        <v>-1564658968</v>
      </c>
      <c r="M2554">
        <v>-474678432</v>
      </c>
      <c r="N2554">
        <v>-439816876</v>
      </c>
      <c r="O2554">
        <v>-188000995</v>
      </c>
      <c r="P2554">
        <v>171</v>
      </c>
      <c r="Q2554" t="s">
        <v>5152</v>
      </c>
    </row>
    <row r="2555" spans="1:17" x14ac:dyDescent="0.3">
      <c r="A2555" t="s">
        <v>4382</v>
      </c>
      <c r="B2555" t="str">
        <f>"000868"</f>
        <v>000868</v>
      </c>
      <c r="C2555" t="s">
        <v>5153</v>
      </c>
      <c r="D2555" t="s">
        <v>27</v>
      </c>
      <c r="F2555">
        <v>-748820809</v>
      </c>
      <c r="G2555">
        <v>43335863</v>
      </c>
      <c r="H2555">
        <v>-80570559</v>
      </c>
      <c r="I2555">
        <v>-225371283</v>
      </c>
      <c r="J2555">
        <v>403013407</v>
      </c>
      <c r="K2555">
        <v>-1515040225</v>
      </c>
      <c r="L2555">
        <v>-782452489</v>
      </c>
      <c r="M2555">
        <v>-547165412</v>
      </c>
      <c r="N2555">
        <v>-330091488</v>
      </c>
      <c r="O2555">
        <v>20751054</v>
      </c>
      <c r="P2555">
        <v>171</v>
      </c>
      <c r="Q2555" t="s">
        <v>5154</v>
      </c>
    </row>
    <row r="2556" spans="1:17" x14ac:dyDescent="0.3">
      <c r="A2556" t="s">
        <v>4382</v>
      </c>
      <c r="B2556" t="str">
        <f>"000869"</f>
        <v>000869</v>
      </c>
      <c r="C2556" t="s">
        <v>5155</v>
      </c>
      <c r="D2556" t="s">
        <v>123</v>
      </c>
      <c r="F2556">
        <v>634343855</v>
      </c>
      <c r="G2556">
        <v>153257855</v>
      </c>
      <c r="H2556">
        <v>444277817</v>
      </c>
      <c r="I2556">
        <v>583138346</v>
      </c>
      <c r="J2556">
        <v>452214856</v>
      </c>
      <c r="K2556">
        <v>448357208</v>
      </c>
      <c r="L2556">
        <v>646975113</v>
      </c>
      <c r="M2556">
        <v>420184760</v>
      </c>
      <c r="N2556">
        <v>44377222</v>
      </c>
      <c r="O2556">
        <v>104549780</v>
      </c>
      <c r="P2556">
        <v>833</v>
      </c>
      <c r="Q2556" t="s">
        <v>5156</v>
      </c>
    </row>
    <row r="2557" spans="1:17" x14ac:dyDescent="0.3">
      <c r="A2557" t="s">
        <v>4382</v>
      </c>
      <c r="B2557" t="str">
        <f>"000875"</f>
        <v>000875</v>
      </c>
      <c r="C2557" t="s">
        <v>5157</v>
      </c>
      <c r="D2557" t="s">
        <v>41</v>
      </c>
      <c r="F2557">
        <v>-2274616308</v>
      </c>
      <c r="G2557">
        <v>-4274367706</v>
      </c>
      <c r="H2557">
        <v>-562481466</v>
      </c>
      <c r="I2557">
        <v>-1261414068</v>
      </c>
      <c r="J2557">
        <v>-1017678204</v>
      </c>
      <c r="K2557">
        <v>-1858989547</v>
      </c>
      <c r="L2557">
        <v>-704144577</v>
      </c>
      <c r="M2557">
        <v>-122869429</v>
      </c>
      <c r="N2557">
        <v>15964961</v>
      </c>
      <c r="O2557">
        <v>464213743</v>
      </c>
      <c r="P2557">
        <v>278</v>
      </c>
      <c r="Q2557" t="s">
        <v>5158</v>
      </c>
    </row>
    <row r="2558" spans="1:17" x14ac:dyDescent="0.3">
      <c r="A2558" t="s">
        <v>4382</v>
      </c>
      <c r="B2558" t="str">
        <f>"000876"</f>
        <v>000876</v>
      </c>
      <c r="C2558" t="s">
        <v>5159</v>
      </c>
      <c r="D2558" t="s">
        <v>205</v>
      </c>
      <c r="F2558">
        <v>-14792389080</v>
      </c>
      <c r="G2558">
        <v>-23192295171</v>
      </c>
      <c r="H2558">
        <v>-3240955339</v>
      </c>
      <c r="I2558">
        <v>-367850644</v>
      </c>
      <c r="J2558">
        <v>645502891</v>
      </c>
      <c r="K2558">
        <v>933502527</v>
      </c>
      <c r="L2558">
        <v>1389879645</v>
      </c>
      <c r="M2558">
        <v>-648107095</v>
      </c>
      <c r="N2558">
        <v>-304908292</v>
      </c>
      <c r="O2558">
        <v>-213948477</v>
      </c>
      <c r="P2558">
        <v>2609</v>
      </c>
      <c r="Q2558" t="s">
        <v>5160</v>
      </c>
    </row>
    <row r="2559" spans="1:17" x14ac:dyDescent="0.3">
      <c r="A2559" t="s">
        <v>4382</v>
      </c>
      <c r="B2559" t="str">
        <f>"000877"</f>
        <v>000877</v>
      </c>
      <c r="C2559" t="s">
        <v>5161</v>
      </c>
      <c r="D2559" t="s">
        <v>350</v>
      </c>
      <c r="F2559">
        <v>3792672436</v>
      </c>
      <c r="G2559">
        <v>2219189239</v>
      </c>
      <c r="H2559">
        <v>2276535997</v>
      </c>
      <c r="I2559">
        <v>1507839922</v>
      </c>
      <c r="J2559">
        <v>618640360</v>
      </c>
      <c r="K2559">
        <v>452969200</v>
      </c>
      <c r="L2559">
        <v>132578128</v>
      </c>
      <c r="M2559">
        <v>384501674</v>
      </c>
      <c r="N2559">
        <v>-1096674502</v>
      </c>
      <c r="O2559">
        <v>-1979720315</v>
      </c>
      <c r="P2559">
        <v>743</v>
      </c>
      <c r="Q2559" t="s">
        <v>5162</v>
      </c>
    </row>
    <row r="2560" spans="1:17" x14ac:dyDescent="0.3">
      <c r="A2560" t="s">
        <v>4382</v>
      </c>
      <c r="B2560" t="str">
        <f>"000878"</f>
        <v>000878</v>
      </c>
      <c r="C2560" t="s">
        <v>5163</v>
      </c>
      <c r="D2560" t="s">
        <v>234</v>
      </c>
      <c r="F2560">
        <v>-607196288</v>
      </c>
      <c r="G2560">
        <v>2480704491</v>
      </c>
      <c r="H2560">
        <v>-207031264</v>
      </c>
      <c r="I2560">
        <v>-1227142677</v>
      </c>
      <c r="J2560">
        <v>-1159454176</v>
      </c>
      <c r="K2560">
        <v>925335180</v>
      </c>
      <c r="L2560">
        <v>937557041</v>
      </c>
      <c r="M2560">
        <v>2753794070</v>
      </c>
      <c r="N2560">
        <v>2392580432</v>
      </c>
      <c r="O2560">
        <v>3835012664</v>
      </c>
      <c r="P2560">
        <v>418</v>
      </c>
      <c r="Q2560" t="s">
        <v>5164</v>
      </c>
    </row>
    <row r="2561" spans="1:17" x14ac:dyDescent="0.3">
      <c r="A2561" t="s">
        <v>4382</v>
      </c>
      <c r="B2561" t="str">
        <f>"000880"</f>
        <v>000880</v>
      </c>
      <c r="C2561" t="s">
        <v>5165</v>
      </c>
      <c r="D2561" t="s">
        <v>27</v>
      </c>
      <c r="F2561">
        <v>205583948</v>
      </c>
      <c r="G2561">
        <v>153650107</v>
      </c>
      <c r="H2561">
        <v>101679145</v>
      </c>
      <c r="I2561">
        <v>36006133</v>
      </c>
      <c r="J2561">
        <v>271375255</v>
      </c>
      <c r="K2561">
        <v>50549867</v>
      </c>
      <c r="L2561">
        <v>15834188</v>
      </c>
      <c r="M2561">
        <v>100874966</v>
      </c>
      <c r="N2561">
        <v>-94149330</v>
      </c>
      <c r="O2561">
        <v>-150126503</v>
      </c>
      <c r="P2561">
        <v>102</v>
      </c>
      <c r="Q2561" t="s">
        <v>5166</v>
      </c>
    </row>
    <row r="2562" spans="1:17" x14ac:dyDescent="0.3">
      <c r="A2562" t="s">
        <v>4382</v>
      </c>
      <c r="B2562" t="str">
        <f>"000881"</f>
        <v>000881</v>
      </c>
      <c r="C2562" t="s">
        <v>5167</v>
      </c>
      <c r="D2562" t="s">
        <v>133</v>
      </c>
      <c r="F2562">
        <v>-295784078</v>
      </c>
      <c r="G2562">
        <v>-11296751</v>
      </c>
      <c r="H2562">
        <v>-156828305</v>
      </c>
      <c r="I2562">
        <v>-77904209</v>
      </c>
      <c r="J2562">
        <v>-274727204</v>
      </c>
      <c r="K2562">
        <v>299506522</v>
      </c>
      <c r="L2562">
        <v>97130555</v>
      </c>
      <c r="M2562">
        <v>-702775420</v>
      </c>
      <c r="N2562">
        <v>-23182394</v>
      </c>
      <c r="O2562">
        <v>83925919</v>
      </c>
      <c r="P2562">
        <v>169</v>
      </c>
      <c r="Q2562" t="s">
        <v>5168</v>
      </c>
    </row>
    <row r="2563" spans="1:17" x14ac:dyDescent="0.3">
      <c r="A2563" t="s">
        <v>4382</v>
      </c>
      <c r="B2563" t="str">
        <f>"000882"</f>
        <v>000882</v>
      </c>
      <c r="C2563" t="s">
        <v>5169</v>
      </c>
      <c r="D2563" t="s">
        <v>120</v>
      </c>
      <c r="F2563">
        <v>498220370</v>
      </c>
      <c r="G2563">
        <v>110070028</v>
      </c>
      <c r="H2563">
        <v>196634870</v>
      </c>
      <c r="I2563">
        <v>-342674372</v>
      </c>
      <c r="J2563">
        <v>-222058957</v>
      </c>
      <c r="K2563">
        <v>210057769</v>
      </c>
      <c r="L2563">
        <v>-217359574</v>
      </c>
      <c r="M2563">
        <v>-719173494</v>
      </c>
      <c r="N2563">
        <v>-512946721</v>
      </c>
      <c r="O2563">
        <v>97620313</v>
      </c>
      <c r="P2563">
        <v>114</v>
      </c>
      <c r="Q2563" t="s">
        <v>5170</v>
      </c>
    </row>
    <row r="2564" spans="1:17" x14ac:dyDescent="0.3">
      <c r="A2564" t="s">
        <v>4382</v>
      </c>
      <c r="B2564" t="str">
        <f>"000883"</f>
        <v>000883</v>
      </c>
      <c r="C2564" t="s">
        <v>5171</v>
      </c>
      <c r="D2564" t="s">
        <v>41</v>
      </c>
      <c r="F2564">
        <v>2033076272</v>
      </c>
      <c r="G2564">
        <v>2698040039</v>
      </c>
      <c r="H2564">
        <v>934384893</v>
      </c>
      <c r="I2564">
        <v>-359605736</v>
      </c>
      <c r="J2564">
        <v>251050872</v>
      </c>
      <c r="K2564">
        <v>-753073589</v>
      </c>
      <c r="L2564">
        <v>581638280</v>
      </c>
      <c r="M2564">
        <v>966158039</v>
      </c>
      <c r="N2564">
        <v>1013652958</v>
      </c>
      <c r="O2564">
        <v>1639229201</v>
      </c>
      <c r="P2564">
        <v>419</v>
      </c>
      <c r="Q2564" t="s">
        <v>5172</v>
      </c>
    </row>
    <row r="2565" spans="1:17" x14ac:dyDescent="0.3">
      <c r="A2565" t="s">
        <v>4382</v>
      </c>
      <c r="B2565" t="str">
        <f>"000885"</f>
        <v>000885</v>
      </c>
      <c r="C2565" t="s">
        <v>5173</v>
      </c>
      <c r="D2565" t="s">
        <v>22</v>
      </c>
      <c r="F2565">
        <v>-1596292823</v>
      </c>
      <c r="G2565">
        <v>-742635206</v>
      </c>
      <c r="H2565">
        <v>499983349</v>
      </c>
      <c r="I2565">
        <v>596368201</v>
      </c>
      <c r="J2565">
        <v>463130251</v>
      </c>
      <c r="K2565">
        <v>-277696439</v>
      </c>
      <c r="L2565">
        <v>143567262</v>
      </c>
      <c r="M2565">
        <v>602030361</v>
      </c>
      <c r="N2565">
        <v>92846438</v>
      </c>
      <c r="O2565">
        <v>653664759</v>
      </c>
      <c r="P2565">
        <v>237</v>
      </c>
      <c r="Q2565" t="s">
        <v>5174</v>
      </c>
    </row>
    <row r="2566" spans="1:17" x14ac:dyDescent="0.3">
      <c r="A2566" t="s">
        <v>4382</v>
      </c>
      <c r="B2566" t="str">
        <f>"000886"</f>
        <v>000886</v>
      </c>
      <c r="C2566" t="s">
        <v>5175</v>
      </c>
      <c r="D2566" t="s">
        <v>22</v>
      </c>
      <c r="F2566">
        <v>-131796896</v>
      </c>
      <c r="G2566">
        <v>-161812616</v>
      </c>
      <c r="H2566">
        <v>-33704585</v>
      </c>
      <c r="I2566">
        <v>212252819</v>
      </c>
      <c r="J2566">
        <v>223863666</v>
      </c>
      <c r="K2566">
        <v>-8909387</v>
      </c>
      <c r="L2566">
        <v>-42405768</v>
      </c>
      <c r="M2566">
        <v>-22312918</v>
      </c>
      <c r="N2566">
        <v>-111546415</v>
      </c>
      <c r="O2566">
        <v>353694740</v>
      </c>
      <c r="P2566">
        <v>130</v>
      </c>
      <c r="Q2566" t="s">
        <v>5176</v>
      </c>
    </row>
    <row r="2567" spans="1:17" x14ac:dyDescent="0.3">
      <c r="A2567" t="s">
        <v>4382</v>
      </c>
      <c r="B2567" t="str">
        <f>"000887"</f>
        <v>000887</v>
      </c>
      <c r="C2567" t="s">
        <v>5177</v>
      </c>
      <c r="D2567" t="s">
        <v>27</v>
      </c>
      <c r="F2567">
        <v>288491461</v>
      </c>
      <c r="G2567">
        <v>401645389</v>
      </c>
      <c r="H2567">
        <v>100313599</v>
      </c>
      <c r="I2567">
        <v>-150030155</v>
      </c>
      <c r="J2567">
        <v>77583580</v>
      </c>
      <c r="K2567">
        <v>183714575</v>
      </c>
      <c r="L2567">
        <v>543021603</v>
      </c>
      <c r="M2567">
        <v>233357034</v>
      </c>
      <c r="N2567">
        <v>89200711</v>
      </c>
      <c r="O2567">
        <v>-70576243</v>
      </c>
      <c r="P2567">
        <v>7119</v>
      </c>
      <c r="Q2567" t="s">
        <v>5178</v>
      </c>
    </row>
    <row r="2568" spans="1:17" x14ac:dyDescent="0.3">
      <c r="A2568" t="s">
        <v>4382</v>
      </c>
      <c r="B2568" t="str">
        <f>"000888"</f>
        <v>000888</v>
      </c>
      <c r="C2568" t="s">
        <v>5179</v>
      </c>
      <c r="D2568" t="s">
        <v>110</v>
      </c>
      <c r="F2568">
        <v>100527254</v>
      </c>
      <c r="G2568">
        <v>-98943753</v>
      </c>
      <c r="H2568">
        <v>307816368</v>
      </c>
      <c r="I2568">
        <v>217410768</v>
      </c>
      <c r="J2568">
        <v>100743488</v>
      </c>
      <c r="K2568">
        <v>-8232449</v>
      </c>
      <c r="L2568">
        <v>90979183</v>
      </c>
      <c r="M2568">
        <v>-75923436</v>
      </c>
      <c r="N2568">
        <v>8188839</v>
      </c>
      <c r="O2568">
        <v>89214036</v>
      </c>
      <c r="P2568">
        <v>218</v>
      </c>
      <c r="Q2568" t="s">
        <v>5180</v>
      </c>
    </row>
    <row r="2569" spans="1:17" x14ac:dyDescent="0.3">
      <c r="A2569" t="s">
        <v>4382</v>
      </c>
      <c r="B2569" t="str">
        <f>"000889"</f>
        <v>000889</v>
      </c>
      <c r="C2569" t="s">
        <v>5181</v>
      </c>
      <c r="D2569" t="s">
        <v>100</v>
      </c>
      <c r="F2569">
        <v>-302230137</v>
      </c>
      <c r="G2569">
        <v>-112815694</v>
      </c>
      <c r="H2569">
        <v>-99996472</v>
      </c>
      <c r="I2569">
        <v>-462195593</v>
      </c>
      <c r="J2569">
        <v>-136978938</v>
      </c>
      <c r="K2569">
        <v>-29214407</v>
      </c>
      <c r="L2569">
        <v>169223362</v>
      </c>
      <c r="M2569">
        <v>-13313317</v>
      </c>
      <c r="N2569">
        <v>66146872</v>
      </c>
      <c r="O2569">
        <v>76781757</v>
      </c>
      <c r="P2569">
        <v>157</v>
      </c>
      <c r="Q2569" t="s">
        <v>5182</v>
      </c>
    </row>
    <row r="2570" spans="1:17" x14ac:dyDescent="0.3">
      <c r="A2570" t="s">
        <v>4382</v>
      </c>
      <c r="B2570" t="str">
        <f>"000890"</f>
        <v>000890</v>
      </c>
      <c r="C2570" t="s">
        <v>5183</v>
      </c>
      <c r="D2570" t="s">
        <v>78</v>
      </c>
      <c r="F2570">
        <v>-206899177</v>
      </c>
      <c r="G2570">
        <v>2235856837</v>
      </c>
      <c r="H2570">
        <v>339793776</v>
      </c>
      <c r="I2570">
        <v>1434935727</v>
      </c>
      <c r="J2570">
        <v>-1149692486</v>
      </c>
      <c r="K2570">
        <v>-679204864</v>
      </c>
      <c r="L2570">
        <v>155565946</v>
      </c>
      <c r="M2570">
        <v>364225187</v>
      </c>
      <c r="N2570">
        <v>-226875936</v>
      </c>
      <c r="O2570">
        <v>222785258</v>
      </c>
      <c r="P2570">
        <v>133</v>
      </c>
      <c r="Q2570" t="s">
        <v>5184</v>
      </c>
    </row>
    <row r="2571" spans="1:17" x14ac:dyDescent="0.3">
      <c r="A2571" t="s">
        <v>4382</v>
      </c>
      <c r="B2571" t="str">
        <f>"000892"</f>
        <v>000892</v>
      </c>
      <c r="C2571" t="s">
        <v>5185</v>
      </c>
      <c r="D2571" t="s">
        <v>89</v>
      </c>
      <c r="F2571">
        <v>-182358021</v>
      </c>
      <c r="G2571">
        <v>125834122</v>
      </c>
      <c r="H2571">
        <v>-87890776</v>
      </c>
      <c r="I2571">
        <v>-635251894</v>
      </c>
      <c r="J2571">
        <v>-430030535</v>
      </c>
      <c r="K2571">
        <v>997477</v>
      </c>
      <c r="L2571">
        <v>-1639477</v>
      </c>
      <c r="M2571">
        <v>-2244914</v>
      </c>
      <c r="N2571">
        <v>-2528844</v>
      </c>
      <c r="O2571">
        <v>-1314364</v>
      </c>
      <c r="P2571">
        <v>109</v>
      </c>
      <c r="Q2571" t="s">
        <v>5186</v>
      </c>
    </row>
    <row r="2572" spans="1:17" x14ac:dyDescent="0.3">
      <c r="A2572" t="s">
        <v>4382</v>
      </c>
      <c r="B2572" t="str">
        <f>"000893"</f>
        <v>000893</v>
      </c>
      <c r="C2572" t="s">
        <v>5187</v>
      </c>
      <c r="D2572" t="s">
        <v>133</v>
      </c>
      <c r="F2572">
        <v>-359039517</v>
      </c>
      <c r="G2572">
        <v>-12403604</v>
      </c>
      <c r="H2572">
        <v>-11689675</v>
      </c>
      <c r="I2572">
        <v>-37016354</v>
      </c>
      <c r="J2572">
        <v>-140470154</v>
      </c>
      <c r="K2572">
        <v>-227606125</v>
      </c>
      <c r="L2572">
        <v>525224400</v>
      </c>
      <c r="M2572">
        <v>494377316</v>
      </c>
      <c r="N2572">
        <v>-174640057</v>
      </c>
      <c r="O2572">
        <v>-105843115</v>
      </c>
      <c r="P2572">
        <v>159</v>
      </c>
      <c r="Q2572" t="s">
        <v>5188</v>
      </c>
    </row>
    <row r="2573" spans="1:17" x14ac:dyDescent="0.3">
      <c r="A2573" t="s">
        <v>4382</v>
      </c>
      <c r="B2573" t="str">
        <f>"000895"</f>
        <v>000895</v>
      </c>
      <c r="C2573" t="s">
        <v>5189</v>
      </c>
      <c r="D2573" t="s">
        <v>123</v>
      </c>
      <c r="F2573">
        <v>-570864543</v>
      </c>
      <c r="G2573">
        <v>5398866951</v>
      </c>
      <c r="H2573">
        <v>2323729442</v>
      </c>
      <c r="I2573">
        <v>3233866352</v>
      </c>
      <c r="J2573">
        <v>4052041458</v>
      </c>
      <c r="K2573">
        <v>3279130780</v>
      </c>
      <c r="L2573">
        <v>2731678197</v>
      </c>
      <c r="M2573">
        <v>1566656233</v>
      </c>
      <c r="N2573">
        <v>2199699301</v>
      </c>
      <c r="O2573">
        <v>1897062942</v>
      </c>
      <c r="P2573">
        <v>37260</v>
      </c>
      <c r="Q2573" t="s">
        <v>5190</v>
      </c>
    </row>
    <row r="2574" spans="1:17" x14ac:dyDescent="0.3">
      <c r="A2574" t="s">
        <v>4382</v>
      </c>
      <c r="B2574" t="str">
        <f>"000897"</f>
        <v>000897</v>
      </c>
      <c r="C2574" t="s">
        <v>5191</v>
      </c>
      <c r="D2574" t="s">
        <v>30</v>
      </c>
      <c r="F2574">
        <v>976511082</v>
      </c>
      <c r="G2574">
        <v>477327175</v>
      </c>
      <c r="H2574">
        <v>496864176</v>
      </c>
      <c r="I2574">
        <v>624771861</v>
      </c>
      <c r="J2574">
        <v>-305127820</v>
      </c>
      <c r="K2574">
        <v>413317243</v>
      </c>
      <c r="L2574">
        <v>78629248</v>
      </c>
      <c r="M2574">
        <v>194864366</v>
      </c>
      <c r="N2574">
        <v>248315238</v>
      </c>
      <c r="O2574">
        <v>898759452</v>
      </c>
      <c r="P2574">
        <v>171</v>
      </c>
      <c r="Q2574" t="s">
        <v>5192</v>
      </c>
    </row>
    <row r="2575" spans="1:17" x14ac:dyDescent="0.3">
      <c r="A2575" t="s">
        <v>4382</v>
      </c>
      <c r="B2575" t="str">
        <f>"000898"</f>
        <v>000898</v>
      </c>
      <c r="C2575" t="s">
        <v>5193</v>
      </c>
      <c r="D2575" t="s">
        <v>38</v>
      </c>
      <c r="F2575">
        <v>7465000000</v>
      </c>
      <c r="G2575">
        <v>3809000000</v>
      </c>
      <c r="H2575">
        <v>3689000000</v>
      </c>
      <c r="I2575">
        <v>6039000000</v>
      </c>
      <c r="J2575">
        <v>2063000000</v>
      </c>
      <c r="K2575">
        <v>2537000000</v>
      </c>
      <c r="L2575">
        <v>1941000000</v>
      </c>
      <c r="M2575">
        <v>-492000000</v>
      </c>
      <c r="N2575">
        <v>9709000000</v>
      </c>
      <c r="O2575">
        <v>-1066000000</v>
      </c>
      <c r="P2575">
        <v>646</v>
      </c>
      <c r="Q2575" t="s">
        <v>5194</v>
      </c>
    </row>
    <row r="2576" spans="1:17" x14ac:dyDescent="0.3">
      <c r="A2576" t="s">
        <v>4382</v>
      </c>
      <c r="B2576" t="str">
        <f>"000899"</f>
        <v>000899</v>
      </c>
      <c r="C2576" t="s">
        <v>5195</v>
      </c>
      <c r="D2576" t="s">
        <v>41</v>
      </c>
      <c r="F2576">
        <v>-912711998</v>
      </c>
      <c r="G2576">
        <v>-157880783</v>
      </c>
      <c r="H2576">
        <v>181149324</v>
      </c>
      <c r="I2576">
        <v>122677580</v>
      </c>
      <c r="J2576">
        <v>422733358</v>
      </c>
      <c r="K2576">
        <v>73810567</v>
      </c>
      <c r="L2576">
        <v>753765671</v>
      </c>
      <c r="M2576">
        <v>542459382</v>
      </c>
      <c r="N2576">
        <v>698317783</v>
      </c>
      <c r="O2576">
        <v>780686588</v>
      </c>
      <c r="P2576">
        <v>174</v>
      </c>
      <c r="Q2576" t="s">
        <v>5196</v>
      </c>
    </row>
    <row r="2577" spans="1:17" x14ac:dyDescent="0.3">
      <c r="A2577" t="s">
        <v>4382</v>
      </c>
      <c r="B2577" t="str">
        <f>"000900"</f>
        <v>000900</v>
      </c>
      <c r="C2577" t="s">
        <v>5197</v>
      </c>
      <c r="D2577" t="s">
        <v>22</v>
      </c>
      <c r="F2577">
        <v>1659203110</v>
      </c>
      <c r="G2577">
        <v>1228012303</v>
      </c>
      <c r="H2577">
        <v>210032347</v>
      </c>
      <c r="I2577">
        <v>-149556839</v>
      </c>
      <c r="J2577">
        <v>-183691974</v>
      </c>
      <c r="K2577">
        <v>606531507</v>
      </c>
      <c r="L2577">
        <v>746744199</v>
      </c>
      <c r="M2577">
        <v>106350868</v>
      </c>
      <c r="N2577">
        <v>-1540012504</v>
      </c>
      <c r="O2577">
        <v>-466779028</v>
      </c>
      <c r="P2577">
        <v>570</v>
      </c>
      <c r="Q2577" t="s">
        <v>5198</v>
      </c>
    </row>
    <row r="2578" spans="1:17" x14ac:dyDescent="0.3">
      <c r="A2578" t="s">
        <v>4382</v>
      </c>
      <c r="B2578" t="str">
        <f>"000901"</f>
        <v>000901</v>
      </c>
      <c r="C2578" t="s">
        <v>5199</v>
      </c>
      <c r="D2578" t="s">
        <v>92</v>
      </c>
      <c r="F2578">
        <v>-436502217</v>
      </c>
      <c r="G2578">
        <v>-479499867</v>
      </c>
      <c r="H2578">
        <v>-199111332</v>
      </c>
      <c r="I2578">
        <v>-258251655</v>
      </c>
      <c r="J2578">
        <v>-83768768</v>
      </c>
      <c r="K2578">
        <v>-52442348</v>
      </c>
      <c r="L2578">
        <v>-138168973</v>
      </c>
      <c r="M2578">
        <v>-74625348</v>
      </c>
      <c r="N2578">
        <v>-114165776</v>
      </c>
      <c r="O2578">
        <v>-147358510</v>
      </c>
      <c r="P2578">
        <v>224</v>
      </c>
      <c r="Q2578" t="s">
        <v>5200</v>
      </c>
    </row>
    <row r="2579" spans="1:17" x14ac:dyDescent="0.3">
      <c r="A2579" t="s">
        <v>4382</v>
      </c>
      <c r="B2579" t="str">
        <f>"000902"</f>
        <v>000902</v>
      </c>
      <c r="C2579" t="s">
        <v>5201</v>
      </c>
      <c r="D2579" t="s">
        <v>133</v>
      </c>
      <c r="F2579">
        <v>-884142359</v>
      </c>
      <c r="G2579">
        <v>1153394807</v>
      </c>
      <c r="H2579">
        <v>1008165694</v>
      </c>
      <c r="I2579">
        <v>228815442</v>
      </c>
      <c r="J2579">
        <v>713905847</v>
      </c>
      <c r="K2579">
        <v>195886932</v>
      </c>
      <c r="L2579">
        <v>415310462</v>
      </c>
      <c r="M2579">
        <v>180022097</v>
      </c>
      <c r="N2579">
        <v>67365582</v>
      </c>
      <c r="O2579">
        <v>19171264</v>
      </c>
      <c r="P2579">
        <v>407</v>
      </c>
      <c r="Q2579" t="s">
        <v>5202</v>
      </c>
    </row>
    <row r="2580" spans="1:17" x14ac:dyDescent="0.3">
      <c r="A2580" t="s">
        <v>4382</v>
      </c>
      <c r="B2580" t="str">
        <f>"000903"</f>
        <v>000903</v>
      </c>
      <c r="C2580" t="s">
        <v>5203</v>
      </c>
      <c r="D2580" t="s">
        <v>27</v>
      </c>
      <c r="F2580">
        <v>-889876753</v>
      </c>
      <c r="G2580">
        <v>197792285</v>
      </c>
      <c r="H2580">
        <v>895696504</v>
      </c>
      <c r="I2580">
        <v>329945170</v>
      </c>
      <c r="J2580">
        <v>-798264112</v>
      </c>
      <c r="K2580">
        <v>514589613</v>
      </c>
      <c r="L2580">
        <v>99354247</v>
      </c>
      <c r="M2580">
        <v>-130243698</v>
      </c>
      <c r="N2580">
        <v>177243086</v>
      </c>
      <c r="O2580">
        <v>-87090350</v>
      </c>
      <c r="P2580">
        <v>155</v>
      </c>
      <c r="Q2580" t="s">
        <v>5204</v>
      </c>
    </row>
    <row r="2581" spans="1:17" x14ac:dyDescent="0.3">
      <c r="A2581" t="s">
        <v>4382</v>
      </c>
      <c r="B2581" t="str">
        <f>"000905"</f>
        <v>000905</v>
      </c>
      <c r="C2581" t="s">
        <v>5205</v>
      </c>
      <c r="D2581" t="s">
        <v>22</v>
      </c>
      <c r="F2581">
        <v>327962623</v>
      </c>
      <c r="G2581">
        <v>105148657</v>
      </c>
      <c r="H2581">
        <v>-267647039</v>
      </c>
      <c r="I2581">
        <v>-222776939</v>
      </c>
      <c r="J2581">
        <v>-335439952</v>
      </c>
      <c r="K2581">
        <v>-102283618</v>
      </c>
      <c r="L2581">
        <v>-32520855</v>
      </c>
      <c r="M2581">
        <v>-283937613</v>
      </c>
      <c r="N2581">
        <v>-166873890</v>
      </c>
      <c r="O2581">
        <v>105409809</v>
      </c>
      <c r="P2581">
        <v>213</v>
      </c>
      <c r="Q2581" t="s">
        <v>5206</v>
      </c>
    </row>
    <row r="2582" spans="1:17" x14ac:dyDescent="0.3">
      <c r="A2582" t="s">
        <v>4382</v>
      </c>
      <c r="B2582" t="str">
        <f>"000906"</f>
        <v>000906</v>
      </c>
      <c r="C2582" t="s">
        <v>5207</v>
      </c>
      <c r="D2582" t="s">
        <v>22</v>
      </c>
      <c r="F2582">
        <v>-6055774307</v>
      </c>
      <c r="G2582">
        <v>-5739433287</v>
      </c>
      <c r="H2582">
        <v>-3441501602</v>
      </c>
      <c r="I2582">
        <v>-794056613</v>
      </c>
      <c r="J2582">
        <v>-1549410238</v>
      </c>
      <c r="K2582">
        <v>-695891779</v>
      </c>
      <c r="L2582">
        <v>-254278773</v>
      </c>
      <c r="M2582">
        <v>-333858395</v>
      </c>
      <c r="N2582">
        <v>-57637413</v>
      </c>
      <c r="O2582">
        <v>392579171</v>
      </c>
      <c r="P2582">
        <v>239</v>
      </c>
      <c r="Q2582" t="s">
        <v>5208</v>
      </c>
    </row>
    <row r="2583" spans="1:17" x14ac:dyDescent="0.3">
      <c r="A2583" t="s">
        <v>4382</v>
      </c>
      <c r="B2583" t="str">
        <f>"000908"</f>
        <v>000908</v>
      </c>
      <c r="C2583" t="s">
        <v>5209</v>
      </c>
      <c r="D2583" t="s">
        <v>113</v>
      </c>
      <c r="F2583">
        <v>70527303</v>
      </c>
      <c r="G2583">
        <v>-212837881</v>
      </c>
      <c r="H2583">
        <v>-31824294</v>
      </c>
      <c r="I2583">
        <v>82421394</v>
      </c>
      <c r="J2583">
        <v>-204114448</v>
      </c>
      <c r="K2583">
        <v>-187741345</v>
      </c>
      <c r="L2583">
        <v>-185376163</v>
      </c>
      <c r="M2583">
        <v>-20590164</v>
      </c>
      <c r="N2583">
        <v>-5951837</v>
      </c>
      <c r="O2583">
        <v>-6568547</v>
      </c>
      <c r="P2583">
        <v>186</v>
      </c>
      <c r="Q2583" t="s">
        <v>5210</v>
      </c>
    </row>
    <row r="2584" spans="1:17" x14ac:dyDescent="0.3">
      <c r="A2584" t="s">
        <v>4382</v>
      </c>
      <c r="B2584" t="str">
        <f>"000909"</f>
        <v>000909</v>
      </c>
      <c r="C2584" t="s">
        <v>5211</v>
      </c>
      <c r="D2584" t="s">
        <v>30</v>
      </c>
      <c r="F2584">
        <v>46029010</v>
      </c>
      <c r="G2584">
        <v>304420845</v>
      </c>
      <c r="H2584">
        <v>-49294361</v>
      </c>
      <c r="I2584">
        <v>527185837</v>
      </c>
      <c r="J2584">
        <v>235184115</v>
      </c>
      <c r="K2584">
        <v>251990555</v>
      </c>
      <c r="L2584">
        <v>-334616625</v>
      </c>
      <c r="M2584">
        <v>276826258</v>
      </c>
      <c r="N2584">
        <v>-442927362</v>
      </c>
      <c r="O2584">
        <v>-20104120</v>
      </c>
      <c r="P2584">
        <v>206</v>
      </c>
      <c r="Q2584" t="s">
        <v>5212</v>
      </c>
    </row>
    <row r="2585" spans="1:17" x14ac:dyDescent="0.3">
      <c r="A2585" t="s">
        <v>4382</v>
      </c>
      <c r="B2585" t="str">
        <f>"000910"</f>
        <v>000910</v>
      </c>
      <c r="C2585" t="s">
        <v>5213</v>
      </c>
      <c r="D2585" t="s">
        <v>161</v>
      </c>
      <c r="F2585">
        <v>201038623</v>
      </c>
      <c r="G2585">
        <v>401786492</v>
      </c>
      <c r="H2585">
        <v>66938347</v>
      </c>
      <c r="I2585">
        <v>144663835</v>
      </c>
      <c r="J2585">
        <v>487460069</v>
      </c>
      <c r="K2585">
        <v>615528000</v>
      </c>
      <c r="L2585">
        <v>561155223</v>
      </c>
      <c r="M2585">
        <v>323465092</v>
      </c>
      <c r="N2585">
        <v>308355042</v>
      </c>
      <c r="O2585">
        <v>522065056</v>
      </c>
      <c r="P2585">
        <v>813</v>
      </c>
      <c r="Q2585" t="s">
        <v>5214</v>
      </c>
    </row>
    <row r="2586" spans="1:17" x14ac:dyDescent="0.3">
      <c r="A2586" t="s">
        <v>4382</v>
      </c>
      <c r="B2586" t="str">
        <f>"000911"</f>
        <v>000911</v>
      </c>
      <c r="C2586" t="s">
        <v>5215</v>
      </c>
      <c r="D2586" t="s">
        <v>205</v>
      </c>
      <c r="F2586">
        <v>-230328230</v>
      </c>
      <c r="G2586">
        <v>-13570298</v>
      </c>
      <c r="H2586">
        <v>-833518132</v>
      </c>
      <c r="I2586">
        <v>-438940450</v>
      </c>
      <c r="J2586">
        <v>-920672694</v>
      </c>
      <c r="K2586">
        <v>-908257746</v>
      </c>
      <c r="L2586">
        <v>-664169122</v>
      </c>
      <c r="M2586">
        <v>-922136580</v>
      </c>
      <c r="N2586">
        <v>224127772</v>
      </c>
      <c r="O2586">
        <v>-156041629</v>
      </c>
      <c r="P2586">
        <v>334</v>
      </c>
      <c r="Q2586" t="s">
        <v>5216</v>
      </c>
    </row>
    <row r="2587" spans="1:17" x14ac:dyDescent="0.3">
      <c r="A2587" t="s">
        <v>4382</v>
      </c>
      <c r="B2587" t="str">
        <f>"000912"</f>
        <v>000912</v>
      </c>
      <c r="C2587" t="s">
        <v>5217</v>
      </c>
      <c r="D2587" t="s">
        <v>133</v>
      </c>
      <c r="F2587">
        <v>3269505</v>
      </c>
      <c r="G2587">
        <v>21364729</v>
      </c>
      <c r="H2587">
        <v>-122446148</v>
      </c>
      <c r="I2587">
        <v>352021828</v>
      </c>
      <c r="J2587">
        <v>304848328</v>
      </c>
      <c r="K2587">
        <v>471556209</v>
      </c>
      <c r="L2587">
        <v>566538092</v>
      </c>
      <c r="M2587">
        <v>453679647</v>
      </c>
      <c r="N2587">
        <v>-798225532</v>
      </c>
      <c r="O2587">
        <v>-1062165697</v>
      </c>
      <c r="P2587">
        <v>110</v>
      </c>
      <c r="Q2587" t="s">
        <v>5218</v>
      </c>
    </row>
    <row r="2588" spans="1:17" x14ac:dyDescent="0.3">
      <c r="A2588" t="s">
        <v>4382</v>
      </c>
      <c r="B2588" t="str">
        <f>"000913"</f>
        <v>000913</v>
      </c>
      <c r="C2588" t="s">
        <v>5219</v>
      </c>
      <c r="D2588" t="s">
        <v>27</v>
      </c>
      <c r="F2588">
        <v>184509775</v>
      </c>
      <c r="G2588">
        <v>606463207</v>
      </c>
      <c r="H2588">
        <v>548927243</v>
      </c>
      <c r="I2588">
        <v>-3401033</v>
      </c>
      <c r="J2588">
        <v>-54993577</v>
      </c>
      <c r="K2588">
        <v>-230807</v>
      </c>
      <c r="L2588">
        <v>23498284</v>
      </c>
      <c r="M2588">
        <v>-245430401</v>
      </c>
      <c r="N2588">
        <v>-73368590</v>
      </c>
      <c r="O2588">
        <v>-130627791</v>
      </c>
      <c r="P2588">
        <v>176</v>
      </c>
      <c r="Q2588" t="s">
        <v>5220</v>
      </c>
    </row>
    <row r="2589" spans="1:17" x14ac:dyDescent="0.3">
      <c r="A2589" t="s">
        <v>4382</v>
      </c>
      <c r="B2589" t="str">
        <f>"000915"</f>
        <v>000915</v>
      </c>
      <c r="C2589" t="s">
        <v>5221</v>
      </c>
      <c r="D2589" t="s">
        <v>113</v>
      </c>
      <c r="F2589">
        <v>518567706</v>
      </c>
      <c r="G2589">
        <v>459289474</v>
      </c>
      <c r="H2589">
        <v>-34029031</v>
      </c>
      <c r="I2589">
        <v>333885771</v>
      </c>
      <c r="J2589">
        <v>206716308</v>
      </c>
      <c r="K2589">
        <v>151035908</v>
      </c>
      <c r="L2589">
        <v>131458595</v>
      </c>
      <c r="M2589">
        <v>199154149</v>
      </c>
      <c r="N2589">
        <v>130271763</v>
      </c>
      <c r="O2589">
        <v>122217552</v>
      </c>
      <c r="P2589">
        <v>650</v>
      </c>
      <c r="Q2589" t="s">
        <v>5222</v>
      </c>
    </row>
    <row r="2590" spans="1:17" x14ac:dyDescent="0.3">
      <c r="A2590" t="s">
        <v>4382</v>
      </c>
      <c r="B2590" t="str">
        <f>"000916"</f>
        <v>000916</v>
      </c>
      <c r="C2590" t="s">
        <v>5223</v>
      </c>
      <c r="J2590">
        <v>691011725</v>
      </c>
      <c r="K2590">
        <v>278577309.75999999</v>
      </c>
      <c r="L2590">
        <v>-104158771.7</v>
      </c>
      <c r="M2590">
        <v>268416387.19</v>
      </c>
      <c r="N2590">
        <v>96757377.519999996</v>
      </c>
      <c r="O2590">
        <v>-127347488.87</v>
      </c>
      <c r="P2590">
        <v>27</v>
      </c>
      <c r="Q2590" t="s">
        <v>5224</v>
      </c>
    </row>
    <row r="2591" spans="1:17" x14ac:dyDescent="0.3">
      <c r="A2591" t="s">
        <v>4382</v>
      </c>
      <c r="B2591" t="str">
        <f>"000917"</f>
        <v>000917</v>
      </c>
      <c r="C2591" t="s">
        <v>5225</v>
      </c>
      <c r="D2591" t="s">
        <v>89</v>
      </c>
      <c r="F2591">
        <v>544681558</v>
      </c>
      <c r="G2591">
        <v>44537114</v>
      </c>
      <c r="H2591">
        <v>384638227</v>
      </c>
      <c r="I2591">
        <v>39479527</v>
      </c>
      <c r="J2591">
        <v>-794961309</v>
      </c>
      <c r="K2591">
        <v>-1228719671</v>
      </c>
      <c r="L2591">
        <v>-690119310</v>
      </c>
      <c r="M2591">
        <v>-1164769514</v>
      </c>
      <c r="N2591">
        <v>-105828168</v>
      </c>
      <c r="O2591">
        <v>-20638111</v>
      </c>
      <c r="P2591">
        <v>267</v>
      </c>
      <c r="Q2591" t="s">
        <v>5226</v>
      </c>
    </row>
    <row r="2592" spans="1:17" x14ac:dyDescent="0.3">
      <c r="A2592" t="s">
        <v>4382</v>
      </c>
      <c r="B2592" t="str">
        <f>"000918"</f>
        <v>000918</v>
      </c>
      <c r="C2592" t="s">
        <v>5227</v>
      </c>
      <c r="D2592" t="s">
        <v>30</v>
      </c>
      <c r="F2592">
        <v>355826411</v>
      </c>
      <c r="G2592">
        <v>-199568813</v>
      </c>
      <c r="H2592">
        <v>311474459</v>
      </c>
      <c r="I2592">
        <v>-815151058</v>
      </c>
      <c r="J2592">
        <v>-78611977</v>
      </c>
      <c r="K2592">
        <v>-1173028927</v>
      </c>
      <c r="L2592">
        <v>-1191050461</v>
      </c>
      <c r="M2592">
        <v>-2157632240</v>
      </c>
      <c r="N2592">
        <v>-1156327855</v>
      </c>
      <c r="O2592">
        <v>185417881</v>
      </c>
      <c r="P2592">
        <v>123</v>
      </c>
      <c r="Q2592" t="s">
        <v>5228</v>
      </c>
    </row>
    <row r="2593" spans="1:17" x14ac:dyDescent="0.3">
      <c r="A2593" t="s">
        <v>4382</v>
      </c>
      <c r="B2593" t="str">
        <f>"000919"</f>
        <v>000919</v>
      </c>
      <c r="C2593" t="s">
        <v>5229</v>
      </c>
      <c r="D2593" t="s">
        <v>113</v>
      </c>
      <c r="F2593">
        <v>18718880</v>
      </c>
      <c r="G2593">
        <v>16584273</v>
      </c>
      <c r="H2593">
        <v>235769565</v>
      </c>
      <c r="I2593">
        <v>239911329</v>
      </c>
      <c r="J2593">
        <v>232306089</v>
      </c>
      <c r="K2593">
        <v>-44674901</v>
      </c>
      <c r="L2593">
        <v>89934383</v>
      </c>
      <c r="M2593">
        <v>113770991</v>
      </c>
      <c r="N2593">
        <v>-11097158</v>
      </c>
      <c r="O2593">
        <v>-10914934</v>
      </c>
      <c r="P2593">
        <v>179</v>
      </c>
      <c r="Q2593" t="s">
        <v>5230</v>
      </c>
    </row>
    <row r="2594" spans="1:17" x14ac:dyDescent="0.3">
      <c r="A2594" t="s">
        <v>4382</v>
      </c>
      <c r="B2594" t="str">
        <f>"000920"</f>
        <v>000920</v>
      </c>
      <c r="C2594" t="s">
        <v>5231</v>
      </c>
      <c r="D2594" t="s">
        <v>33</v>
      </c>
      <c r="F2594">
        <v>110220035</v>
      </c>
      <c r="G2594">
        <v>136400114</v>
      </c>
      <c r="H2594">
        <v>-73896787</v>
      </c>
      <c r="I2594">
        <v>-55913533</v>
      </c>
      <c r="J2594">
        <v>38558177</v>
      </c>
      <c r="K2594">
        <v>41206742</v>
      </c>
      <c r="L2594">
        <v>61575669</v>
      </c>
      <c r="M2594">
        <v>-170603408</v>
      </c>
      <c r="N2594">
        <v>-194337885</v>
      </c>
      <c r="O2594">
        <v>-63053103</v>
      </c>
      <c r="P2594">
        <v>122</v>
      </c>
      <c r="Q2594" t="s">
        <v>5232</v>
      </c>
    </row>
    <row r="2595" spans="1:17" x14ac:dyDescent="0.3">
      <c r="A2595" t="s">
        <v>4382</v>
      </c>
      <c r="B2595" t="str">
        <f>"000921"</f>
        <v>000921</v>
      </c>
      <c r="C2595" t="s">
        <v>5233</v>
      </c>
      <c r="D2595" t="s">
        <v>126</v>
      </c>
      <c r="F2595">
        <v>2650269562</v>
      </c>
      <c r="G2595">
        <v>3768425441</v>
      </c>
      <c r="H2595">
        <v>2394959899</v>
      </c>
      <c r="I2595">
        <v>1615953920</v>
      </c>
      <c r="J2595">
        <v>648252672</v>
      </c>
      <c r="K2595">
        <v>2210237044</v>
      </c>
      <c r="L2595">
        <v>-366626366</v>
      </c>
      <c r="M2595">
        <v>-71536963</v>
      </c>
      <c r="N2595">
        <v>-264733461</v>
      </c>
      <c r="O2595">
        <v>261626595</v>
      </c>
      <c r="P2595">
        <v>13182</v>
      </c>
      <c r="Q2595" t="s">
        <v>5234</v>
      </c>
    </row>
    <row r="2596" spans="1:17" x14ac:dyDescent="0.3">
      <c r="A2596" t="s">
        <v>4382</v>
      </c>
      <c r="B2596" t="str">
        <f>"000922"</f>
        <v>000922</v>
      </c>
      <c r="C2596" t="s">
        <v>5235</v>
      </c>
      <c r="D2596" t="s">
        <v>188</v>
      </c>
      <c r="F2596">
        <v>-75320193</v>
      </c>
      <c r="G2596">
        <v>200082409</v>
      </c>
      <c r="H2596">
        <v>224759515</v>
      </c>
      <c r="I2596">
        <v>50774303</v>
      </c>
      <c r="J2596">
        <v>-43264531</v>
      </c>
      <c r="K2596">
        <v>-21473108</v>
      </c>
      <c r="L2596">
        <v>-115595918</v>
      </c>
      <c r="M2596">
        <v>-248575571</v>
      </c>
      <c r="N2596">
        <v>7560623</v>
      </c>
      <c r="O2596">
        <v>-33540364</v>
      </c>
      <c r="P2596">
        <v>261</v>
      </c>
      <c r="Q2596" t="s">
        <v>5236</v>
      </c>
    </row>
    <row r="2597" spans="1:17" x14ac:dyDescent="0.3">
      <c r="A2597" t="s">
        <v>4382</v>
      </c>
      <c r="B2597" t="str">
        <f>"000923"</f>
        <v>000923</v>
      </c>
      <c r="C2597" t="s">
        <v>5237</v>
      </c>
      <c r="D2597" t="s">
        <v>38</v>
      </c>
      <c r="F2597">
        <v>2285959316</v>
      </c>
      <c r="G2597">
        <v>1052166831</v>
      </c>
      <c r="H2597">
        <v>156404091</v>
      </c>
      <c r="I2597">
        <v>-397604937</v>
      </c>
      <c r="J2597">
        <v>-281448641</v>
      </c>
      <c r="K2597">
        <v>157712363</v>
      </c>
      <c r="L2597">
        <v>-29562790</v>
      </c>
      <c r="M2597">
        <v>53443444</v>
      </c>
      <c r="N2597">
        <v>-215098926</v>
      </c>
      <c r="O2597">
        <v>-119052877</v>
      </c>
      <c r="P2597">
        <v>224</v>
      </c>
      <c r="Q2597" t="s">
        <v>5238</v>
      </c>
    </row>
    <row r="2598" spans="1:17" x14ac:dyDescent="0.3">
      <c r="A2598" t="s">
        <v>4382</v>
      </c>
      <c r="B2598" t="str">
        <f>"000925"</f>
        <v>000925</v>
      </c>
      <c r="C2598" t="s">
        <v>5239</v>
      </c>
      <c r="D2598" t="s">
        <v>78</v>
      </c>
      <c r="F2598">
        <v>-807279855</v>
      </c>
      <c r="G2598">
        <v>-614455890</v>
      </c>
      <c r="H2598">
        <v>-335292002</v>
      </c>
      <c r="I2598">
        <v>-230818709</v>
      </c>
      <c r="J2598">
        <v>-302040665</v>
      </c>
      <c r="K2598">
        <v>-297712245</v>
      </c>
      <c r="L2598">
        <v>-470245813</v>
      </c>
      <c r="M2598">
        <v>-18249435</v>
      </c>
      <c r="N2598">
        <v>-7152529</v>
      </c>
      <c r="O2598">
        <v>-52360977</v>
      </c>
      <c r="P2598">
        <v>188</v>
      </c>
      <c r="Q2598" t="s">
        <v>5240</v>
      </c>
    </row>
    <row r="2599" spans="1:17" x14ac:dyDescent="0.3">
      <c r="A2599" t="s">
        <v>4382</v>
      </c>
      <c r="B2599" t="str">
        <f>"000926"</f>
        <v>000926</v>
      </c>
      <c r="C2599" t="s">
        <v>5241</v>
      </c>
      <c r="D2599" t="s">
        <v>30</v>
      </c>
      <c r="F2599">
        <v>3988666173</v>
      </c>
      <c r="G2599">
        <v>2665999686</v>
      </c>
      <c r="H2599">
        <v>3639460157</v>
      </c>
      <c r="I2599">
        <v>-977337420</v>
      </c>
      <c r="J2599">
        <v>-1717266989</v>
      </c>
      <c r="K2599">
        <v>2004541176</v>
      </c>
      <c r="L2599">
        <v>-412174706</v>
      </c>
      <c r="M2599">
        <v>-2623785814</v>
      </c>
      <c r="N2599">
        <v>967138620</v>
      </c>
      <c r="O2599">
        <v>350192306</v>
      </c>
      <c r="P2599">
        <v>239</v>
      </c>
      <c r="Q2599" t="s">
        <v>5242</v>
      </c>
    </row>
    <row r="2600" spans="1:17" x14ac:dyDescent="0.3">
      <c r="A2600" t="s">
        <v>4382</v>
      </c>
      <c r="B2600" t="str">
        <f>"000927"</f>
        <v>000927</v>
      </c>
      <c r="C2600" t="s">
        <v>5243</v>
      </c>
      <c r="D2600" t="s">
        <v>27</v>
      </c>
      <c r="F2600">
        <v>-2119826333</v>
      </c>
      <c r="G2600">
        <v>-173249106</v>
      </c>
      <c r="H2600">
        <v>-510466581</v>
      </c>
      <c r="I2600">
        <v>-1186468770</v>
      </c>
      <c r="J2600">
        <v>-1433086842</v>
      </c>
      <c r="K2600">
        <v>-1674824177</v>
      </c>
      <c r="L2600">
        <v>-1421775320</v>
      </c>
      <c r="M2600">
        <v>-1503225729</v>
      </c>
      <c r="N2600">
        <v>-1555207239</v>
      </c>
      <c r="O2600">
        <v>-1354787334</v>
      </c>
      <c r="P2600">
        <v>131</v>
      </c>
      <c r="Q2600" t="s">
        <v>5244</v>
      </c>
    </row>
    <row r="2601" spans="1:17" x14ac:dyDescent="0.3">
      <c r="A2601" t="s">
        <v>4382</v>
      </c>
      <c r="B2601" t="str">
        <f>"000928"</f>
        <v>000928</v>
      </c>
      <c r="C2601" t="s">
        <v>5245</v>
      </c>
      <c r="D2601" t="s">
        <v>95</v>
      </c>
      <c r="F2601">
        <v>-2525648772</v>
      </c>
      <c r="G2601">
        <v>-824248052</v>
      </c>
      <c r="H2601">
        <v>-188284798</v>
      </c>
      <c r="I2601">
        <v>168372076</v>
      </c>
      <c r="J2601">
        <v>407863595</v>
      </c>
      <c r="K2601">
        <v>-965192624</v>
      </c>
      <c r="L2601">
        <v>-264764767</v>
      </c>
      <c r="M2601">
        <v>230183159</v>
      </c>
      <c r="N2601">
        <v>-72567697</v>
      </c>
      <c r="O2601">
        <v>-8667941</v>
      </c>
      <c r="P2601">
        <v>271</v>
      </c>
      <c r="Q2601" t="s">
        <v>5246</v>
      </c>
    </row>
    <row r="2602" spans="1:17" x14ac:dyDescent="0.3">
      <c r="A2602" t="s">
        <v>4382</v>
      </c>
      <c r="B2602" t="str">
        <f>"000929"</f>
        <v>000929</v>
      </c>
      <c r="C2602" t="s">
        <v>5247</v>
      </c>
      <c r="D2602" t="s">
        <v>123</v>
      </c>
      <c r="F2602">
        <v>23646072</v>
      </c>
      <c r="G2602">
        <v>-8653738</v>
      </c>
      <c r="H2602">
        <v>22806936</v>
      </c>
      <c r="I2602">
        <v>70327609</v>
      </c>
      <c r="J2602">
        <v>71444709</v>
      </c>
      <c r="K2602">
        <v>77448394</v>
      </c>
      <c r="L2602">
        <v>32750373</v>
      </c>
      <c r="M2602">
        <v>121351787</v>
      </c>
      <c r="N2602">
        <v>111443149</v>
      </c>
      <c r="O2602">
        <v>78666592</v>
      </c>
      <c r="P2602">
        <v>144</v>
      </c>
      <c r="Q2602" t="s">
        <v>5248</v>
      </c>
    </row>
    <row r="2603" spans="1:17" x14ac:dyDescent="0.3">
      <c r="A2603" t="s">
        <v>4382</v>
      </c>
      <c r="B2603" t="str">
        <f>"000930"</f>
        <v>000930</v>
      </c>
      <c r="C2603" t="s">
        <v>5249</v>
      </c>
      <c r="D2603" t="s">
        <v>205</v>
      </c>
      <c r="F2603">
        <v>4533964043</v>
      </c>
      <c r="G2603">
        <v>-542277738</v>
      </c>
      <c r="H2603">
        <v>3407582354</v>
      </c>
      <c r="I2603">
        <v>-51626305</v>
      </c>
      <c r="J2603">
        <v>374328071</v>
      </c>
      <c r="K2603">
        <v>232784116</v>
      </c>
      <c r="L2603">
        <v>-343809720</v>
      </c>
      <c r="M2603">
        <v>475062325</v>
      </c>
      <c r="N2603">
        <v>616238844</v>
      </c>
      <c r="O2603">
        <v>321965732</v>
      </c>
      <c r="P2603">
        <v>378</v>
      </c>
      <c r="Q2603" t="s">
        <v>5250</v>
      </c>
    </row>
    <row r="2604" spans="1:17" x14ac:dyDescent="0.3">
      <c r="A2604" t="s">
        <v>4382</v>
      </c>
      <c r="B2604" t="str">
        <f>"000931"</f>
        <v>000931</v>
      </c>
      <c r="C2604" t="s">
        <v>5251</v>
      </c>
      <c r="D2604" t="s">
        <v>113</v>
      </c>
      <c r="F2604">
        <v>89396955</v>
      </c>
      <c r="G2604">
        <v>-36662050</v>
      </c>
      <c r="H2604">
        <v>-48158529</v>
      </c>
      <c r="I2604">
        <v>76816762</v>
      </c>
      <c r="J2604">
        <v>-25649653</v>
      </c>
      <c r="K2604">
        <v>-164957682</v>
      </c>
      <c r="L2604">
        <v>-93906646</v>
      </c>
      <c r="M2604">
        <v>-412220781</v>
      </c>
      <c r="N2604">
        <v>-17581616</v>
      </c>
      <c r="O2604">
        <v>194446707</v>
      </c>
      <c r="P2604">
        <v>142</v>
      </c>
      <c r="Q2604" t="s">
        <v>5252</v>
      </c>
    </row>
    <row r="2605" spans="1:17" x14ac:dyDescent="0.3">
      <c r="A2605" t="s">
        <v>4382</v>
      </c>
      <c r="B2605" t="str">
        <f>"000932"</f>
        <v>000932</v>
      </c>
      <c r="C2605" t="s">
        <v>5253</v>
      </c>
      <c r="D2605" t="s">
        <v>38</v>
      </c>
      <c r="F2605">
        <v>521625935</v>
      </c>
      <c r="G2605">
        <v>2623132287</v>
      </c>
      <c r="H2605">
        <v>1397300218</v>
      </c>
      <c r="I2605">
        <v>7212503461</v>
      </c>
      <c r="J2605">
        <v>3423191478</v>
      </c>
      <c r="K2605">
        <v>2969822843</v>
      </c>
      <c r="L2605">
        <v>2272826296</v>
      </c>
      <c r="M2605">
        <v>3926384245</v>
      </c>
      <c r="N2605">
        <v>-406690168</v>
      </c>
      <c r="O2605">
        <v>4070058714</v>
      </c>
      <c r="P2605">
        <v>1040</v>
      </c>
      <c r="Q2605" t="s">
        <v>5254</v>
      </c>
    </row>
    <row r="2606" spans="1:17" x14ac:dyDescent="0.3">
      <c r="A2606" t="s">
        <v>4382</v>
      </c>
      <c r="B2606" t="str">
        <f>"000933"</f>
        <v>000933</v>
      </c>
      <c r="C2606" t="s">
        <v>5255</v>
      </c>
      <c r="D2606" t="s">
        <v>234</v>
      </c>
      <c r="F2606">
        <v>10155078565</v>
      </c>
      <c r="G2606">
        <v>-1117630244</v>
      </c>
      <c r="H2606">
        <v>3243782516</v>
      </c>
      <c r="I2606">
        <v>53398374</v>
      </c>
      <c r="J2606">
        <v>1019778582</v>
      </c>
      <c r="K2606">
        <v>713982493</v>
      </c>
      <c r="L2606">
        <v>-264022510</v>
      </c>
      <c r="M2606">
        <v>-2027934095</v>
      </c>
      <c r="N2606">
        <v>444385152</v>
      </c>
      <c r="O2606">
        <v>214836344</v>
      </c>
      <c r="P2606">
        <v>461</v>
      </c>
      <c r="Q2606" t="s">
        <v>5256</v>
      </c>
    </row>
    <row r="2607" spans="1:17" x14ac:dyDescent="0.3">
      <c r="A2607" t="s">
        <v>4382</v>
      </c>
      <c r="B2607" t="str">
        <f>"000935"</f>
        <v>000935</v>
      </c>
      <c r="C2607" t="s">
        <v>5257</v>
      </c>
      <c r="D2607" t="s">
        <v>350</v>
      </c>
      <c r="F2607">
        <v>178929682</v>
      </c>
      <c r="G2607">
        <v>359537784</v>
      </c>
      <c r="H2607">
        <v>524364597</v>
      </c>
      <c r="I2607">
        <v>457490943</v>
      </c>
      <c r="J2607">
        <v>219130242</v>
      </c>
      <c r="K2607">
        <v>249674987</v>
      </c>
      <c r="L2607">
        <v>105087630</v>
      </c>
      <c r="M2607">
        <v>282139704</v>
      </c>
      <c r="N2607">
        <v>199254341</v>
      </c>
      <c r="O2607">
        <v>-782850</v>
      </c>
      <c r="P2607">
        <v>230</v>
      </c>
      <c r="Q2607" t="s">
        <v>5258</v>
      </c>
    </row>
    <row r="2608" spans="1:17" x14ac:dyDescent="0.3">
      <c r="A2608" t="s">
        <v>4382</v>
      </c>
      <c r="B2608" t="str">
        <f>"000936"</f>
        <v>000936</v>
      </c>
      <c r="C2608" t="s">
        <v>5259</v>
      </c>
      <c r="D2608" t="s">
        <v>133</v>
      </c>
      <c r="F2608">
        <v>60107177</v>
      </c>
      <c r="G2608">
        <v>-141224069</v>
      </c>
      <c r="H2608">
        <v>276343743</v>
      </c>
      <c r="I2608">
        <v>-57926002</v>
      </c>
      <c r="J2608">
        <v>-8469236</v>
      </c>
      <c r="K2608">
        <v>92916666</v>
      </c>
      <c r="L2608">
        <v>11659646</v>
      </c>
      <c r="M2608">
        <v>-97630275</v>
      </c>
      <c r="N2608">
        <v>-58902333</v>
      </c>
      <c r="O2608">
        <v>-289896767</v>
      </c>
      <c r="P2608">
        <v>226</v>
      </c>
      <c r="Q2608" t="s">
        <v>5260</v>
      </c>
    </row>
    <row r="2609" spans="1:17" x14ac:dyDescent="0.3">
      <c r="A2609" t="s">
        <v>4382</v>
      </c>
      <c r="B2609" t="str">
        <f>"000937"</f>
        <v>000937</v>
      </c>
      <c r="C2609" t="s">
        <v>5261</v>
      </c>
      <c r="D2609" t="s">
        <v>257</v>
      </c>
      <c r="F2609">
        <v>2056506315</v>
      </c>
      <c r="G2609">
        <v>3057610714</v>
      </c>
      <c r="H2609">
        <v>1397324720</v>
      </c>
      <c r="I2609">
        <v>1667885132</v>
      </c>
      <c r="J2609">
        <v>1829012479</v>
      </c>
      <c r="K2609">
        <v>-511763608</v>
      </c>
      <c r="L2609">
        <v>-836072073</v>
      </c>
      <c r="M2609">
        <v>-495701417</v>
      </c>
      <c r="N2609">
        <v>1431672144</v>
      </c>
      <c r="O2609">
        <v>-348992393</v>
      </c>
      <c r="P2609">
        <v>350</v>
      </c>
      <c r="Q2609" t="s">
        <v>5262</v>
      </c>
    </row>
    <row r="2610" spans="1:17" x14ac:dyDescent="0.3">
      <c r="A2610" t="s">
        <v>4382</v>
      </c>
      <c r="B2610" t="str">
        <f>"000938"</f>
        <v>000938</v>
      </c>
      <c r="C2610" t="s">
        <v>5263</v>
      </c>
      <c r="D2610" t="s">
        <v>212</v>
      </c>
      <c r="F2610">
        <v>-4154497836</v>
      </c>
      <c r="G2610">
        <v>830169900</v>
      </c>
      <c r="H2610">
        <v>-4301871577</v>
      </c>
      <c r="I2610">
        <v>-263166973</v>
      </c>
      <c r="J2610">
        <v>-1633369198</v>
      </c>
      <c r="K2610">
        <v>410257334</v>
      </c>
      <c r="L2610">
        <v>-767108489</v>
      </c>
      <c r="M2610">
        <v>-497173081</v>
      </c>
      <c r="N2610">
        <v>-264263402</v>
      </c>
      <c r="O2610">
        <v>-420351626</v>
      </c>
      <c r="P2610">
        <v>3895</v>
      </c>
      <c r="Q2610" t="s">
        <v>5264</v>
      </c>
    </row>
    <row r="2611" spans="1:17" x14ac:dyDescent="0.3">
      <c r="A2611" t="s">
        <v>4382</v>
      </c>
      <c r="B2611" t="str">
        <f>"000939"</f>
        <v>000939</v>
      </c>
      <c r="C2611" t="s">
        <v>5265</v>
      </c>
      <c r="G2611">
        <v>47070761</v>
      </c>
      <c r="H2611">
        <v>1149874</v>
      </c>
      <c r="I2611">
        <v>-648345393</v>
      </c>
      <c r="J2611">
        <v>-1381638865</v>
      </c>
      <c r="K2611">
        <v>-390788728</v>
      </c>
      <c r="L2611">
        <v>-10329004</v>
      </c>
      <c r="M2611">
        <v>-751975353</v>
      </c>
      <c r="N2611">
        <v>126078294</v>
      </c>
      <c r="O2611">
        <v>-1536766586</v>
      </c>
      <c r="P2611">
        <v>61</v>
      </c>
      <c r="Q2611" t="s">
        <v>5266</v>
      </c>
    </row>
    <row r="2612" spans="1:17" x14ac:dyDescent="0.3">
      <c r="A2612" t="s">
        <v>4382</v>
      </c>
      <c r="B2612" t="str">
        <f>"000948"</f>
        <v>000948</v>
      </c>
      <c r="C2612" t="s">
        <v>5267</v>
      </c>
      <c r="D2612" t="s">
        <v>212</v>
      </c>
      <c r="F2612">
        <v>-1346367334</v>
      </c>
      <c r="G2612">
        <v>-755097892</v>
      </c>
      <c r="H2612">
        <v>-973531051</v>
      </c>
      <c r="I2612">
        <v>-575372115</v>
      </c>
      <c r="J2612">
        <v>-759009156</v>
      </c>
      <c r="K2612">
        <v>-608123499</v>
      </c>
      <c r="L2612">
        <v>-337308371</v>
      </c>
      <c r="M2612">
        <v>-445202545</v>
      </c>
      <c r="N2612">
        <v>-221144391</v>
      </c>
      <c r="O2612">
        <v>-414230358</v>
      </c>
      <c r="P2612">
        <v>213</v>
      </c>
      <c r="Q2612" t="s">
        <v>5268</v>
      </c>
    </row>
    <row r="2613" spans="1:17" x14ac:dyDescent="0.3">
      <c r="A2613" t="s">
        <v>4382</v>
      </c>
      <c r="B2613" t="str">
        <f>"000949"</f>
        <v>000949</v>
      </c>
      <c r="C2613" t="s">
        <v>5269</v>
      </c>
      <c r="D2613" t="s">
        <v>133</v>
      </c>
      <c r="F2613">
        <v>835968890</v>
      </c>
      <c r="G2613">
        <v>-6766007</v>
      </c>
      <c r="H2613">
        <v>-348301342</v>
      </c>
      <c r="I2613">
        <v>-483146760</v>
      </c>
      <c r="J2613">
        <v>-891413052</v>
      </c>
      <c r="K2613">
        <v>53747677</v>
      </c>
      <c r="L2613">
        <v>105309209</v>
      </c>
      <c r="M2613">
        <v>103702051</v>
      </c>
      <c r="N2613">
        <v>-293812285</v>
      </c>
      <c r="O2613">
        <v>395446156</v>
      </c>
      <c r="P2613">
        <v>157</v>
      </c>
      <c r="Q2613" t="s">
        <v>5270</v>
      </c>
    </row>
    <row r="2614" spans="1:17" x14ac:dyDescent="0.3">
      <c r="A2614" t="s">
        <v>4382</v>
      </c>
      <c r="B2614" t="str">
        <f>"000950"</f>
        <v>000950</v>
      </c>
      <c r="C2614" t="s">
        <v>5271</v>
      </c>
      <c r="D2614" t="s">
        <v>113</v>
      </c>
      <c r="F2614">
        <v>-3119739914</v>
      </c>
      <c r="G2614">
        <v>-1263292451</v>
      </c>
      <c r="H2614">
        <v>-2300145626</v>
      </c>
      <c r="I2614">
        <v>-1862023403</v>
      </c>
      <c r="J2614">
        <v>-1046767666</v>
      </c>
      <c r="K2614">
        <v>86825901</v>
      </c>
      <c r="L2614">
        <v>44515933</v>
      </c>
      <c r="M2614">
        <v>-641328228</v>
      </c>
      <c r="N2614">
        <v>-707577285</v>
      </c>
      <c r="O2614">
        <v>15918712</v>
      </c>
      <c r="P2614">
        <v>145</v>
      </c>
      <c r="Q2614" t="s">
        <v>5272</v>
      </c>
    </row>
    <row r="2615" spans="1:17" x14ac:dyDescent="0.3">
      <c r="A2615" t="s">
        <v>4382</v>
      </c>
      <c r="B2615" t="str">
        <f>"000951"</f>
        <v>000951</v>
      </c>
      <c r="C2615" t="s">
        <v>5273</v>
      </c>
      <c r="D2615" t="s">
        <v>27</v>
      </c>
      <c r="F2615">
        <v>1738014630</v>
      </c>
      <c r="G2615">
        <v>1258996492</v>
      </c>
      <c r="H2615">
        <v>2270186161</v>
      </c>
      <c r="I2615">
        <v>2047814733</v>
      </c>
      <c r="J2615">
        <v>-2315256893</v>
      </c>
      <c r="K2615">
        <v>-268685595</v>
      </c>
      <c r="L2615">
        <v>464174322</v>
      </c>
      <c r="M2615">
        <v>82791154</v>
      </c>
      <c r="N2615">
        <v>2131011</v>
      </c>
      <c r="O2615">
        <v>698316391</v>
      </c>
      <c r="P2615">
        <v>856</v>
      </c>
      <c r="Q2615" t="s">
        <v>5274</v>
      </c>
    </row>
    <row r="2616" spans="1:17" x14ac:dyDescent="0.3">
      <c r="A2616" t="s">
        <v>4382</v>
      </c>
      <c r="B2616" t="str">
        <f>"000952"</f>
        <v>000952</v>
      </c>
      <c r="C2616" t="s">
        <v>5275</v>
      </c>
      <c r="D2616" t="s">
        <v>113</v>
      </c>
      <c r="F2616">
        <v>-725569</v>
      </c>
      <c r="G2616">
        <v>21963024</v>
      </c>
      <c r="H2616">
        <v>48938764</v>
      </c>
      <c r="I2616">
        <v>128023086</v>
      </c>
      <c r="J2616">
        <v>1114064</v>
      </c>
      <c r="K2616">
        <v>22530317</v>
      </c>
      <c r="L2616">
        <v>-143433011</v>
      </c>
      <c r="M2616">
        <v>103525384</v>
      </c>
      <c r="N2616">
        <v>13730691</v>
      </c>
      <c r="O2616">
        <v>-39931733</v>
      </c>
      <c r="P2616">
        <v>169</v>
      </c>
      <c r="Q2616" t="s">
        <v>5276</v>
      </c>
    </row>
    <row r="2617" spans="1:17" x14ac:dyDescent="0.3">
      <c r="A2617" t="s">
        <v>4382</v>
      </c>
      <c r="B2617" t="str">
        <f>"000953"</f>
        <v>000953</v>
      </c>
      <c r="C2617" t="s">
        <v>5277</v>
      </c>
      <c r="D2617" t="s">
        <v>133</v>
      </c>
      <c r="F2617">
        <v>4515881</v>
      </c>
      <c r="G2617">
        <v>38474784</v>
      </c>
      <c r="H2617">
        <v>-7324856</v>
      </c>
      <c r="I2617">
        <v>-44571728</v>
      </c>
      <c r="J2617">
        <v>-132141023</v>
      </c>
      <c r="K2617">
        <v>82547116</v>
      </c>
      <c r="L2617">
        <v>-103841331</v>
      </c>
      <c r="M2617">
        <v>-187439435</v>
      </c>
      <c r="N2617">
        <v>-117202602</v>
      </c>
      <c r="O2617">
        <v>-20714586</v>
      </c>
      <c r="P2617">
        <v>90</v>
      </c>
      <c r="Q2617" t="s">
        <v>5278</v>
      </c>
    </row>
    <row r="2618" spans="1:17" x14ac:dyDescent="0.3">
      <c r="A2618" t="s">
        <v>4382</v>
      </c>
      <c r="B2618" t="str">
        <f>"000955"</f>
        <v>000955</v>
      </c>
      <c r="C2618" t="s">
        <v>5279</v>
      </c>
      <c r="D2618" t="s">
        <v>227</v>
      </c>
      <c r="F2618">
        <v>-73036074</v>
      </c>
      <c r="G2618">
        <v>318010673</v>
      </c>
      <c r="H2618">
        <v>-88407731</v>
      </c>
      <c r="I2618">
        <v>-124740710</v>
      </c>
      <c r="J2618">
        <v>-57308140</v>
      </c>
      <c r="K2618">
        <v>-52851191</v>
      </c>
      <c r="L2618">
        <v>-47239969</v>
      </c>
      <c r="M2618">
        <v>-89772877</v>
      </c>
      <c r="N2618">
        <v>-64308308</v>
      </c>
      <c r="O2618">
        <v>-81326594</v>
      </c>
      <c r="P2618">
        <v>241</v>
      </c>
      <c r="Q2618" t="s">
        <v>5280</v>
      </c>
    </row>
    <row r="2619" spans="1:17" x14ac:dyDescent="0.3">
      <c r="A2619" t="s">
        <v>4382</v>
      </c>
      <c r="B2619" t="str">
        <f>"000957"</f>
        <v>000957</v>
      </c>
      <c r="C2619" t="s">
        <v>5281</v>
      </c>
      <c r="D2619" t="s">
        <v>27</v>
      </c>
      <c r="F2619">
        <v>365590313</v>
      </c>
      <c r="G2619">
        <v>680977789</v>
      </c>
      <c r="H2619">
        <v>423713888</v>
      </c>
      <c r="I2619">
        <v>-724532541</v>
      </c>
      <c r="J2619">
        <v>-876708488</v>
      </c>
      <c r="K2619">
        <v>-1506899615</v>
      </c>
      <c r="L2619">
        <v>-164989266</v>
      </c>
      <c r="M2619">
        <v>-317802436</v>
      </c>
      <c r="N2619">
        <v>-99522812</v>
      </c>
      <c r="O2619">
        <v>-84246048</v>
      </c>
      <c r="P2619">
        <v>227</v>
      </c>
      <c r="Q2619" t="s">
        <v>5282</v>
      </c>
    </row>
    <row r="2620" spans="1:17" x14ac:dyDescent="0.3">
      <c r="A2620" t="s">
        <v>4382</v>
      </c>
      <c r="B2620" t="str">
        <f>"000958"</f>
        <v>000958</v>
      </c>
      <c r="C2620" t="s">
        <v>5283</v>
      </c>
      <c r="D2620" t="s">
        <v>41</v>
      </c>
      <c r="F2620">
        <v>-6191298794</v>
      </c>
      <c r="G2620">
        <v>-3921977869</v>
      </c>
      <c r="H2620">
        <v>-1691323933</v>
      </c>
      <c r="I2620">
        <v>-879773142</v>
      </c>
      <c r="J2620">
        <v>-1069539303</v>
      </c>
      <c r="K2620">
        <v>-81834455</v>
      </c>
      <c r="L2620">
        <v>10957438</v>
      </c>
      <c r="M2620">
        <v>-120427601</v>
      </c>
      <c r="N2620">
        <v>275102838</v>
      </c>
      <c r="O2620">
        <v>54200001</v>
      </c>
      <c r="P2620">
        <v>162</v>
      </c>
      <c r="Q2620" t="s">
        <v>5284</v>
      </c>
    </row>
    <row r="2621" spans="1:17" x14ac:dyDescent="0.3">
      <c r="A2621" t="s">
        <v>4382</v>
      </c>
      <c r="B2621" t="str">
        <f>"000959"</f>
        <v>000959</v>
      </c>
      <c r="C2621" t="s">
        <v>5285</v>
      </c>
      <c r="D2621" t="s">
        <v>38</v>
      </c>
      <c r="F2621">
        <v>7775275169</v>
      </c>
      <c r="G2621">
        <v>2598279607</v>
      </c>
      <c r="H2621">
        <v>-1027119681</v>
      </c>
      <c r="I2621">
        <v>4923582916</v>
      </c>
      <c r="J2621">
        <v>1673251197</v>
      </c>
      <c r="K2621">
        <v>2036597684</v>
      </c>
      <c r="L2621">
        <v>-1668104344</v>
      </c>
      <c r="M2621">
        <v>529703580</v>
      </c>
      <c r="N2621">
        <v>104369981</v>
      </c>
      <c r="O2621">
        <v>-303735129</v>
      </c>
      <c r="P2621">
        <v>254</v>
      </c>
      <c r="Q2621" t="s">
        <v>5286</v>
      </c>
    </row>
    <row r="2622" spans="1:17" x14ac:dyDescent="0.3">
      <c r="A2622" t="s">
        <v>4382</v>
      </c>
      <c r="B2622" t="str">
        <f>"000960"</f>
        <v>000960</v>
      </c>
      <c r="C2622" t="s">
        <v>5287</v>
      </c>
      <c r="D2622" t="s">
        <v>234</v>
      </c>
      <c r="F2622">
        <v>-1325569458</v>
      </c>
      <c r="G2622">
        <v>-1088144218</v>
      </c>
      <c r="H2622">
        <v>-99072799</v>
      </c>
      <c r="I2622">
        <v>-331957689</v>
      </c>
      <c r="J2622">
        <v>460639872</v>
      </c>
      <c r="K2622">
        <v>1053141783</v>
      </c>
      <c r="L2622">
        <v>271657551</v>
      </c>
      <c r="M2622">
        <v>817217580</v>
      </c>
      <c r="N2622">
        <v>-315752586</v>
      </c>
      <c r="O2622">
        <v>-3525897829</v>
      </c>
      <c r="P2622">
        <v>356</v>
      </c>
      <c r="Q2622" t="s">
        <v>5288</v>
      </c>
    </row>
    <row r="2623" spans="1:17" x14ac:dyDescent="0.3">
      <c r="A2623" t="s">
        <v>4382</v>
      </c>
      <c r="B2623" t="str">
        <f>"000961"</f>
        <v>000961</v>
      </c>
      <c r="C2623" t="s">
        <v>5289</v>
      </c>
      <c r="D2623" t="s">
        <v>30</v>
      </c>
      <c r="F2623">
        <v>-1210622254</v>
      </c>
      <c r="G2623">
        <v>-439332199</v>
      </c>
      <c r="H2623">
        <v>-1606509869</v>
      </c>
      <c r="I2623">
        <v>8699533019</v>
      </c>
      <c r="J2623">
        <v>-157846332</v>
      </c>
      <c r="K2623">
        <v>-2300236731</v>
      </c>
      <c r="L2623">
        <v>-1863134875</v>
      </c>
      <c r="M2623">
        <v>-7634545454</v>
      </c>
      <c r="N2623">
        <v>-684105962</v>
      </c>
      <c r="O2623">
        <v>399384555</v>
      </c>
      <c r="P2623">
        <v>898</v>
      </c>
      <c r="Q2623" t="s">
        <v>5290</v>
      </c>
    </row>
    <row r="2624" spans="1:17" x14ac:dyDescent="0.3">
      <c r="A2624" t="s">
        <v>4382</v>
      </c>
      <c r="B2624" t="str">
        <f>"000962"</f>
        <v>000962</v>
      </c>
      <c r="C2624" t="s">
        <v>5291</v>
      </c>
      <c r="D2624" t="s">
        <v>234</v>
      </c>
      <c r="F2624">
        <v>90809846</v>
      </c>
      <c r="G2624">
        <v>-38952825</v>
      </c>
      <c r="H2624">
        <v>150538071</v>
      </c>
      <c r="I2624">
        <v>62137887</v>
      </c>
      <c r="J2624">
        <v>218168230</v>
      </c>
      <c r="K2624">
        <v>250783916</v>
      </c>
      <c r="L2624">
        <v>222518761</v>
      </c>
      <c r="M2624">
        <v>15580550</v>
      </c>
      <c r="N2624">
        <v>-162565846</v>
      </c>
      <c r="O2624">
        <v>-172386275</v>
      </c>
      <c r="P2624">
        <v>131</v>
      </c>
      <c r="Q2624" t="s">
        <v>5292</v>
      </c>
    </row>
    <row r="2625" spans="1:17" x14ac:dyDescent="0.3">
      <c r="A2625" t="s">
        <v>4382</v>
      </c>
      <c r="B2625" t="str">
        <f>"000963"</f>
        <v>000963</v>
      </c>
      <c r="C2625" t="s">
        <v>5293</v>
      </c>
      <c r="D2625" t="s">
        <v>113</v>
      </c>
      <c r="F2625">
        <v>1568359079</v>
      </c>
      <c r="G2625">
        <v>1386408487</v>
      </c>
      <c r="H2625">
        <v>60552954</v>
      </c>
      <c r="I2625">
        <v>710421544</v>
      </c>
      <c r="J2625">
        <v>-322128979</v>
      </c>
      <c r="K2625">
        <v>98148478</v>
      </c>
      <c r="L2625">
        <v>-284901956</v>
      </c>
      <c r="M2625">
        <v>4488861</v>
      </c>
      <c r="N2625">
        <v>-699135772</v>
      </c>
      <c r="O2625">
        <v>3609873</v>
      </c>
      <c r="P2625">
        <v>59260</v>
      </c>
      <c r="Q2625" t="s">
        <v>5294</v>
      </c>
    </row>
    <row r="2626" spans="1:17" x14ac:dyDescent="0.3">
      <c r="A2626" t="s">
        <v>4382</v>
      </c>
      <c r="B2626" t="str">
        <f>"000965"</f>
        <v>000965</v>
      </c>
      <c r="C2626" t="s">
        <v>5295</v>
      </c>
      <c r="D2626" t="s">
        <v>30</v>
      </c>
      <c r="F2626">
        <v>413455448</v>
      </c>
      <c r="G2626">
        <v>-962249218</v>
      </c>
      <c r="H2626">
        <v>-70336561</v>
      </c>
      <c r="I2626">
        <v>-1985076310</v>
      </c>
      <c r="J2626">
        <v>-1731370441</v>
      </c>
      <c r="K2626">
        <v>300233321</v>
      </c>
      <c r="L2626">
        <v>358142045</v>
      </c>
      <c r="M2626">
        <v>-255443631</v>
      </c>
      <c r="N2626">
        <v>117526738</v>
      </c>
      <c r="O2626">
        <v>62774226</v>
      </c>
      <c r="P2626">
        <v>116</v>
      </c>
      <c r="Q2626" t="s">
        <v>5296</v>
      </c>
    </row>
    <row r="2627" spans="1:17" x14ac:dyDescent="0.3">
      <c r="A2627" t="s">
        <v>4382</v>
      </c>
      <c r="B2627" t="str">
        <f>"000966"</f>
        <v>000966</v>
      </c>
      <c r="C2627" t="s">
        <v>5297</v>
      </c>
      <c r="D2627" t="s">
        <v>41</v>
      </c>
      <c r="F2627">
        <v>-309049158</v>
      </c>
      <c r="G2627">
        <v>256082386</v>
      </c>
      <c r="H2627">
        <v>1191860579</v>
      </c>
      <c r="I2627">
        <v>274358315</v>
      </c>
      <c r="J2627">
        <v>339210131</v>
      </c>
      <c r="K2627">
        <v>563733789</v>
      </c>
      <c r="L2627">
        <v>1780161827</v>
      </c>
      <c r="M2627">
        <v>1554794200</v>
      </c>
      <c r="N2627">
        <v>2088740816</v>
      </c>
      <c r="O2627">
        <v>2047563967</v>
      </c>
      <c r="P2627">
        <v>398</v>
      </c>
      <c r="Q2627" t="s">
        <v>5298</v>
      </c>
    </row>
    <row r="2628" spans="1:17" x14ac:dyDescent="0.3">
      <c r="A2628" t="s">
        <v>4382</v>
      </c>
      <c r="B2628" t="str">
        <f>"000967"</f>
        <v>000967</v>
      </c>
      <c r="C2628" t="s">
        <v>5299</v>
      </c>
      <c r="D2628" t="s">
        <v>33</v>
      </c>
      <c r="F2628">
        <v>-2699751082</v>
      </c>
      <c r="G2628">
        <v>-620585127</v>
      </c>
      <c r="H2628">
        <v>-1447398795</v>
      </c>
      <c r="I2628">
        <v>-818848224</v>
      </c>
      <c r="J2628">
        <v>-683534468</v>
      </c>
      <c r="K2628">
        <v>300768841</v>
      </c>
      <c r="L2628">
        <v>50240839</v>
      </c>
      <c r="M2628">
        <v>7558424</v>
      </c>
      <c r="N2628">
        <v>-79369263</v>
      </c>
      <c r="O2628">
        <v>64567653</v>
      </c>
      <c r="P2628">
        <v>329</v>
      </c>
      <c r="Q2628" t="s">
        <v>5300</v>
      </c>
    </row>
    <row r="2629" spans="1:17" x14ac:dyDescent="0.3">
      <c r="A2629" t="s">
        <v>4382</v>
      </c>
      <c r="B2629" t="str">
        <f>"000968"</f>
        <v>000968</v>
      </c>
      <c r="C2629" t="s">
        <v>5301</v>
      </c>
      <c r="D2629" t="s">
        <v>70</v>
      </c>
      <c r="F2629">
        <v>-143212715</v>
      </c>
      <c r="G2629">
        <v>-9607422</v>
      </c>
      <c r="H2629">
        <v>258767807</v>
      </c>
      <c r="I2629">
        <v>202073935</v>
      </c>
      <c r="J2629">
        <v>246877144</v>
      </c>
      <c r="K2629">
        <v>2562110796</v>
      </c>
      <c r="L2629">
        <v>-673093446</v>
      </c>
      <c r="M2629">
        <v>-1797517336</v>
      </c>
      <c r="N2629">
        <v>-1130198706</v>
      </c>
      <c r="O2629">
        <v>-1272532660</v>
      </c>
      <c r="P2629">
        <v>244</v>
      </c>
      <c r="Q2629" t="s">
        <v>5302</v>
      </c>
    </row>
    <row r="2630" spans="1:17" x14ac:dyDescent="0.3">
      <c r="A2630" t="s">
        <v>4382</v>
      </c>
      <c r="B2630" t="str">
        <f>"000969"</f>
        <v>000969</v>
      </c>
      <c r="C2630" t="s">
        <v>5303</v>
      </c>
      <c r="D2630" t="s">
        <v>234</v>
      </c>
      <c r="F2630">
        <v>-39743273</v>
      </c>
      <c r="G2630">
        <v>277354065</v>
      </c>
      <c r="H2630">
        <v>345820344</v>
      </c>
      <c r="I2630">
        <v>-172180996</v>
      </c>
      <c r="J2630">
        <v>-311094956</v>
      </c>
      <c r="K2630">
        <v>-128051659</v>
      </c>
      <c r="L2630">
        <v>-120773141</v>
      </c>
      <c r="M2630">
        <v>-200188763</v>
      </c>
      <c r="N2630">
        <v>-186081332</v>
      </c>
      <c r="O2630">
        <v>-350323674</v>
      </c>
      <c r="P2630">
        <v>224</v>
      </c>
      <c r="Q2630" t="s">
        <v>5304</v>
      </c>
    </row>
    <row r="2631" spans="1:17" x14ac:dyDescent="0.3">
      <c r="A2631" t="s">
        <v>4382</v>
      </c>
      <c r="B2631" t="str">
        <f>"000970"</f>
        <v>000970</v>
      </c>
      <c r="C2631" t="s">
        <v>5305</v>
      </c>
      <c r="D2631" t="s">
        <v>234</v>
      </c>
      <c r="F2631">
        <v>-380111398</v>
      </c>
      <c r="G2631">
        <v>60941500</v>
      </c>
      <c r="H2631">
        <v>225041250</v>
      </c>
      <c r="I2631">
        <v>60784470</v>
      </c>
      <c r="J2631">
        <v>-112216694</v>
      </c>
      <c r="K2631">
        <v>338630116</v>
      </c>
      <c r="L2631">
        <v>253858636</v>
      </c>
      <c r="M2631">
        <v>58895208</v>
      </c>
      <c r="N2631">
        <v>74963997</v>
      </c>
      <c r="O2631">
        <v>1327426307</v>
      </c>
      <c r="P2631">
        <v>365</v>
      </c>
      <c r="Q2631" t="s">
        <v>5306</v>
      </c>
    </row>
    <row r="2632" spans="1:17" x14ac:dyDescent="0.3">
      <c r="A2632" t="s">
        <v>4382</v>
      </c>
      <c r="B2632" t="str">
        <f>"000971"</f>
        <v>000971</v>
      </c>
      <c r="C2632" t="s">
        <v>5307</v>
      </c>
      <c r="D2632" t="s">
        <v>100</v>
      </c>
      <c r="F2632">
        <v>-146275377</v>
      </c>
      <c r="G2632">
        <v>-115008722</v>
      </c>
      <c r="H2632">
        <v>2409571</v>
      </c>
      <c r="I2632">
        <v>-219203194</v>
      </c>
      <c r="J2632">
        <v>-138381953</v>
      </c>
      <c r="K2632">
        <v>-29039130</v>
      </c>
      <c r="L2632">
        <v>-6797926</v>
      </c>
      <c r="M2632">
        <v>-16217753</v>
      </c>
      <c r="N2632">
        <v>472138</v>
      </c>
      <c r="O2632">
        <v>-53939947</v>
      </c>
      <c r="P2632">
        <v>74</v>
      </c>
      <c r="Q2632" t="s">
        <v>5308</v>
      </c>
    </row>
    <row r="2633" spans="1:17" x14ac:dyDescent="0.3">
      <c r="A2633" t="s">
        <v>4382</v>
      </c>
      <c r="B2633" t="str">
        <f>"000972"</f>
        <v>000972</v>
      </c>
      <c r="C2633" t="s">
        <v>5309</v>
      </c>
      <c r="D2633" t="s">
        <v>205</v>
      </c>
      <c r="F2633">
        <v>-262047538</v>
      </c>
      <c r="G2633">
        <v>-5987751</v>
      </c>
      <c r="H2633">
        <v>98748511</v>
      </c>
      <c r="I2633">
        <v>173380844</v>
      </c>
      <c r="J2633">
        <v>-96738217</v>
      </c>
      <c r="K2633">
        <v>-266579830</v>
      </c>
      <c r="L2633">
        <v>-323955090</v>
      </c>
      <c r="M2633">
        <v>-129569600</v>
      </c>
      <c r="N2633">
        <v>26812166</v>
      </c>
      <c r="O2633">
        <v>-304202361</v>
      </c>
      <c r="P2633">
        <v>78</v>
      </c>
      <c r="Q2633" t="s">
        <v>5310</v>
      </c>
    </row>
    <row r="2634" spans="1:17" x14ac:dyDescent="0.3">
      <c r="A2634" t="s">
        <v>4382</v>
      </c>
      <c r="B2634" t="str">
        <f>"000973"</f>
        <v>000973</v>
      </c>
      <c r="C2634" t="s">
        <v>5311</v>
      </c>
      <c r="D2634" t="s">
        <v>133</v>
      </c>
      <c r="F2634">
        <v>125187938</v>
      </c>
      <c r="G2634">
        <v>133649232</v>
      </c>
      <c r="H2634">
        <v>-62633812</v>
      </c>
      <c r="I2634">
        <v>711803435</v>
      </c>
      <c r="J2634">
        <v>267010619</v>
      </c>
      <c r="K2634">
        <v>71161897</v>
      </c>
      <c r="L2634">
        <v>229842348</v>
      </c>
      <c r="M2634">
        <v>73197126</v>
      </c>
      <c r="N2634">
        <v>-26455140</v>
      </c>
      <c r="O2634">
        <v>316105355</v>
      </c>
      <c r="P2634">
        <v>123</v>
      </c>
      <c r="Q2634" t="s">
        <v>5312</v>
      </c>
    </row>
    <row r="2635" spans="1:17" x14ac:dyDescent="0.3">
      <c r="A2635" t="s">
        <v>4382</v>
      </c>
      <c r="B2635" t="str">
        <f>"000975"</f>
        <v>000975</v>
      </c>
      <c r="C2635" t="s">
        <v>5313</v>
      </c>
      <c r="D2635" t="s">
        <v>234</v>
      </c>
      <c r="F2635">
        <v>1071955149</v>
      </c>
      <c r="G2635">
        <v>1445317908</v>
      </c>
      <c r="H2635">
        <v>538958660</v>
      </c>
      <c r="I2635">
        <v>395258805</v>
      </c>
      <c r="J2635">
        <v>210350552</v>
      </c>
      <c r="K2635">
        <v>102494244</v>
      </c>
      <c r="L2635">
        <v>35504842</v>
      </c>
      <c r="M2635">
        <v>-119487446</v>
      </c>
      <c r="N2635">
        <v>232505741</v>
      </c>
      <c r="O2635">
        <v>27699686</v>
      </c>
      <c r="P2635">
        <v>392</v>
      </c>
      <c r="Q2635" t="s">
        <v>5314</v>
      </c>
    </row>
    <row r="2636" spans="1:17" x14ac:dyDescent="0.3">
      <c r="A2636" t="s">
        <v>4382</v>
      </c>
      <c r="B2636" t="str">
        <f>"000976"</f>
        <v>000976</v>
      </c>
      <c r="C2636" t="s">
        <v>5315</v>
      </c>
      <c r="D2636" t="s">
        <v>78</v>
      </c>
      <c r="F2636">
        <v>-180244129</v>
      </c>
      <c r="G2636">
        <v>-243669679</v>
      </c>
      <c r="H2636">
        <v>-492483755</v>
      </c>
      <c r="I2636">
        <v>-276052991</v>
      </c>
      <c r="J2636">
        <v>5650360</v>
      </c>
      <c r="K2636">
        <v>-105138126</v>
      </c>
      <c r="L2636">
        <v>-68034655</v>
      </c>
      <c r="M2636">
        <v>77928999</v>
      </c>
      <c r="N2636">
        <v>-97710337</v>
      </c>
      <c r="O2636">
        <v>-82847418</v>
      </c>
      <c r="P2636">
        <v>146</v>
      </c>
      <c r="Q2636" t="s">
        <v>5316</v>
      </c>
    </row>
    <row r="2637" spans="1:17" x14ac:dyDescent="0.3">
      <c r="A2637" t="s">
        <v>4382</v>
      </c>
      <c r="B2637" t="str">
        <f>"000977"</f>
        <v>000977</v>
      </c>
      <c r="C2637" t="s">
        <v>5317</v>
      </c>
      <c r="D2637" t="s">
        <v>212</v>
      </c>
      <c r="F2637">
        <v>-8710189467</v>
      </c>
      <c r="G2637">
        <v>-5876138078</v>
      </c>
      <c r="H2637">
        <v>-4110650645</v>
      </c>
      <c r="I2637">
        <v>-8344518707</v>
      </c>
      <c r="J2637">
        <v>-1864297156</v>
      </c>
      <c r="K2637">
        <v>-458798627</v>
      </c>
      <c r="L2637">
        <v>-1057429348</v>
      </c>
      <c r="M2637">
        <v>-516234209</v>
      </c>
      <c r="N2637">
        <v>-971593817</v>
      </c>
      <c r="O2637">
        <v>-172096820</v>
      </c>
      <c r="P2637">
        <v>4428</v>
      </c>
      <c r="Q2637" t="s">
        <v>5318</v>
      </c>
    </row>
    <row r="2638" spans="1:17" x14ac:dyDescent="0.3">
      <c r="A2638" t="s">
        <v>4382</v>
      </c>
      <c r="B2638" t="str">
        <f>"000978"</f>
        <v>000978</v>
      </c>
      <c r="C2638" t="s">
        <v>5319</v>
      </c>
      <c r="D2638" t="s">
        <v>110</v>
      </c>
      <c r="F2638">
        <v>-27609513</v>
      </c>
      <c r="G2638">
        <v>-124836468</v>
      </c>
      <c r="H2638">
        <v>19540024</v>
      </c>
      <c r="I2638">
        <v>8641849</v>
      </c>
      <c r="J2638">
        <v>46982543</v>
      </c>
      <c r="K2638">
        <v>57809720</v>
      </c>
      <c r="L2638">
        <v>-1309998</v>
      </c>
      <c r="M2638">
        <v>-354474437</v>
      </c>
      <c r="N2638">
        <v>-46668721</v>
      </c>
      <c r="O2638">
        <v>-10814370</v>
      </c>
      <c r="P2638">
        <v>140</v>
      </c>
      <c r="Q2638" t="s">
        <v>5320</v>
      </c>
    </row>
    <row r="2639" spans="1:17" x14ac:dyDescent="0.3">
      <c r="A2639" t="s">
        <v>4382</v>
      </c>
      <c r="B2639" t="str">
        <f>"000979"</f>
        <v>000979</v>
      </c>
      <c r="C2639" t="s">
        <v>5321</v>
      </c>
      <c r="I2639">
        <v>727552447</v>
      </c>
      <c r="J2639">
        <v>759735019</v>
      </c>
      <c r="K2639">
        <v>-1606679978.5899999</v>
      </c>
      <c r="L2639">
        <v>-625604847.75999999</v>
      </c>
      <c r="M2639">
        <v>-3627842755.21</v>
      </c>
      <c r="N2639">
        <v>99026423.299999997</v>
      </c>
      <c r="O2639">
        <v>1036982766.54</v>
      </c>
      <c r="P2639">
        <v>30</v>
      </c>
      <c r="Q2639" t="s">
        <v>5322</v>
      </c>
    </row>
    <row r="2640" spans="1:17" x14ac:dyDescent="0.3">
      <c r="A2640" t="s">
        <v>4382</v>
      </c>
      <c r="B2640" t="str">
        <f>"000980"</f>
        <v>000980</v>
      </c>
      <c r="C2640" t="s">
        <v>5323</v>
      </c>
      <c r="D2640" t="s">
        <v>27</v>
      </c>
      <c r="F2640">
        <v>-211686927</v>
      </c>
      <c r="G2640">
        <v>-1679526145</v>
      </c>
      <c r="H2640">
        <v>-3562843279</v>
      </c>
      <c r="I2640">
        <v>-483703096</v>
      </c>
      <c r="J2640">
        <v>291305314</v>
      </c>
      <c r="K2640">
        <v>9027068</v>
      </c>
      <c r="L2640">
        <v>-10988857</v>
      </c>
      <c r="M2640">
        <v>-112963380</v>
      </c>
      <c r="N2640">
        <v>-95873738</v>
      </c>
      <c r="O2640">
        <v>235063682</v>
      </c>
      <c r="P2640">
        <v>161</v>
      </c>
      <c r="Q2640" t="s">
        <v>5324</v>
      </c>
    </row>
    <row r="2641" spans="1:17" x14ac:dyDescent="0.3">
      <c r="A2641" t="s">
        <v>4382</v>
      </c>
      <c r="B2641" t="str">
        <f>"000981"</f>
        <v>000981</v>
      </c>
      <c r="C2641" t="s">
        <v>5325</v>
      </c>
      <c r="D2641" t="s">
        <v>30</v>
      </c>
      <c r="F2641">
        <v>-560034782</v>
      </c>
      <c r="G2641">
        <v>-288312436</v>
      </c>
      <c r="H2641">
        <v>-154034468</v>
      </c>
      <c r="I2641">
        <v>484345514</v>
      </c>
      <c r="J2641">
        <v>276948601</v>
      </c>
      <c r="K2641">
        <v>1776583579</v>
      </c>
      <c r="L2641">
        <v>1212889785</v>
      </c>
      <c r="M2641">
        <v>-1512718939</v>
      </c>
      <c r="N2641">
        <v>-550872134</v>
      </c>
      <c r="O2641">
        <v>-681057665</v>
      </c>
      <c r="P2641">
        <v>118</v>
      </c>
      <c r="Q2641" t="s">
        <v>5326</v>
      </c>
    </row>
    <row r="2642" spans="1:17" x14ac:dyDescent="0.3">
      <c r="A2642" t="s">
        <v>4382</v>
      </c>
      <c r="B2642" t="str">
        <f>"000982"</f>
        <v>000982</v>
      </c>
      <c r="C2642" t="s">
        <v>5327</v>
      </c>
      <c r="D2642" t="s">
        <v>227</v>
      </c>
      <c r="F2642">
        <v>22841782</v>
      </c>
      <c r="G2642">
        <v>-74224564</v>
      </c>
      <c r="H2642">
        <v>-158973247</v>
      </c>
      <c r="I2642">
        <v>-23150735</v>
      </c>
      <c r="J2642">
        <v>61772607</v>
      </c>
      <c r="K2642">
        <v>-277929602</v>
      </c>
      <c r="L2642">
        <v>210177507</v>
      </c>
      <c r="M2642">
        <v>-1194533541</v>
      </c>
      <c r="N2642">
        <v>-1951077275</v>
      </c>
      <c r="O2642">
        <v>-508782943</v>
      </c>
      <c r="P2642">
        <v>83</v>
      </c>
      <c r="Q2642" t="s">
        <v>5328</v>
      </c>
    </row>
    <row r="2643" spans="1:17" x14ac:dyDescent="0.3">
      <c r="A2643" t="s">
        <v>4382</v>
      </c>
      <c r="B2643" t="str">
        <f>"000983"</f>
        <v>000983</v>
      </c>
      <c r="C2643" t="s">
        <v>5329</v>
      </c>
      <c r="D2643" t="s">
        <v>257</v>
      </c>
      <c r="F2643">
        <v>6533628863</v>
      </c>
      <c r="G2643">
        <v>2272280727</v>
      </c>
      <c r="H2643">
        <v>4494652615</v>
      </c>
      <c r="I2643">
        <v>3939786398</v>
      </c>
      <c r="J2643">
        <v>710856251</v>
      </c>
      <c r="K2643">
        <v>-481669311</v>
      </c>
      <c r="L2643">
        <v>376197944</v>
      </c>
      <c r="M2643">
        <v>244634874</v>
      </c>
      <c r="N2643">
        <v>1357445977</v>
      </c>
      <c r="O2643">
        <v>-173629796</v>
      </c>
      <c r="P2643">
        <v>688</v>
      </c>
      <c r="Q2643" t="s">
        <v>5330</v>
      </c>
    </row>
    <row r="2644" spans="1:17" x14ac:dyDescent="0.3">
      <c r="A2644" t="s">
        <v>4382</v>
      </c>
      <c r="B2644" t="str">
        <f>"000985"</f>
        <v>000985</v>
      </c>
      <c r="C2644" t="s">
        <v>5331</v>
      </c>
      <c r="D2644" t="s">
        <v>70</v>
      </c>
      <c r="F2644">
        <v>126246513</v>
      </c>
      <c r="G2644">
        <v>97014599</v>
      </c>
      <c r="H2644">
        <v>103475516</v>
      </c>
      <c r="I2644">
        <v>24739620</v>
      </c>
      <c r="J2644">
        <v>101558407</v>
      </c>
      <c r="K2644">
        <v>56750726</v>
      </c>
      <c r="L2644">
        <v>8115827</v>
      </c>
      <c r="M2644">
        <v>103288495</v>
      </c>
      <c r="N2644">
        <v>26797482</v>
      </c>
      <c r="O2644">
        <v>-13951129</v>
      </c>
      <c r="P2644">
        <v>82</v>
      </c>
      <c r="Q2644" t="s">
        <v>5332</v>
      </c>
    </row>
    <row r="2645" spans="1:17" x14ac:dyDescent="0.3">
      <c r="A2645" t="s">
        <v>4382</v>
      </c>
      <c r="B2645" t="str">
        <f>"000987"</f>
        <v>000987</v>
      </c>
      <c r="C2645" t="s">
        <v>5333</v>
      </c>
      <c r="D2645" t="s">
        <v>75</v>
      </c>
      <c r="F2645">
        <v>-5829386358</v>
      </c>
      <c r="G2645">
        <v>-3180237240</v>
      </c>
      <c r="H2645">
        <v>587867628</v>
      </c>
      <c r="I2645">
        <v>-2227425110</v>
      </c>
      <c r="J2645">
        <v>-9315439919</v>
      </c>
      <c r="K2645">
        <v>-5942384602</v>
      </c>
      <c r="L2645">
        <v>-208849502</v>
      </c>
      <c r="M2645">
        <v>-182005068</v>
      </c>
      <c r="N2645">
        <v>43235708</v>
      </c>
      <c r="O2645">
        <v>144591106</v>
      </c>
      <c r="P2645">
        <v>520</v>
      </c>
      <c r="Q2645" t="s">
        <v>5334</v>
      </c>
    </row>
    <row r="2646" spans="1:17" x14ac:dyDescent="0.3">
      <c r="A2646" t="s">
        <v>4382</v>
      </c>
      <c r="B2646" t="str">
        <f>"000988"</f>
        <v>000988</v>
      </c>
      <c r="C2646" t="s">
        <v>5335</v>
      </c>
      <c r="D2646" t="s">
        <v>78</v>
      </c>
      <c r="F2646">
        <v>-434249346</v>
      </c>
      <c r="G2646">
        <v>-229272413</v>
      </c>
      <c r="H2646">
        <v>-99941816</v>
      </c>
      <c r="I2646">
        <v>-253262156</v>
      </c>
      <c r="J2646">
        <v>-192982281</v>
      </c>
      <c r="K2646">
        <v>-16202944</v>
      </c>
      <c r="L2646">
        <v>-69907882</v>
      </c>
      <c r="M2646">
        <v>4506793</v>
      </c>
      <c r="N2646">
        <v>-147342790</v>
      </c>
      <c r="O2646">
        <v>-208275373</v>
      </c>
      <c r="P2646">
        <v>711</v>
      </c>
      <c r="Q2646" t="s">
        <v>5336</v>
      </c>
    </row>
    <row r="2647" spans="1:17" x14ac:dyDescent="0.3">
      <c r="A2647" t="s">
        <v>4382</v>
      </c>
      <c r="B2647" t="str">
        <f>"000989"</f>
        <v>000989</v>
      </c>
      <c r="C2647" t="s">
        <v>5337</v>
      </c>
      <c r="D2647" t="s">
        <v>113</v>
      </c>
      <c r="F2647">
        <v>289582184</v>
      </c>
      <c r="G2647">
        <v>446032327</v>
      </c>
      <c r="H2647">
        <v>498109196</v>
      </c>
      <c r="I2647">
        <v>214134322</v>
      </c>
      <c r="J2647">
        <v>86911757</v>
      </c>
      <c r="K2647">
        <v>427075569</v>
      </c>
      <c r="L2647">
        <v>57482460</v>
      </c>
      <c r="M2647">
        <v>74825219</v>
      </c>
      <c r="N2647">
        <v>-112791700</v>
      </c>
      <c r="O2647">
        <v>5099384</v>
      </c>
      <c r="P2647">
        <v>370</v>
      </c>
      <c r="Q2647" t="s">
        <v>5338</v>
      </c>
    </row>
    <row r="2648" spans="1:17" x14ac:dyDescent="0.3">
      <c r="A2648" t="s">
        <v>4382</v>
      </c>
      <c r="B2648" t="str">
        <f>"000990"</f>
        <v>000990</v>
      </c>
      <c r="C2648" t="s">
        <v>5339</v>
      </c>
      <c r="D2648" t="s">
        <v>133</v>
      </c>
      <c r="F2648">
        <v>1491954339</v>
      </c>
      <c r="G2648">
        <v>421904138</v>
      </c>
      <c r="H2648">
        <v>-351461016</v>
      </c>
      <c r="I2648">
        <v>-59610346</v>
      </c>
      <c r="J2648">
        <v>876365241</v>
      </c>
      <c r="K2648">
        <v>-343071492</v>
      </c>
      <c r="L2648">
        <v>-323925664</v>
      </c>
      <c r="M2648">
        <v>-236188479</v>
      </c>
      <c r="N2648">
        <v>-165593851</v>
      </c>
      <c r="O2648">
        <v>-22888170</v>
      </c>
      <c r="P2648">
        <v>194</v>
      </c>
      <c r="Q2648" t="s">
        <v>5340</v>
      </c>
    </row>
    <row r="2649" spans="1:17" x14ac:dyDescent="0.3">
      <c r="A2649" t="s">
        <v>4382</v>
      </c>
      <c r="B2649" t="str">
        <f>"000993"</f>
        <v>000993</v>
      </c>
      <c r="C2649" t="s">
        <v>5341</v>
      </c>
      <c r="D2649" t="s">
        <v>41</v>
      </c>
      <c r="F2649">
        <v>419821451</v>
      </c>
      <c r="G2649">
        <v>323771890</v>
      </c>
      <c r="H2649">
        <v>115154029</v>
      </c>
      <c r="I2649">
        <v>-225588144</v>
      </c>
      <c r="J2649">
        <v>20600231</v>
      </c>
      <c r="K2649">
        <v>192899163</v>
      </c>
      <c r="L2649">
        <v>-71030119</v>
      </c>
      <c r="M2649">
        <v>26788319</v>
      </c>
      <c r="N2649">
        <v>-39939726</v>
      </c>
      <c r="O2649">
        <v>-80632424</v>
      </c>
      <c r="P2649">
        <v>163</v>
      </c>
      <c r="Q2649" t="s">
        <v>5342</v>
      </c>
    </row>
    <row r="2650" spans="1:17" x14ac:dyDescent="0.3">
      <c r="A2650" t="s">
        <v>4382</v>
      </c>
      <c r="B2650" t="str">
        <f>"000995"</f>
        <v>000995</v>
      </c>
      <c r="C2650" t="s">
        <v>5343</v>
      </c>
      <c r="D2650" t="s">
        <v>123</v>
      </c>
      <c r="F2650">
        <v>-20717608</v>
      </c>
      <c r="G2650">
        <v>-16802856</v>
      </c>
      <c r="H2650">
        <v>-29023413</v>
      </c>
      <c r="I2650">
        <v>-312231</v>
      </c>
      <c r="J2650">
        <v>-24289320</v>
      </c>
      <c r="K2650">
        <v>-50392743</v>
      </c>
      <c r="L2650">
        <v>9588419</v>
      </c>
      <c r="M2650">
        <v>-38188673</v>
      </c>
      <c r="N2650">
        <v>11183696</v>
      </c>
      <c r="O2650">
        <v>-6628689</v>
      </c>
      <c r="P2650">
        <v>175</v>
      </c>
      <c r="Q2650" t="s">
        <v>5344</v>
      </c>
    </row>
    <row r="2651" spans="1:17" x14ac:dyDescent="0.3">
      <c r="A2651" t="s">
        <v>4382</v>
      </c>
      <c r="B2651" t="str">
        <f>"000996"</f>
        <v>000996</v>
      </c>
      <c r="C2651" t="s">
        <v>5345</v>
      </c>
      <c r="D2651" t="s">
        <v>27</v>
      </c>
      <c r="F2651">
        <v>296494</v>
      </c>
      <c r="G2651">
        <v>-9922443</v>
      </c>
      <c r="H2651">
        <v>11275433</v>
      </c>
      <c r="I2651">
        <v>-18981308</v>
      </c>
      <c r="J2651">
        <v>9990316</v>
      </c>
      <c r="K2651">
        <v>-3669681</v>
      </c>
      <c r="L2651">
        <v>-8109613</v>
      </c>
      <c r="M2651">
        <v>-2779560</v>
      </c>
      <c r="N2651">
        <v>-3312217</v>
      </c>
      <c r="O2651">
        <v>-2933701</v>
      </c>
      <c r="P2651">
        <v>70</v>
      </c>
      <c r="Q2651" t="s">
        <v>5346</v>
      </c>
    </row>
    <row r="2652" spans="1:17" x14ac:dyDescent="0.3">
      <c r="A2652" t="s">
        <v>4382</v>
      </c>
      <c r="B2652" t="str">
        <f>"000997"</f>
        <v>000997</v>
      </c>
      <c r="C2652" t="s">
        <v>5347</v>
      </c>
      <c r="D2652" t="s">
        <v>212</v>
      </c>
      <c r="F2652">
        <v>576471028</v>
      </c>
      <c r="G2652">
        <v>31830040</v>
      </c>
      <c r="H2652">
        <v>-138538205</v>
      </c>
      <c r="I2652">
        <v>-182211231</v>
      </c>
      <c r="J2652">
        <v>-532948357</v>
      </c>
      <c r="K2652">
        <v>218860427</v>
      </c>
      <c r="L2652">
        <v>289760292</v>
      </c>
      <c r="M2652">
        <v>120243362</v>
      </c>
      <c r="N2652">
        <v>139290102</v>
      </c>
      <c r="O2652">
        <v>-39174943</v>
      </c>
      <c r="P2652">
        <v>581</v>
      </c>
      <c r="Q2652" t="s">
        <v>5348</v>
      </c>
    </row>
    <row r="2653" spans="1:17" x14ac:dyDescent="0.3">
      <c r="A2653" t="s">
        <v>4382</v>
      </c>
      <c r="B2653" t="str">
        <f>"000998"</f>
        <v>000998</v>
      </c>
      <c r="C2653" t="s">
        <v>5349</v>
      </c>
      <c r="D2653" t="s">
        <v>205</v>
      </c>
      <c r="F2653">
        <v>306394659</v>
      </c>
      <c r="G2653">
        <v>475179761</v>
      </c>
      <c r="H2653">
        <v>-472090682</v>
      </c>
      <c r="I2653">
        <v>-572648322</v>
      </c>
      <c r="J2653">
        <v>-102902845</v>
      </c>
      <c r="K2653">
        <v>-87838453</v>
      </c>
      <c r="L2653">
        <v>-277308327</v>
      </c>
      <c r="M2653">
        <v>-341900898</v>
      </c>
      <c r="N2653">
        <v>-246622296</v>
      </c>
      <c r="O2653">
        <v>-141121037</v>
      </c>
      <c r="P2653">
        <v>649</v>
      </c>
      <c r="Q2653" t="s">
        <v>5350</v>
      </c>
    </row>
    <row r="2654" spans="1:17" x14ac:dyDescent="0.3">
      <c r="A2654" t="s">
        <v>4382</v>
      </c>
      <c r="B2654" t="str">
        <f>"000999"</f>
        <v>000999</v>
      </c>
      <c r="C2654" t="s">
        <v>5351</v>
      </c>
      <c r="D2654" t="s">
        <v>113</v>
      </c>
      <c r="F2654">
        <v>856630263</v>
      </c>
      <c r="G2654">
        <v>1152254258</v>
      </c>
      <c r="H2654">
        <v>1209717544</v>
      </c>
      <c r="I2654">
        <v>1088907147</v>
      </c>
      <c r="J2654">
        <v>960703690</v>
      </c>
      <c r="K2654">
        <v>759235554</v>
      </c>
      <c r="L2654">
        <v>707775023</v>
      </c>
      <c r="M2654">
        <v>585379624</v>
      </c>
      <c r="N2654">
        <v>733871795</v>
      </c>
      <c r="O2654">
        <v>472836186</v>
      </c>
      <c r="P2654">
        <v>5775</v>
      </c>
      <c r="Q2654" t="s">
        <v>5352</v>
      </c>
    </row>
    <row r="2655" spans="1:17" x14ac:dyDescent="0.3">
      <c r="A2655" t="s">
        <v>4382</v>
      </c>
      <c r="B2655" t="str">
        <f>"001201"</f>
        <v>001201</v>
      </c>
      <c r="C2655" t="s">
        <v>5353</v>
      </c>
      <c r="D2655" t="s">
        <v>205</v>
      </c>
      <c r="F2655">
        <v>-452179929</v>
      </c>
      <c r="P2655">
        <v>61</v>
      </c>
      <c r="Q2655" t="s">
        <v>5354</v>
      </c>
    </row>
    <row r="2656" spans="1:17" x14ac:dyDescent="0.3">
      <c r="A2656" t="s">
        <v>4382</v>
      </c>
      <c r="B2656" t="str">
        <f>"001202"</f>
        <v>001202</v>
      </c>
      <c r="C2656" t="s">
        <v>5355</v>
      </c>
      <c r="D2656" t="s">
        <v>22</v>
      </c>
      <c r="F2656">
        <v>-174653202</v>
      </c>
      <c r="P2656">
        <v>32</v>
      </c>
      <c r="Q2656" t="s">
        <v>5356</v>
      </c>
    </row>
    <row r="2657" spans="1:17" x14ac:dyDescent="0.3">
      <c r="A2657" t="s">
        <v>4382</v>
      </c>
      <c r="B2657" t="str">
        <f>"001203"</f>
        <v>001203</v>
      </c>
      <c r="C2657" t="s">
        <v>5357</v>
      </c>
      <c r="D2657" t="s">
        <v>38</v>
      </c>
      <c r="F2657">
        <v>1478180167</v>
      </c>
      <c r="P2657">
        <v>80</v>
      </c>
      <c r="Q2657" t="s">
        <v>5358</v>
      </c>
    </row>
    <row r="2658" spans="1:17" x14ac:dyDescent="0.3">
      <c r="A2658" t="s">
        <v>4382</v>
      </c>
      <c r="B2658" t="str">
        <f>"001205"</f>
        <v>001205</v>
      </c>
      <c r="C2658" t="s">
        <v>5359</v>
      </c>
      <c r="D2658" t="s">
        <v>22</v>
      </c>
      <c r="F2658">
        <v>-73363110</v>
      </c>
      <c r="P2658">
        <v>44</v>
      </c>
      <c r="Q2658" t="s">
        <v>5360</v>
      </c>
    </row>
    <row r="2659" spans="1:17" x14ac:dyDescent="0.3">
      <c r="A2659" t="s">
        <v>4382</v>
      </c>
      <c r="B2659" t="str">
        <f>"001206"</f>
        <v>001206</v>
      </c>
      <c r="C2659" t="s">
        <v>5361</v>
      </c>
      <c r="D2659" t="s">
        <v>481</v>
      </c>
      <c r="F2659">
        <v>-161261956</v>
      </c>
      <c r="P2659">
        <v>53</v>
      </c>
      <c r="Q2659" t="s">
        <v>5362</v>
      </c>
    </row>
    <row r="2660" spans="1:17" x14ac:dyDescent="0.3">
      <c r="A2660" t="s">
        <v>4382</v>
      </c>
      <c r="B2660" t="str">
        <f>"001207"</f>
        <v>001207</v>
      </c>
      <c r="C2660" t="s">
        <v>5363</v>
      </c>
      <c r="D2660" t="s">
        <v>133</v>
      </c>
      <c r="F2660">
        <v>-80679238</v>
      </c>
      <c r="P2660">
        <v>25</v>
      </c>
      <c r="Q2660" t="s">
        <v>5364</v>
      </c>
    </row>
    <row r="2661" spans="1:17" x14ac:dyDescent="0.3">
      <c r="A2661" t="s">
        <v>4382</v>
      </c>
      <c r="B2661" t="str">
        <f>"001208"</f>
        <v>001208</v>
      </c>
      <c r="C2661" t="s">
        <v>5365</v>
      </c>
      <c r="D2661" t="s">
        <v>188</v>
      </c>
      <c r="F2661">
        <v>-673983412</v>
      </c>
      <c r="P2661">
        <v>66</v>
      </c>
      <c r="Q2661" t="s">
        <v>5366</v>
      </c>
    </row>
    <row r="2662" spans="1:17" x14ac:dyDescent="0.3">
      <c r="A2662" t="s">
        <v>4382</v>
      </c>
      <c r="B2662" t="str">
        <f>"001209"</f>
        <v>001209</v>
      </c>
      <c r="C2662" t="s">
        <v>5367</v>
      </c>
      <c r="D2662" t="s">
        <v>227</v>
      </c>
      <c r="F2662">
        <v>-192475168</v>
      </c>
      <c r="P2662">
        <v>22</v>
      </c>
      <c r="Q2662" t="s">
        <v>5368</v>
      </c>
    </row>
    <row r="2663" spans="1:17" x14ac:dyDescent="0.3">
      <c r="A2663" t="s">
        <v>4382</v>
      </c>
      <c r="B2663" t="str">
        <f>"001210"</f>
        <v>001210</v>
      </c>
      <c r="C2663" t="s">
        <v>5369</v>
      </c>
      <c r="D2663" t="s">
        <v>41</v>
      </c>
      <c r="F2663">
        <v>-176201587</v>
      </c>
      <c r="P2663">
        <v>27</v>
      </c>
      <c r="Q2663" t="s">
        <v>5370</v>
      </c>
    </row>
    <row r="2664" spans="1:17" x14ac:dyDescent="0.3">
      <c r="A2664" t="s">
        <v>4382</v>
      </c>
      <c r="B2664" t="str">
        <f>"001211"</f>
        <v>001211</v>
      </c>
      <c r="C2664" t="s">
        <v>5371</v>
      </c>
      <c r="D2664" t="s">
        <v>161</v>
      </c>
      <c r="F2664">
        <v>-81796796</v>
      </c>
      <c r="P2664">
        <v>13</v>
      </c>
      <c r="Q2664" t="s">
        <v>5372</v>
      </c>
    </row>
    <row r="2665" spans="1:17" x14ac:dyDescent="0.3">
      <c r="A2665" t="s">
        <v>4382</v>
      </c>
      <c r="B2665" t="str">
        <f>"001212"</f>
        <v>001212</v>
      </c>
      <c r="C2665" t="s">
        <v>5373</v>
      </c>
      <c r="D2665" t="s">
        <v>350</v>
      </c>
      <c r="F2665">
        <v>10743399</v>
      </c>
      <c r="P2665">
        <v>19</v>
      </c>
      <c r="Q2665" t="s">
        <v>5374</v>
      </c>
    </row>
    <row r="2666" spans="1:17" x14ac:dyDescent="0.3">
      <c r="A2666" t="s">
        <v>4382</v>
      </c>
      <c r="B2666" t="str">
        <f>"001213"</f>
        <v>001213</v>
      </c>
      <c r="C2666" t="s">
        <v>5375</v>
      </c>
      <c r="D2666" t="s">
        <v>22</v>
      </c>
      <c r="F2666">
        <v>741617570</v>
      </c>
      <c r="P2666">
        <v>27</v>
      </c>
      <c r="Q2666" t="s">
        <v>5376</v>
      </c>
    </row>
    <row r="2667" spans="1:17" x14ac:dyDescent="0.3">
      <c r="A2667" t="s">
        <v>4382</v>
      </c>
      <c r="B2667" t="str">
        <f>"001215"</f>
        <v>001215</v>
      </c>
      <c r="C2667" t="s">
        <v>5377</v>
      </c>
      <c r="D2667" t="s">
        <v>123</v>
      </c>
      <c r="F2667">
        <v>-113278489</v>
      </c>
      <c r="P2667">
        <v>59</v>
      </c>
      <c r="Q2667" t="s">
        <v>5378</v>
      </c>
    </row>
    <row r="2668" spans="1:17" x14ac:dyDescent="0.3">
      <c r="A2668" t="s">
        <v>4382</v>
      </c>
      <c r="B2668" t="str">
        <f>"001216"</f>
        <v>001216</v>
      </c>
      <c r="C2668" t="s">
        <v>5379</v>
      </c>
      <c r="D2668" t="s">
        <v>161</v>
      </c>
      <c r="F2668">
        <v>-101819433</v>
      </c>
      <c r="P2668">
        <v>19</v>
      </c>
      <c r="Q2668" t="s">
        <v>5380</v>
      </c>
    </row>
    <row r="2669" spans="1:17" x14ac:dyDescent="0.3">
      <c r="A2669" t="s">
        <v>4382</v>
      </c>
      <c r="B2669" t="str">
        <f>"001217"</f>
        <v>001217</v>
      </c>
      <c r="C2669" t="s">
        <v>5381</v>
      </c>
      <c r="D2669" t="s">
        <v>133</v>
      </c>
      <c r="F2669">
        <v>69805013</v>
      </c>
      <c r="P2669">
        <v>27</v>
      </c>
      <c r="Q2669" t="s">
        <v>5382</v>
      </c>
    </row>
    <row r="2670" spans="1:17" x14ac:dyDescent="0.3">
      <c r="A2670" t="s">
        <v>4382</v>
      </c>
      <c r="B2670" t="str">
        <f>"001218"</f>
        <v>001218</v>
      </c>
      <c r="C2670" t="s">
        <v>5383</v>
      </c>
      <c r="D2670" t="s">
        <v>133</v>
      </c>
      <c r="F2670">
        <v>-18463901</v>
      </c>
      <c r="G2670">
        <v>-113179466</v>
      </c>
      <c r="P2670">
        <v>15</v>
      </c>
      <c r="Q2670" t="s">
        <v>5384</v>
      </c>
    </row>
    <row r="2671" spans="1:17" x14ac:dyDescent="0.3">
      <c r="A2671" t="s">
        <v>4382</v>
      </c>
      <c r="B2671" t="str">
        <f>"001219"</f>
        <v>001219</v>
      </c>
      <c r="C2671" t="s">
        <v>5385</v>
      </c>
      <c r="D2671" t="s">
        <v>123</v>
      </c>
      <c r="F2671">
        <v>36416487</v>
      </c>
      <c r="P2671">
        <v>33</v>
      </c>
      <c r="Q2671" t="s">
        <v>5386</v>
      </c>
    </row>
    <row r="2672" spans="1:17" x14ac:dyDescent="0.3">
      <c r="A2672" t="s">
        <v>4382</v>
      </c>
      <c r="B2672" t="str">
        <f>"001227"</f>
        <v>001227</v>
      </c>
      <c r="C2672" t="s">
        <v>5387</v>
      </c>
      <c r="D2672" t="s">
        <v>19</v>
      </c>
      <c r="F2672">
        <v>9340035159</v>
      </c>
      <c r="G2672">
        <v>2398555768</v>
      </c>
      <c r="P2672">
        <v>31</v>
      </c>
      <c r="Q2672" t="s">
        <v>5388</v>
      </c>
    </row>
    <row r="2673" spans="1:17" x14ac:dyDescent="0.3">
      <c r="A2673" t="s">
        <v>4382</v>
      </c>
      <c r="B2673" t="str">
        <f>"001234"</f>
        <v>001234</v>
      </c>
      <c r="C2673" t="s">
        <v>5389</v>
      </c>
      <c r="D2673" t="s">
        <v>227</v>
      </c>
      <c r="F2673">
        <v>19397395</v>
      </c>
      <c r="G2673">
        <v>72039148</v>
      </c>
      <c r="P2673">
        <v>16</v>
      </c>
      <c r="Q2673" t="s">
        <v>5390</v>
      </c>
    </row>
    <row r="2674" spans="1:17" x14ac:dyDescent="0.3">
      <c r="A2674" t="s">
        <v>4382</v>
      </c>
      <c r="B2674" t="str">
        <f>"001267"</f>
        <v>001267</v>
      </c>
      <c r="C2674" t="s">
        <v>5391</v>
      </c>
      <c r="D2674" t="s">
        <v>95</v>
      </c>
      <c r="F2674">
        <v>-221234339</v>
      </c>
      <c r="P2674">
        <v>10</v>
      </c>
      <c r="Q2674" t="s">
        <v>5392</v>
      </c>
    </row>
    <row r="2675" spans="1:17" x14ac:dyDescent="0.3">
      <c r="A2675" t="s">
        <v>4382</v>
      </c>
      <c r="B2675" t="str">
        <f>"001288"</f>
        <v>001288</v>
      </c>
      <c r="C2675" t="s">
        <v>5393</v>
      </c>
      <c r="D2675" t="s">
        <v>78</v>
      </c>
      <c r="F2675">
        <v>40758431</v>
      </c>
      <c r="P2675">
        <v>14</v>
      </c>
      <c r="Q2675" t="s">
        <v>5394</v>
      </c>
    </row>
    <row r="2676" spans="1:17" x14ac:dyDescent="0.3">
      <c r="A2676" t="s">
        <v>4382</v>
      </c>
      <c r="B2676" t="str">
        <f>"001296"</f>
        <v>001296</v>
      </c>
      <c r="C2676" t="s">
        <v>5395</v>
      </c>
      <c r="D2676" t="s">
        <v>133</v>
      </c>
      <c r="F2676">
        <v>-17111466</v>
      </c>
      <c r="G2676">
        <v>-16609700</v>
      </c>
      <c r="P2676">
        <v>15</v>
      </c>
      <c r="Q2676" t="s">
        <v>5396</v>
      </c>
    </row>
    <row r="2677" spans="1:17" x14ac:dyDescent="0.3">
      <c r="A2677" t="s">
        <v>4382</v>
      </c>
      <c r="B2677" t="str">
        <f>"001313"</f>
        <v>001313</v>
      </c>
      <c r="C2677" t="s">
        <v>5397</v>
      </c>
      <c r="F2677">
        <v>92979908</v>
      </c>
      <c r="G2677">
        <v>-824315612</v>
      </c>
      <c r="P2677">
        <v>10</v>
      </c>
      <c r="Q2677" t="s">
        <v>5398</v>
      </c>
    </row>
    <row r="2678" spans="1:17" x14ac:dyDescent="0.3">
      <c r="A2678" t="s">
        <v>4382</v>
      </c>
      <c r="B2678" t="str">
        <f>"001317"</f>
        <v>001317</v>
      </c>
      <c r="C2678" t="s">
        <v>5399</v>
      </c>
      <c r="D2678" t="s">
        <v>22</v>
      </c>
      <c r="F2678">
        <v>-81377642</v>
      </c>
      <c r="P2678">
        <v>23</v>
      </c>
      <c r="Q2678" t="s">
        <v>5400</v>
      </c>
    </row>
    <row r="2679" spans="1:17" x14ac:dyDescent="0.3">
      <c r="A2679" t="s">
        <v>4382</v>
      </c>
      <c r="B2679" t="str">
        <f>"001696"</f>
        <v>001696</v>
      </c>
      <c r="C2679" t="s">
        <v>5401</v>
      </c>
      <c r="D2679" t="s">
        <v>78</v>
      </c>
      <c r="F2679">
        <v>-82458280</v>
      </c>
      <c r="G2679">
        <v>433336176</v>
      </c>
      <c r="H2679">
        <v>574972438</v>
      </c>
      <c r="I2679">
        <v>-292174557</v>
      </c>
      <c r="J2679">
        <v>-684767673</v>
      </c>
      <c r="K2679">
        <v>-48936510</v>
      </c>
      <c r="L2679">
        <v>-152096791</v>
      </c>
      <c r="M2679">
        <v>-27814905</v>
      </c>
      <c r="N2679">
        <v>115390051</v>
      </c>
      <c r="O2679">
        <v>89745251</v>
      </c>
      <c r="P2679">
        <v>274</v>
      </c>
      <c r="Q2679" t="s">
        <v>5402</v>
      </c>
    </row>
    <row r="2680" spans="1:17" x14ac:dyDescent="0.3">
      <c r="A2680" t="s">
        <v>4382</v>
      </c>
      <c r="B2680" t="str">
        <f>"001872"</f>
        <v>001872</v>
      </c>
      <c r="C2680" t="s">
        <v>5403</v>
      </c>
      <c r="D2680" t="s">
        <v>22</v>
      </c>
      <c r="F2680">
        <v>3198353473</v>
      </c>
      <c r="G2680">
        <v>2253955671</v>
      </c>
      <c r="H2680">
        <v>7641251211</v>
      </c>
      <c r="I2680">
        <v>436871574</v>
      </c>
      <c r="J2680">
        <v>782055912</v>
      </c>
      <c r="K2680">
        <v>476074168</v>
      </c>
      <c r="L2680">
        <v>551863433</v>
      </c>
      <c r="M2680">
        <v>385050004</v>
      </c>
      <c r="N2680">
        <v>339161794</v>
      </c>
      <c r="O2680">
        <v>150738372</v>
      </c>
      <c r="P2680">
        <v>254</v>
      </c>
      <c r="Q2680" t="s">
        <v>5404</v>
      </c>
    </row>
    <row r="2681" spans="1:17" x14ac:dyDescent="0.3">
      <c r="A2681" t="s">
        <v>4382</v>
      </c>
      <c r="B2681" t="str">
        <f>"001896"</f>
        <v>001896</v>
      </c>
      <c r="C2681" t="s">
        <v>5405</v>
      </c>
      <c r="D2681" t="s">
        <v>41</v>
      </c>
      <c r="F2681">
        <v>88056120</v>
      </c>
      <c r="G2681">
        <v>-198481028</v>
      </c>
      <c r="H2681">
        <v>709966715</v>
      </c>
      <c r="I2681">
        <v>-524795054</v>
      </c>
      <c r="J2681">
        <v>2421284</v>
      </c>
      <c r="K2681">
        <v>42085741</v>
      </c>
      <c r="L2681">
        <v>-698313087</v>
      </c>
      <c r="M2681">
        <v>859632216</v>
      </c>
      <c r="N2681">
        <v>695031035</v>
      </c>
      <c r="O2681">
        <v>886392757</v>
      </c>
      <c r="P2681">
        <v>202</v>
      </c>
      <c r="Q2681" t="s">
        <v>5406</v>
      </c>
    </row>
    <row r="2682" spans="1:17" x14ac:dyDescent="0.3">
      <c r="A2682" t="s">
        <v>4382</v>
      </c>
      <c r="B2682" t="str">
        <f>"001914"</f>
        <v>001914</v>
      </c>
      <c r="C2682" t="s">
        <v>5407</v>
      </c>
      <c r="D2682" t="s">
        <v>30</v>
      </c>
      <c r="F2682">
        <v>-290422646</v>
      </c>
      <c r="G2682">
        <v>-310097310</v>
      </c>
      <c r="H2682">
        <v>-409186176</v>
      </c>
      <c r="I2682">
        <v>713372537</v>
      </c>
      <c r="J2682">
        <v>1617715603</v>
      </c>
      <c r="K2682">
        <v>995987202</v>
      </c>
      <c r="L2682">
        <v>-598674597</v>
      </c>
      <c r="M2682">
        <v>-2765691128</v>
      </c>
      <c r="N2682">
        <v>-1608739473</v>
      </c>
      <c r="O2682">
        <v>-809744344</v>
      </c>
      <c r="P2682">
        <v>265</v>
      </c>
      <c r="Q2682" t="s">
        <v>5408</v>
      </c>
    </row>
    <row r="2683" spans="1:17" x14ac:dyDescent="0.3">
      <c r="A2683" t="s">
        <v>4382</v>
      </c>
      <c r="B2683" t="str">
        <f>"001965"</f>
        <v>001965</v>
      </c>
      <c r="C2683" t="s">
        <v>5409</v>
      </c>
      <c r="D2683" t="s">
        <v>22</v>
      </c>
      <c r="F2683">
        <v>2875946984</v>
      </c>
      <c r="G2683">
        <v>468088728</v>
      </c>
      <c r="H2683">
        <v>1720457664</v>
      </c>
      <c r="I2683">
        <v>1569386732</v>
      </c>
      <c r="J2683">
        <v>1863011422</v>
      </c>
      <c r="K2683">
        <v>2412661000</v>
      </c>
      <c r="P2683">
        <v>361</v>
      </c>
      <c r="Q2683" t="s">
        <v>5410</v>
      </c>
    </row>
    <row r="2684" spans="1:17" x14ac:dyDescent="0.3">
      <c r="A2684" t="s">
        <v>4382</v>
      </c>
      <c r="B2684" t="str">
        <f>"001979"</f>
        <v>001979</v>
      </c>
      <c r="C2684" t="s">
        <v>5411</v>
      </c>
      <c r="D2684" t="s">
        <v>30</v>
      </c>
      <c r="F2684">
        <v>1659796055</v>
      </c>
      <c r="G2684">
        <v>7030703905</v>
      </c>
      <c r="H2684">
        <v>3861939097</v>
      </c>
      <c r="I2684">
        <v>-6871150594</v>
      </c>
      <c r="J2684">
        <v>-15773340731</v>
      </c>
      <c r="K2684">
        <v>-5678598893</v>
      </c>
      <c r="L2684">
        <v>-4974285556</v>
      </c>
      <c r="M2684">
        <v>-5418538399</v>
      </c>
      <c r="P2684">
        <v>1456</v>
      </c>
      <c r="Q2684" t="s">
        <v>5412</v>
      </c>
    </row>
    <row r="2685" spans="1:17" x14ac:dyDescent="0.3">
      <c r="A2685" t="s">
        <v>4382</v>
      </c>
      <c r="B2685" t="str">
        <f>"002001"</f>
        <v>002001</v>
      </c>
      <c r="C2685" t="s">
        <v>5413</v>
      </c>
      <c r="D2685" t="s">
        <v>113</v>
      </c>
      <c r="F2685">
        <v>1677673982</v>
      </c>
      <c r="G2685">
        <v>544890064</v>
      </c>
      <c r="H2685">
        <v>-1925806653</v>
      </c>
      <c r="I2685">
        <v>-595618582</v>
      </c>
      <c r="J2685">
        <v>263976457</v>
      </c>
      <c r="K2685">
        <v>-26867179</v>
      </c>
      <c r="L2685">
        <v>-103795894</v>
      </c>
      <c r="M2685">
        <v>468467061</v>
      </c>
      <c r="N2685">
        <v>234063657</v>
      </c>
      <c r="O2685">
        <v>266897135</v>
      </c>
      <c r="P2685">
        <v>1982</v>
      </c>
      <c r="Q2685" t="s">
        <v>5414</v>
      </c>
    </row>
    <row r="2686" spans="1:17" x14ac:dyDescent="0.3">
      <c r="A2686" t="s">
        <v>4382</v>
      </c>
      <c r="B2686" t="str">
        <f>"002002"</f>
        <v>002002</v>
      </c>
      <c r="C2686" t="s">
        <v>5415</v>
      </c>
      <c r="D2686" t="s">
        <v>133</v>
      </c>
      <c r="F2686">
        <v>-75629046</v>
      </c>
      <c r="G2686">
        <v>-1213716590</v>
      </c>
      <c r="H2686">
        <v>984514600</v>
      </c>
      <c r="I2686">
        <v>621987325</v>
      </c>
      <c r="J2686">
        <v>241969465</v>
      </c>
      <c r="K2686">
        <v>-119890485</v>
      </c>
      <c r="L2686">
        <v>32832081</v>
      </c>
      <c r="M2686">
        <v>-705120026</v>
      </c>
      <c r="N2686">
        <v>-1053465676</v>
      </c>
      <c r="O2686">
        <v>-2723672</v>
      </c>
      <c r="P2686">
        <v>451</v>
      </c>
      <c r="Q2686" t="s">
        <v>5416</v>
      </c>
    </row>
    <row r="2687" spans="1:17" x14ac:dyDescent="0.3">
      <c r="A2687" t="s">
        <v>4382</v>
      </c>
      <c r="B2687" t="str">
        <f>"002003"</f>
        <v>002003</v>
      </c>
      <c r="C2687" t="s">
        <v>5417</v>
      </c>
      <c r="D2687" t="s">
        <v>227</v>
      </c>
      <c r="F2687">
        <v>49788586</v>
      </c>
      <c r="G2687">
        <v>171620003</v>
      </c>
      <c r="H2687">
        <v>116943654</v>
      </c>
      <c r="I2687">
        <v>6239315</v>
      </c>
      <c r="J2687">
        <v>-34633344</v>
      </c>
      <c r="K2687">
        <v>53567239</v>
      </c>
      <c r="L2687">
        <v>29197834</v>
      </c>
      <c r="M2687">
        <v>63799039</v>
      </c>
      <c r="N2687">
        <v>44454846</v>
      </c>
      <c r="O2687">
        <v>50963386</v>
      </c>
      <c r="P2687">
        <v>761</v>
      </c>
      <c r="Q2687" t="s">
        <v>5418</v>
      </c>
    </row>
    <row r="2688" spans="1:17" x14ac:dyDescent="0.3">
      <c r="A2688" t="s">
        <v>4382</v>
      </c>
      <c r="B2688" t="str">
        <f>"002004"</f>
        <v>002004</v>
      </c>
      <c r="C2688" t="s">
        <v>5419</v>
      </c>
      <c r="D2688" t="s">
        <v>113</v>
      </c>
      <c r="F2688">
        <v>-24892546</v>
      </c>
      <c r="G2688">
        <v>760159660</v>
      </c>
      <c r="H2688">
        <v>371796764</v>
      </c>
      <c r="I2688">
        <v>374391540</v>
      </c>
      <c r="J2688">
        <v>-764720267</v>
      </c>
      <c r="K2688">
        <v>-226868399</v>
      </c>
      <c r="L2688">
        <v>-279058214</v>
      </c>
      <c r="M2688">
        <v>123971120</v>
      </c>
      <c r="N2688">
        <v>2971086</v>
      </c>
      <c r="O2688">
        <v>103839038</v>
      </c>
      <c r="P2688">
        <v>328</v>
      </c>
      <c r="Q2688" t="s">
        <v>5420</v>
      </c>
    </row>
    <row r="2689" spans="1:17" x14ac:dyDescent="0.3">
      <c r="A2689" t="s">
        <v>4382</v>
      </c>
      <c r="B2689" t="str">
        <f>"002005"</f>
        <v>002005</v>
      </c>
      <c r="C2689" t="s">
        <v>5421</v>
      </c>
      <c r="D2689" t="s">
        <v>126</v>
      </c>
      <c r="F2689">
        <v>-80328461</v>
      </c>
      <c r="G2689">
        <v>-48922107</v>
      </c>
      <c r="H2689">
        <v>345283716</v>
      </c>
      <c r="I2689">
        <v>85696590</v>
      </c>
      <c r="J2689">
        <v>-347706368</v>
      </c>
      <c r="K2689">
        <v>120137534</v>
      </c>
      <c r="L2689">
        <v>-580131705</v>
      </c>
      <c r="M2689">
        <v>-646463742</v>
      </c>
      <c r="N2689">
        <v>-673072406</v>
      </c>
      <c r="O2689">
        <v>-1492582529</v>
      </c>
      <c r="P2689">
        <v>74</v>
      </c>
      <c r="Q2689" t="s">
        <v>5422</v>
      </c>
    </row>
    <row r="2690" spans="1:17" x14ac:dyDescent="0.3">
      <c r="A2690" t="s">
        <v>4382</v>
      </c>
      <c r="B2690" t="str">
        <f>"002006"</f>
        <v>002006</v>
      </c>
      <c r="C2690" t="s">
        <v>5423</v>
      </c>
      <c r="D2690" t="s">
        <v>78</v>
      </c>
      <c r="F2690">
        <v>80329370</v>
      </c>
      <c r="G2690">
        <v>150328460</v>
      </c>
      <c r="H2690">
        <v>-29366542</v>
      </c>
      <c r="I2690">
        <v>-24313101</v>
      </c>
      <c r="J2690">
        <v>-150725554</v>
      </c>
      <c r="K2690">
        <v>79172465</v>
      </c>
      <c r="L2690">
        <v>60114608</v>
      </c>
      <c r="M2690">
        <v>-27923785</v>
      </c>
      <c r="N2690">
        <v>-9212017</v>
      </c>
      <c r="O2690">
        <v>-343206395</v>
      </c>
      <c r="P2690">
        <v>129</v>
      </c>
      <c r="Q2690" t="s">
        <v>5424</v>
      </c>
    </row>
    <row r="2691" spans="1:17" x14ac:dyDescent="0.3">
      <c r="A2691" t="s">
        <v>4382</v>
      </c>
      <c r="B2691" t="str">
        <f>"002007"</f>
        <v>002007</v>
      </c>
      <c r="C2691" t="s">
        <v>5425</v>
      </c>
      <c r="D2691" t="s">
        <v>113</v>
      </c>
      <c r="F2691">
        <v>400188074</v>
      </c>
      <c r="G2691">
        <v>87645604</v>
      </c>
      <c r="H2691">
        <v>569226128</v>
      </c>
      <c r="I2691">
        <v>591335861</v>
      </c>
      <c r="J2691">
        <v>-86505709</v>
      </c>
      <c r="K2691">
        <v>26884336</v>
      </c>
      <c r="L2691">
        <v>153797525</v>
      </c>
      <c r="M2691">
        <v>233538243</v>
      </c>
      <c r="N2691">
        <v>154917231</v>
      </c>
      <c r="O2691">
        <v>77769407</v>
      </c>
      <c r="P2691">
        <v>13191</v>
      </c>
      <c r="Q2691" t="s">
        <v>5426</v>
      </c>
    </row>
    <row r="2692" spans="1:17" x14ac:dyDescent="0.3">
      <c r="A2692" t="s">
        <v>4382</v>
      </c>
      <c r="B2692" t="str">
        <f>"002008"</f>
        <v>002008</v>
      </c>
      <c r="C2692" t="s">
        <v>5427</v>
      </c>
      <c r="D2692" t="s">
        <v>78</v>
      </c>
      <c r="F2692">
        <v>-225054873</v>
      </c>
      <c r="G2692">
        <v>-95206443</v>
      </c>
      <c r="H2692">
        <v>329816889</v>
      </c>
      <c r="I2692">
        <v>-1501525467</v>
      </c>
      <c r="J2692">
        <v>-434019706</v>
      </c>
      <c r="K2692">
        <v>-379149097</v>
      </c>
      <c r="L2692">
        <v>97868380</v>
      </c>
      <c r="M2692">
        <v>-220662549</v>
      </c>
      <c r="N2692">
        <v>68595219</v>
      </c>
      <c r="O2692">
        <v>-38237793</v>
      </c>
      <c r="P2692">
        <v>4831</v>
      </c>
      <c r="Q2692" t="s">
        <v>5428</v>
      </c>
    </row>
    <row r="2693" spans="1:17" x14ac:dyDescent="0.3">
      <c r="A2693" t="s">
        <v>4382</v>
      </c>
      <c r="B2693" t="str">
        <f>"002009"</f>
        <v>002009</v>
      </c>
      <c r="C2693" t="s">
        <v>5429</v>
      </c>
      <c r="D2693" t="s">
        <v>78</v>
      </c>
      <c r="F2693">
        <v>-38575751</v>
      </c>
      <c r="G2693">
        <v>-53207297</v>
      </c>
      <c r="H2693">
        <v>-276275975</v>
      </c>
      <c r="I2693">
        <v>-67183905</v>
      </c>
      <c r="J2693">
        <v>-223262323</v>
      </c>
      <c r="K2693">
        <v>-88862072</v>
      </c>
      <c r="L2693">
        <v>166707204</v>
      </c>
      <c r="M2693">
        <v>8121961</v>
      </c>
      <c r="N2693">
        <v>-178142560</v>
      </c>
      <c r="O2693">
        <v>-155541885</v>
      </c>
      <c r="P2693">
        <v>148</v>
      </c>
      <c r="Q2693" t="s">
        <v>5430</v>
      </c>
    </row>
    <row r="2694" spans="1:17" x14ac:dyDescent="0.3">
      <c r="A2694" t="s">
        <v>4382</v>
      </c>
      <c r="B2694" t="str">
        <f>"002010"</f>
        <v>002010</v>
      </c>
      <c r="C2694" t="s">
        <v>5431</v>
      </c>
      <c r="D2694" t="s">
        <v>22</v>
      </c>
      <c r="F2694">
        <v>-1733975057</v>
      </c>
      <c r="G2694">
        <v>-638932970</v>
      </c>
      <c r="H2694">
        <v>-941774229</v>
      </c>
      <c r="I2694">
        <v>-3086047373</v>
      </c>
      <c r="J2694">
        <v>-3615068868</v>
      </c>
      <c r="K2694">
        <v>-1772245022</v>
      </c>
      <c r="L2694">
        <v>217380906</v>
      </c>
      <c r="M2694">
        <v>-79104625</v>
      </c>
      <c r="N2694">
        <v>-277664798</v>
      </c>
      <c r="O2694">
        <v>-22403352</v>
      </c>
      <c r="P2694">
        <v>279</v>
      </c>
      <c r="Q2694" t="s">
        <v>5432</v>
      </c>
    </row>
    <row r="2695" spans="1:17" x14ac:dyDescent="0.3">
      <c r="A2695" t="s">
        <v>4382</v>
      </c>
      <c r="B2695" t="str">
        <f>"002011"</f>
        <v>002011</v>
      </c>
      <c r="C2695" t="s">
        <v>5433</v>
      </c>
      <c r="D2695" t="s">
        <v>126</v>
      </c>
      <c r="F2695">
        <v>319959558</v>
      </c>
      <c r="G2695">
        <v>185656179</v>
      </c>
      <c r="H2695">
        <v>349363035</v>
      </c>
      <c r="I2695">
        <v>-399948834</v>
      </c>
      <c r="J2695">
        <v>-248948126</v>
      </c>
      <c r="K2695">
        <v>-312426989</v>
      </c>
      <c r="L2695">
        <v>-248642681</v>
      </c>
      <c r="M2695">
        <v>-813322985</v>
      </c>
      <c r="N2695">
        <v>-972529549</v>
      </c>
      <c r="O2695">
        <v>-1636478460</v>
      </c>
      <c r="P2695">
        <v>201</v>
      </c>
      <c r="Q2695" t="s">
        <v>5434</v>
      </c>
    </row>
    <row r="2696" spans="1:17" x14ac:dyDescent="0.3">
      <c r="A2696" t="s">
        <v>4382</v>
      </c>
      <c r="B2696" t="str">
        <f>"002012"</f>
        <v>002012</v>
      </c>
      <c r="C2696" t="s">
        <v>5435</v>
      </c>
      <c r="D2696" t="s">
        <v>161</v>
      </c>
      <c r="F2696">
        <v>77339554</v>
      </c>
      <c r="G2696">
        <v>-23305478</v>
      </c>
      <c r="H2696">
        <v>61441122</v>
      </c>
      <c r="I2696">
        <v>13314120</v>
      </c>
      <c r="J2696">
        <v>18110684</v>
      </c>
      <c r="K2696">
        <v>21950473</v>
      </c>
      <c r="L2696">
        <v>24138807</v>
      </c>
      <c r="M2696">
        <v>84065550</v>
      </c>
      <c r="N2696">
        <v>-57478784</v>
      </c>
      <c r="O2696">
        <v>-4113108</v>
      </c>
      <c r="P2696">
        <v>131</v>
      </c>
      <c r="Q2696" t="s">
        <v>5436</v>
      </c>
    </row>
    <row r="2697" spans="1:17" x14ac:dyDescent="0.3">
      <c r="A2697" t="s">
        <v>4382</v>
      </c>
      <c r="B2697" t="str">
        <f>"002013"</f>
        <v>002013</v>
      </c>
      <c r="C2697" t="s">
        <v>5437</v>
      </c>
      <c r="D2697" t="s">
        <v>92</v>
      </c>
      <c r="F2697">
        <v>4374372226</v>
      </c>
      <c r="G2697">
        <v>-1237450811</v>
      </c>
      <c r="H2697">
        <v>-972990913</v>
      </c>
      <c r="I2697">
        <v>-2022269792</v>
      </c>
      <c r="J2697">
        <v>-850766992</v>
      </c>
      <c r="K2697">
        <v>-1337819807</v>
      </c>
      <c r="L2697">
        <v>-1249773583</v>
      </c>
      <c r="M2697">
        <v>-1284469832</v>
      </c>
      <c r="N2697">
        <v>-1179460834</v>
      </c>
      <c r="O2697">
        <v>33671053</v>
      </c>
      <c r="P2697">
        <v>659</v>
      </c>
      <c r="Q2697" t="s">
        <v>5438</v>
      </c>
    </row>
    <row r="2698" spans="1:17" x14ac:dyDescent="0.3">
      <c r="A2698" t="s">
        <v>4382</v>
      </c>
      <c r="B2698" t="str">
        <f>"002014"</f>
        <v>002014</v>
      </c>
      <c r="C2698" t="s">
        <v>5439</v>
      </c>
      <c r="D2698" t="s">
        <v>161</v>
      </c>
      <c r="F2698">
        <v>-45260676</v>
      </c>
      <c r="G2698">
        <v>279793575</v>
      </c>
      <c r="H2698">
        <v>88934101</v>
      </c>
      <c r="I2698">
        <v>50941089</v>
      </c>
      <c r="J2698">
        <v>49447305</v>
      </c>
      <c r="K2698">
        <v>78864375</v>
      </c>
      <c r="L2698">
        <v>-7092156</v>
      </c>
      <c r="M2698">
        <v>593606</v>
      </c>
      <c r="N2698">
        <v>-39181269</v>
      </c>
      <c r="O2698">
        <v>30427790</v>
      </c>
      <c r="P2698">
        <v>468</v>
      </c>
      <c r="Q2698" t="s">
        <v>5440</v>
      </c>
    </row>
    <row r="2699" spans="1:17" x14ac:dyDescent="0.3">
      <c r="A2699" t="s">
        <v>4382</v>
      </c>
      <c r="B2699" t="str">
        <f>"002015"</f>
        <v>002015</v>
      </c>
      <c r="C2699" t="s">
        <v>5441</v>
      </c>
      <c r="D2699" t="s">
        <v>41</v>
      </c>
      <c r="F2699">
        <v>592137182</v>
      </c>
      <c r="G2699">
        <v>438006242</v>
      </c>
      <c r="H2699">
        <v>-246114805</v>
      </c>
      <c r="I2699">
        <v>-59656483</v>
      </c>
      <c r="J2699">
        <v>-46978402</v>
      </c>
      <c r="K2699">
        <v>-53977057</v>
      </c>
      <c r="L2699">
        <v>-23492597</v>
      </c>
      <c r="M2699">
        <v>-202096044</v>
      </c>
      <c r="N2699">
        <v>446557031</v>
      </c>
      <c r="O2699">
        <v>233835188</v>
      </c>
      <c r="P2699">
        <v>240</v>
      </c>
      <c r="Q2699" t="s">
        <v>5442</v>
      </c>
    </row>
    <row r="2700" spans="1:17" x14ac:dyDescent="0.3">
      <c r="A2700" t="s">
        <v>4382</v>
      </c>
      <c r="B2700" t="str">
        <f>"002016"</f>
        <v>002016</v>
      </c>
      <c r="C2700" t="s">
        <v>5443</v>
      </c>
      <c r="D2700" t="s">
        <v>30</v>
      </c>
      <c r="F2700">
        <v>-205815859</v>
      </c>
      <c r="G2700">
        <v>521480481</v>
      </c>
      <c r="H2700">
        <v>1591862798</v>
      </c>
      <c r="I2700">
        <v>-147566893</v>
      </c>
      <c r="J2700">
        <v>-27224860</v>
      </c>
      <c r="K2700">
        <v>2308875125</v>
      </c>
      <c r="L2700">
        <v>60226182</v>
      </c>
      <c r="M2700">
        <v>-893483308</v>
      </c>
      <c r="N2700">
        <v>120892910</v>
      </c>
      <c r="O2700">
        <v>-88320335</v>
      </c>
      <c r="P2700">
        <v>457</v>
      </c>
      <c r="Q2700" t="s">
        <v>5444</v>
      </c>
    </row>
    <row r="2701" spans="1:17" x14ac:dyDescent="0.3">
      <c r="A2701" t="s">
        <v>4382</v>
      </c>
      <c r="B2701" t="str">
        <f>"002017"</f>
        <v>002017</v>
      </c>
      <c r="C2701" t="s">
        <v>5445</v>
      </c>
      <c r="D2701" t="s">
        <v>100</v>
      </c>
      <c r="F2701">
        <v>128098605</v>
      </c>
      <c r="G2701">
        <v>-34739326</v>
      </c>
      <c r="H2701">
        <v>-89318276</v>
      </c>
      <c r="I2701">
        <v>-109404975</v>
      </c>
      <c r="J2701">
        <v>-153667466</v>
      </c>
      <c r="K2701">
        <v>-87938367</v>
      </c>
      <c r="L2701">
        <v>-159909488</v>
      </c>
      <c r="M2701">
        <v>-119768302</v>
      </c>
      <c r="N2701">
        <v>-88343076</v>
      </c>
      <c r="O2701">
        <v>-30907549</v>
      </c>
      <c r="P2701">
        <v>216</v>
      </c>
      <c r="Q2701" t="s">
        <v>5446</v>
      </c>
    </row>
    <row r="2702" spans="1:17" x14ac:dyDescent="0.3">
      <c r="A2702" t="s">
        <v>4382</v>
      </c>
      <c r="B2702" t="str">
        <f>"002018"</f>
        <v>002018</v>
      </c>
      <c r="C2702" t="s">
        <v>5447</v>
      </c>
      <c r="H2702">
        <v>-4640235</v>
      </c>
      <c r="I2702">
        <v>-60490850</v>
      </c>
      <c r="J2702">
        <v>-492779724</v>
      </c>
      <c r="K2702">
        <v>-1555920875</v>
      </c>
      <c r="L2702">
        <v>649808715</v>
      </c>
      <c r="M2702">
        <v>-960486815</v>
      </c>
      <c r="N2702">
        <v>-1389141780</v>
      </c>
      <c r="O2702">
        <v>39292635</v>
      </c>
      <c r="P2702">
        <v>40</v>
      </c>
      <c r="Q2702" t="s">
        <v>5448</v>
      </c>
    </row>
    <row r="2703" spans="1:17" x14ac:dyDescent="0.3">
      <c r="A2703" t="s">
        <v>4382</v>
      </c>
      <c r="B2703" t="str">
        <f>"002019"</f>
        <v>002019</v>
      </c>
      <c r="C2703" t="s">
        <v>5449</v>
      </c>
      <c r="D2703" t="s">
        <v>113</v>
      </c>
      <c r="F2703">
        <v>-177006392</v>
      </c>
      <c r="G2703">
        <v>603219366</v>
      </c>
      <c r="H2703">
        <v>-81947209</v>
      </c>
      <c r="I2703">
        <v>541019649</v>
      </c>
      <c r="J2703">
        <v>451094271</v>
      </c>
      <c r="K2703">
        <v>325218479</v>
      </c>
      <c r="L2703">
        <v>180166616</v>
      </c>
      <c r="M2703">
        <v>28119529</v>
      </c>
      <c r="N2703">
        <v>-644819</v>
      </c>
      <c r="O2703">
        <v>-6624816</v>
      </c>
      <c r="P2703">
        <v>974</v>
      </c>
      <c r="Q2703" t="s">
        <v>5450</v>
      </c>
    </row>
    <row r="2704" spans="1:17" x14ac:dyDescent="0.3">
      <c r="A2704" t="s">
        <v>4382</v>
      </c>
      <c r="B2704" t="str">
        <f>"002020"</f>
        <v>002020</v>
      </c>
      <c r="C2704" t="s">
        <v>5451</v>
      </c>
      <c r="D2704" t="s">
        <v>113</v>
      </c>
      <c r="F2704">
        <v>-31152504</v>
      </c>
      <c r="G2704">
        <v>273620250</v>
      </c>
      <c r="H2704">
        <v>258672234</v>
      </c>
      <c r="I2704">
        <v>95989594</v>
      </c>
      <c r="J2704">
        <v>51538394</v>
      </c>
      <c r="K2704">
        <v>194809890</v>
      </c>
      <c r="L2704">
        <v>68503126</v>
      </c>
      <c r="M2704">
        <v>85368749</v>
      </c>
      <c r="N2704">
        <v>8220170</v>
      </c>
      <c r="O2704">
        <v>-8398112</v>
      </c>
      <c r="P2704">
        <v>619</v>
      </c>
      <c r="Q2704" t="s">
        <v>5452</v>
      </c>
    </row>
    <row r="2705" spans="1:17" x14ac:dyDescent="0.3">
      <c r="A2705" t="s">
        <v>4382</v>
      </c>
      <c r="B2705" t="str">
        <f>"002021"</f>
        <v>002021</v>
      </c>
      <c r="C2705" t="s">
        <v>5453</v>
      </c>
      <c r="D2705" t="s">
        <v>78</v>
      </c>
      <c r="F2705">
        <v>261910630</v>
      </c>
      <c r="G2705">
        <v>-39252195</v>
      </c>
      <c r="H2705">
        <v>13458850</v>
      </c>
      <c r="I2705">
        <v>28937553</v>
      </c>
      <c r="J2705">
        <v>21257429</v>
      </c>
      <c r="K2705">
        <v>2653994</v>
      </c>
      <c r="L2705">
        <v>-331553531</v>
      </c>
      <c r="M2705">
        <v>-15581866</v>
      </c>
      <c r="N2705">
        <v>56340766</v>
      </c>
      <c r="O2705">
        <v>-103199151</v>
      </c>
      <c r="P2705">
        <v>57</v>
      </c>
      <c r="Q2705" t="s">
        <v>5454</v>
      </c>
    </row>
    <row r="2706" spans="1:17" x14ac:dyDescent="0.3">
      <c r="A2706" t="s">
        <v>4382</v>
      </c>
      <c r="B2706" t="str">
        <f>"002022"</f>
        <v>002022</v>
      </c>
      <c r="C2706" t="s">
        <v>5455</v>
      </c>
      <c r="D2706" t="s">
        <v>113</v>
      </c>
      <c r="F2706">
        <v>593640435</v>
      </c>
      <c r="G2706">
        <v>556319224</v>
      </c>
      <c r="H2706">
        <v>94962616</v>
      </c>
      <c r="I2706">
        <v>-64567254</v>
      </c>
      <c r="J2706">
        <v>-29173972</v>
      </c>
      <c r="K2706">
        <v>58739803</v>
      </c>
      <c r="L2706">
        <v>126282937</v>
      </c>
      <c r="M2706">
        <v>66291166</v>
      </c>
      <c r="N2706">
        <v>106386375</v>
      </c>
      <c r="O2706">
        <v>15392776</v>
      </c>
      <c r="P2706">
        <v>1024</v>
      </c>
      <c r="Q2706" t="s">
        <v>5456</v>
      </c>
    </row>
    <row r="2707" spans="1:17" x14ac:dyDescent="0.3">
      <c r="A2707" t="s">
        <v>4382</v>
      </c>
      <c r="B2707" t="str">
        <f>"002023"</f>
        <v>002023</v>
      </c>
      <c r="C2707" t="s">
        <v>5457</v>
      </c>
      <c r="D2707" t="s">
        <v>92</v>
      </c>
      <c r="F2707">
        <v>-120035826</v>
      </c>
      <c r="G2707">
        <v>-91198382</v>
      </c>
      <c r="H2707">
        <v>-1039750544</v>
      </c>
      <c r="I2707">
        <v>-156975666</v>
      </c>
      <c r="J2707">
        <v>-548389190</v>
      </c>
      <c r="K2707">
        <v>-208754832</v>
      </c>
      <c r="L2707">
        <v>-455773732</v>
      </c>
      <c r="M2707">
        <v>-315282516</v>
      </c>
      <c r="N2707">
        <v>-173530751</v>
      </c>
      <c r="O2707">
        <v>-147449265</v>
      </c>
      <c r="P2707">
        <v>580</v>
      </c>
      <c r="Q2707" t="s">
        <v>5458</v>
      </c>
    </row>
    <row r="2708" spans="1:17" x14ac:dyDescent="0.3">
      <c r="A2708" t="s">
        <v>4382</v>
      </c>
      <c r="B2708" t="str">
        <f>"002024"</f>
        <v>002024</v>
      </c>
      <c r="C2708" t="s">
        <v>5459</v>
      </c>
      <c r="D2708" t="s">
        <v>120</v>
      </c>
      <c r="F2708">
        <v>-6046321000</v>
      </c>
      <c r="G2708">
        <v>-6549915000</v>
      </c>
      <c r="H2708">
        <v>-29822411000</v>
      </c>
      <c r="I2708">
        <v>-18330298000</v>
      </c>
      <c r="J2708">
        <v>-9995838000</v>
      </c>
      <c r="K2708">
        <v>-1275691000</v>
      </c>
      <c r="L2708">
        <v>-1210778000</v>
      </c>
      <c r="M2708">
        <v>-1336282000</v>
      </c>
      <c r="N2708">
        <v>991374000</v>
      </c>
      <c r="O2708">
        <v>-580432000</v>
      </c>
      <c r="P2708">
        <v>1902</v>
      </c>
      <c r="Q2708" t="s">
        <v>5460</v>
      </c>
    </row>
    <row r="2709" spans="1:17" x14ac:dyDescent="0.3">
      <c r="A2709" t="s">
        <v>4382</v>
      </c>
      <c r="B2709" t="str">
        <f>"002025"</f>
        <v>002025</v>
      </c>
      <c r="C2709" t="s">
        <v>5461</v>
      </c>
      <c r="D2709" t="s">
        <v>92</v>
      </c>
      <c r="F2709">
        <v>-758073862</v>
      </c>
      <c r="G2709">
        <v>-346921949</v>
      </c>
      <c r="H2709">
        <v>-483165962</v>
      </c>
      <c r="I2709">
        <v>-209156381</v>
      </c>
      <c r="J2709">
        <v>-1910308</v>
      </c>
      <c r="K2709">
        <v>65743680</v>
      </c>
      <c r="L2709">
        <v>89833969</v>
      </c>
      <c r="M2709">
        <v>-27747702</v>
      </c>
      <c r="N2709">
        <v>-94390732</v>
      </c>
      <c r="O2709">
        <v>-91248569</v>
      </c>
      <c r="P2709">
        <v>468</v>
      </c>
      <c r="Q2709" t="s">
        <v>5462</v>
      </c>
    </row>
    <row r="2710" spans="1:17" x14ac:dyDescent="0.3">
      <c r="A2710" t="s">
        <v>4382</v>
      </c>
      <c r="B2710" t="str">
        <f>"002026"</f>
        <v>002026</v>
      </c>
      <c r="C2710" t="s">
        <v>5463</v>
      </c>
      <c r="D2710" t="s">
        <v>78</v>
      </c>
      <c r="F2710">
        <v>9982243</v>
      </c>
      <c r="G2710">
        <v>214230954</v>
      </c>
      <c r="H2710">
        <v>81558238</v>
      </c>
      <c r="I2710">
        <v>20546611</v>
      </c>
      <c r="J2710">
        <v>17798021</v>
      </c>
      <c r="K2710">
        <v>-49070032</v>
      </c>
      <c r="L2710">
        <v>-34733034</v>
      </c>
      <c r="M2710">
        <v>-65496729</v>
      </c>
      <c r="N2710">
        <v>-70495573</v>
      </c>
      <c r="O2710">
        <v>20284523</v>
      </c>
      <c r="P2710">
        <v>208</v>
      </c>
      <c r="Q2710" t="s">
        <v>5464</v>
      </c>
    </row>
    <row r="2711" spans="1:17" x14ac:dyDescent="0.3">
      <c r="A2711" t="s">
        <v>4382</v>
      </c>
      <c r="B2711" t="str">
        <f>"002027"</f>
        <v>002027</v>
      </c>
      <c r="C2711" t="s">
        <v>5465</v>
      </c>
      <c r="D2711" t="s">
        <v>89</v>
      </c>
      <c r="F2711">
        <v>6433957287</v>
      </c>
      <c r="G2711">
        <v>3055833020</v>
      </c>
      <c r="H2711">
        <v>1792504065</v>
      </c>
      <c r="I2711">
        <v>400792367</v>
      </c>
      <c r="J2711">
        <v>2224658559</v>
      </c>
      <c r="K2711">
        <v>2892565285</v>
      </c>
      <c r="L2711">
        <v>61432958</v>
      </c>
      <c r="M2711">
        <v>-22664698</v>
      </c>
      <c r="N2711">
        <v>-35444693</v>
      </c>
      <c r="O2711">
        <v>-106904282</v>
      </c>
      <c r="P2711">
        <v>5236</v>
      </c>
      <c r="Q2711" t="s">
        <v>5466</v>
      </c>
    </row>
    <row r="2712" spans="1:17" x14ac:dyDescent="0.3">
      <c r="A2712" t="s">
        <v>4382</v>
      </c>
      <c r="B2712" t="str">
        <f>"002028"</f>
        <v>002028</v>
      </c>
      <c r="C2712" t="s">
        <v>5467</v>
      </c>
      <c r="D2712" t="s">
        <v>188</v>
      </c>
      <c r="F2712">
        <v>-800569694</v>
      </c>
      <c r="G2712">
        <v>-296059690</v>
      </c>
      <c r="H2712">
        <v>-57247295</v>
      </c>
      <c r="I2712">
        <v>-384579746</v>
      </c>
      <c r="J2712">
        <v>-106866704</v>
      </c>
      <c r="K2712">
        <v>-388924726</v>
      </c>
      <c r="L2712">
        <v>-65820094</v>
      </c>
      <c r="M2712">
        <v>-562879793</v>
      </c>
      <c r="N2712">
        <v>-340549942</v>
      </c>
      <c r="O2712">
        <v>-502691042</v>
      </c>
      <c r="P2712">
        <v>603</v>
      </c>
      <c r="Q2712" t="s">
        <v>5468</v>
      </c>
    </row>
    <row r="2713" spans="1:17" x14ac:dyDescent="0.3">
      <c r="A2713" t="s">
        <v>4382</v>
      </c>
      <c r="B2713" t="str">
        <f>"002029"</f>
        <v>002029</v>
      </c>
      <c r="C2713" t="s">
        <v>5469</v>
      </c>
      <c r="D2713" t="s">
        <v>227</v>
      </c>
      <c r="F2713">
        <v>29431155</v>
      </c>
      <c r="G2713">
        <v>-177707405</v>
      </c>
      <c r="H2713">
        <v>-255188640</v>
      </c>
      <c r="I2713">
        <v>-252493862</v>
      </c>
      <c r="J2713">
        <v>232732625</v>
      </c>
      <c r="K2713">
        <v>149123133</v>
      </c>
      <c r="L2713">
        <v>96266458</v>
      </c>
      <c r="M2713">
        <v>401941851</v>
      </c>
      <c r="N2713">
        <v>308270562</v>
      </c>
      <c r="O2713">
        <v>56572442</v>
      </c>
      <c r="P2713">
        <v>217</v>
      </c>
      <c r="Q2713" t="s">
        <v>5470</v>
      </c>
    </row>
    <row r="2714" spans="1:17" x14ac:dyDescent="0.3">
      <c r="A2714" t="s">
        <v>4382</v>
      </c>
      <c r="B2714" t="str">
        <f>"002030"</f>
        <v>002030</v>
      </c>
      <c r="C2714" t="s">
        <v>5471</v>
      </c>
      <c r="D2714" t="s">
        <v>113</v>
      </c>
      <c r="F2714">
        <v>1908589131</v>
      </c>
      <c r="G2714">
        <v>1110510007</v>
      </c>
      <c r="H2714">
        <v>142014802</v>
      </c>
      <c r="I2714">
        <v>133129593</v>
      </c>
      <c r="J2714">
        <v>-282433675</v>
      </c>
      <c r="K2714">
        <v>-608921980</v>
      </c>
      <c r="L2714">
        <v>-207105359</v>
      </c>
      <c r="M2714">
        <v>-137328600</v>
      </c>
      <c r="N2714">
        <v>-80107375</v>
      </c>
      <c r="O2714">
        <v>-79898238</v>
      </c>
      <c r="P2714">
        <v>1177</v>
      </c>
      <c r="Q2714" t="s">
        <v>5472</v>
      </c>
    </row>
    <row r="2715" spans="1:17" x14ac:dyDescent="0.3">
      <c r="A2715" t="s">
        <v>4382</v>
      </c>
      <c r="B2715" t="str">
        <f>"002031"</f>
        <v>002031</v>
      </c>
      <c r="C2715" t="s">
        <v>5473</v>
      </c>
      <c r="D2715" t="s">
        <v>78</v>
      </c>
      <c r="F2715">
        <v>100756798</v>
      </c>
      <c r="G2715">
        <v>-64868498</v>
      </c>
      <c r="H2715">
        <v>508552955</v>
      </c>
      <c r="I2715">
        <v>-27923452</v>
      </c>
      <c r="J2715">
        <v>-91501921</v>
      </c>
      <c r="K2715">
        <v>142108281</v>
      </c>
      <c r="L2715">
        <v>-224738965</v>
      </c>
      <c r="M2715">
        <v>16320203</v>
      </c>
      <c r="N2715">
        <v>150661121</v>
      </c>
      <c r="O2715">
        <v>-45879239</v>
      </c>
      <c r="P2715">
        <v>137</v>
      </c>
      <c r="Q2715" t="s">
        <v>5474</v>
      </c>
    </row>
    <row r="2716" spans="1:17" x14ac:dyDescent="0.3">
      <c r="A2716" t="s">
        <v>4382</v>
      </c>
      <c r="B2716" t="str">
        <f>"002032"</f>
        <v>002032</v>
      </c>
      <c r="C2716" t="s">
        <v>5475</v>
      </c>
      <c r="D2716" t="s">
        <v>126</v>
      </c>
      <c r="F2716">
        <v>390643506</v>
      </c>
      <c r="G2716">
        <v>385384263</v>
      </c>
      <c r="H2716">
        <v>-64508785</v>
      </c>
      <c r="I2716">
        <v>311264693</v>
      </c>
      <c r="J2716">
        <v>709567196</v>
      </c>
      <c r="K2716">
        <v>505484858</v>
      </c>
      <c r="L2716">
        <v>356383404</v>
      </c>
      <c r="M2716">
        <v>490732304</v>
      </c>
      <c r="N2716">
        <v>548322143</v>
      </c>
      <c r="O2716">
        <v>639531918</v>
      </c>
      <c r="P2716">
        <v>52901</v>
      </c>
      <c r="Q2716" t="s">
        <v>5476</v>
      </c>
    </row>
    <row r="2717" spans="1:17" x14ac:dyDescent="0.3">
      <c r="A2717" t="s">
        <v>4382</v>
      </c>
      <c r="B2717" t="str">
        <f>"002033"</f>
        <v>002033</v>
      </c>
      <c r="C2717" t="s">
        <v>5477</v>
      </c>
      <c r="D2717" t="s">
        <v>110</v>
      </c>
      <c r="F2717">
        <v>-118441432</v>
      </c>
      <c r="G2717">
        <v>-28197725</v>
      </c>
      <c r="H2717">
        <v>120752581</v>
      </c>
      <c r="I2717">
        <v>142352775</v>
      </c>
      <c r="J2717">
        <v>215641107</v>
      </c>
      <c r="K2717">
        <v>240302742</v>
      </c>
      <c r="L2717">
        <v>191857226</v>
      </c>
      <c r="M2717">
        <v>172255081</v>
      </c>
      <c r="N2717">
        <v>28630845</v>
      </c>
      <c r="O2717">
        <v>68516678</v>
      </c>
      <c r="P2717">
        <v>278</v>
      </c>
      <c r="Q2717" t="s">
        <v>5478</v>
      </c>
    </row>
    <row r="2718" spans="1:17" x14ac:dyDescent="0.3">
      <c r="A2718" t="s">
        <v>4382</v>
      </c>
      <c r="B2718" t="str">
        <f>"002034"</f>
        <v>002034</v>
      </c>
      <c r="C2718" t="s">
        <v>5479</v>
      </c>
      <c r="D2718" t="s">
        <v>33</v>
      </c>
      <c r="F2718">
        <v>-252547798</v>
      </c>
      <c r="G2718">
        <v>-648888868</v>
      </c>
      <c r="H2718">
        <v>-1325112360</v>
      </c>
      <c r="I2718">
        <v>-892644757</v>
      </c>
      <c r="J2718">
        <v>-52434834</v>
      </c>
      <c r="K2718">
        <v>3748388</v>
      </c>
      <c r="L2718">
        <v>28390486</v>
      </c>
      <c r="M2718">
        <v>46178162</v>
      </c>
      <c r="N2718">
        <v>-6336558</v>
      </c>
      <c r="O2718">
        <v>115709824</v>
      </c>
      <c r="P2718">
        <v>245</v>
      </c>
      <c r="Q2718" t="s">
        <v>5480</v>
      </c>
    </row>
    <row r="2719" spans="1:17" x14ac:dyDescent="0.3">
      <c r="A2719" t="s">
        <v>4382</v>
      </c>
      <c r="B2719" t="str">
        <f>"002035"</f>
        <v>002035</v>
      </c>
      <c r="C2719" t="s">
        <v>5481</v>
      </c>
      <c r="D2719" t="s">
        <v>126</v>
      </c>
      <c r="F2719">
        <v>66492871</v>
      </c>
      <c r="G2719">
        <v>-550051120</v>
      </c>
      <c r="H2719">
        <v>393398588</v>
      </c>
      <c r="I2719">
        <v>93264215</v>
      </c>
      <c r="J2719">
        <v>112632210</v>
      </c>
      <c r="K2719">
        <v>468665305</v>
      </c>
      <c r="L2719">
        <v>85602135</v>
      </c>
      <c r="M2719">
        <v>144796266</v>
      </c>
      <c r="N2719">
        <v>70984175</v>
      </c>
      <c r="O2719">
        <v>105444901</v>
      </c>
      <c r="P2719">
        <v>1343</v>
      </c>
      <c r="Q2719" t="s">
        <v>5482</v>
      </c>
    </row>
    <row r="2720" spans="1:17" x14ac:dyDescent="0.3">
      <c r="A2720" t="s">
        <v>4382</v>
      </c>
      <c r="B2720" t="str">
        <f>"002036"</f>
        <v>002036</v>
      </c>
      <c r="C2720" t="s">
        <v>5483</v>
      </c>
      <c r="D2720" t="s">
        <v>150</v>
      </c>
      <c r="F2720">
        <v>-465681222</v>
      </c>
      <c r="G2720">
        <v>-616177309</v>
      </c>
      <c r="H2720">
        <v>-369244120</v>
      </c>
      <c r="I2720">
        <v>-572133425</v>
      </c>
      <c r="J2720">
        <v>-553196975</v>
      </c>
      <c r="K2720">
        <v>-496084966</v>
      </c>
      <c r="L2720">
        <v>47223543</v>
      </c>
      <c r="M2720">
        <v>-20885900</v>
      </c>
      <c r="N2720">
        <v>24910549</v>
      </c>
      <c r="O2720">
        <v>-417228</v>
      </c>
      <c r="P2720">
        <v>549</v>
      </c>
      <c r="Q2720" t="s">
        <v>5484</v>
      </c>
    </row>
    <row r="2721" spans="1:17" x14ac:dyDescent="0.3">
      <c r="A2721" t="s">
        <v>4382</v>
      </c>
      <c r="B2721" t="str">
        <f>"002037"</f>
        <v>002037</v>
      </c>
      <c r="C2721" t="s">
        <v>5485</v>
      </c>
      <c r="D2721" t="s">
        <v>133</v>
      </c>
      <c r="F2721">
        <v>-220726395</v>
      </c>
      <c r="G2721">
        <v>-896007907</v>
      </c>
      <c r="H2721">
        <v>-360245702</v>
      </c>
      <c r="I2721">
        <v>-770937159</v>
      </c>
      <c r="J2721">
        <v>88664806</v>
      </c>
      <c r="K2721">
        <v>645086846</v>
      </c>
      <c r="L2721">
        <v>-260325416</v>
      </c>
      <c r="M2721">
        <v>-630109309</v>
      </c>
      <c r="N2721">
        <v>-204424888</v>
      </c>
      <c r="O2721">
        <v>-353727733</v>
      </c>
      <c r="P2721">
        <v>81</v>
      </c>
      <c r="Q2721" t="s">
        <v>5486</v>
      </c>
    </row>
    <row r="2722" spans="1:17" x14ac:dyDescent="0.3">
      <c r="A2722" t="s">
        <v>4382</v>
      </c>
      <c r="B2722" t="str">
        <f>"002038"</f>
        <v>002038</v>
      </c>
      <c r="C2722" t="s">
        <v>5487</v>
      </c>
      <c r="D2722" t="s">
        <v>113</v>
      </c>
      <c r="F2722">
        <v>172256437</v>
      </c>
      <c r="G2722">
        <v>69093489</v>
      </c>
      <c r="H2722">
        <v>398509429</v>
      </c>
      <c r="I2722">
        <v>244037742</v>
      </c>
      <c r="J2722">
        <v>112790744</v>
      </c>
      <c r="K2722">
        <v>123791612</v>
      </c>
      <c r="L2722">
        <v>277805014</v>
      </c>
      <c r="M2722">
        <v>251023379</v>
      </c>
      <c r="N2722">
        <v>93797664</v>
      </c>
      <c r="O2722">
        <v>117848153</v>
      </c>
      <c r="P2722">
        <v>5163</v>
      </c>
      <c r="Q2722" t="s">
        <v>5488</v>
      </c>
    </row>
    <row r="2723" spans="1:17" x14ac:dyDescent="0.3">
      <c r="A2723" t="s">
        <v>4382</v>
      </c>
      <c r="B2723" t="str">
        <f>"002039"</f>
        <v>002039</v>
      </c>
      <c r="C2723" t="s">
        <v>5489</v>
      </c>
      <c r="D2723" t="s">
        <v>41</v>
      </c>
      <c r="F2723">
        <v>681012087</v>
      </c>
      <c r="G2723">
        <v>303877375</v>
      </c>
      <c r="H2723">
        <v>1342407681</v>
      </c>
      <c r="I2723">
        <v>1325755224</v>
      </c>
      <c r="J2723">
        <v>1007751341</v>
      </c>
      <c r="K2723">
        <v>1467341999</v>
      </c>
      <c r="L2723">
        <v>1106379800</v>
      </c>
      <c r="M2723">
        <v>-58776950</v>
      </c>
      <c r="N2723">
        <v>-311682523</v>
      </c>
      <c r="O2723">
        <v>321531950</v>
      </c>
      <c r="P2723">
        <v>431</v>
      </c>
      <c r="Q2723" t="s">
        <v>5490</v>
      </c>
    </row>
    <row r="2724" spans="1:17" x14ac:dyDescent="0.3">
      <c r="A2724" t="s">
        <v>4382</v>
      </c>
      <c r="B2724" t="str">
        <f>"002040"</f>
        <v>002040</v>
      </c>
      <c r="C2724" t="s">
        <v>5491</v>
      </c>
      <c r="D2724" t="s">
        <v>22</v>
      </c>
      <c r="F2724">
        <v>214265468</v>
      </c>
      <c r="G2724">
        <v>228065830</v>
      </c>
      <c r="H2724">
        <v>155960082</v>
      </c>
      <c r="I2724">
        <v>137703322</v>
      </c>
      <c r="J2724">
        <v>165785399</v>
      </c>
      <c r="K2724">
        <v>23645530</v>
      </c>
      <c r="L2724">
        <v>29492085</v>
      </c>
      <c r="M2724">
        <v>8500243</v>
      </c>
      <c r="N2724">
        <v>6644210</v>
      </c>
      <c r="O2724">
        <v>2330436</v>
      </c>
      <c r="P2724">
        <v>100</v>
      </c>
      <c r="Q2724" t="s">
        <v>5492</v>
      </c>
    </row>
    <row r="2725" spans="1:17" x14ac:dyDescent="0.3">
      <c r="A2725" t="s">
        <v>4382</v>
      </c>
      <c r="B2725" t="str">
        <f>"002041"</f>
        <v>002041</v>
      </c>
      <c r="C2725" t="s">
        <v>5493</v>
      </c>
      <c r="D2725" t="s">
        <v>205</v>
      </c>
      <c r="F2725">
        <v>371771760</v>
      </c>
      <c r="G2725">
        <v>317325838</v>
      </c>
      <c r="H2725">
        <v>172614683</v>
      </c>
      <c r="I2725">
        <v>-160315295</v>
      </c>
      <c r="J2725">
        <v>-309043419</v>
      </c>
      <c r="K2725">
        <v>-38109925</v>
      </c>
      <c r="L2725">
        <v>-92828955</v>
      </c>
      <c r="M2725">
        <v>-22675486</v>
      </c>
      <c r="N2725">
        <v>-67504127</v>
      </c>
      <c r="O2725">
        <v>-200787787</v>
      </c>
      <c r="P2725">
        <v>446</v>
      </c>
      <c r="Q2725" t="s">
        <v>5494</v>
      </c>
    </row>
    <row r="2726" spans="1:17" x14ac:dyDescent="0.3">
      <c r="A2726" t="s">
        <v>4382</v>
      </c>
      <c r="B2726" t="str">
        <f>"002042"</f>
        <v>002042</v>
      </c>
      <c r="C2726" t="s">
        <v>5495</v>
      </c>
      <c r="D2726" t="s">
        <v>227</v>
      </c>
      <c r="F2726">
        <v>2669493983</v>
      </c>
      <c r="G2726">
        <v>1145028741</v>
      </c>
      <c r="H2726">
        <v>1185814156</v>
      </c>
      <c r="I2726">
        <v>-336015564</v>
      </c>
      <c r="J2726">
        <v>-1280171593</v>
      </c>
      <c r="K2726">
        <v>368336806</v>
      </c>
      <c r="L2726">
        <v>170560142</v>
      </c>
      <c r="M2726">
        <v>199403244</v>
      </c>
      <c r="N2726">
        <v>4426803</v>
      </c>
      <c r="O2726">
        <v>-224390048</v>
      </c>
      <c r="P2726">
        <v>196</v>
      </c>
      <c r="Q2726" t="s">
        <v>5496</v>
      </c>
    </row>
    <row r="2727" spans="1:17" x14ac:dyDescent="0.3">
      <c r="A2727" t="s">
        <v>4382</v>
      </c>
      <c r="B2727" t="str">
        <f>"002043"</f>
        <v>002043</v>
      </c>
      <c r="C2727" t="s">
        <v>5497</v>
      </c>
      <c r="D2727" t="s">
        <v>350</v>
      </c>
      <c r="F2727">
        <v>27580051</v>
      </c>
      <c r="G2727">
        <v>69642985</v>
      </c>
      <c r="H2727">
        <v>358966532</v>
      </c>
      <c r="I2727">
        <v>174055616</v>
      </c>
      <c r="J2727">
        <v>277526470</v>
      </c>
      <c r="K2727">
        <v>267006760</v>
      </c>
      <c r="L2727">
        <v>80368552</v>
      </c>
      <c r="M2727">
        <v>22420358</v>
      </c>
      <c r="N2727">
        <v>32822621</v>
      </c>
      <c r="O2727">
        <v>61669220</v>
      </c>
      <c r="P2727">
        <v>666</v>
      </c>
      <c r="Q2727" t="s">
        <v>5498</v>
      </c>
    </row>
    <row r="2728" spans="1:17" x14ac:dyDescent="0.3">
      <c r="A2728" t="s">
        <v>4382</v>
      </c>
      <c r="B2728" t="str">
        <f>"002044"</f>
        <v>002044</v>
      </c>
      <c r="C2728" t="s">
        <v>5499</v>
      </c>
      <c r="D2728" t="s">
        <v>113</v>
      </c>
      <c r="F2728">
        <v>36604445</v>
      </c>
      <c r="G2728">
        <v>-893832254</v>
      </c>
      <c r="H2728">
        <v>-1019652460</v>
      </c>
      <c r="I2728">
        <v>-874721459</v>
      </c>
      <c r="J2728">
        <v>-510928119</v>
      </c>
      <c r="K2728">
        <v>-349817722</v>
      </c>
      <c r="L2728">
        <v>-293398805</v>
      </c>
      <c r="M2728">
        <v>-60111618</v>
      </c>
      <c r="N2728">
        <v>-33063591</v>
      </c>
      <c r="O2728">
        <v>26252529</v>
      </c>
      <c r="P2728">
        <v>1237</v>
      </c>
      <c r="Q2728" t="s">
        <v>5500</v>
      </c>
    </row>
    <row r="2729" spans="1:17" x14ac:dyDescent="0.3">
      <c r="A2729" t="s">
        <v>4382</v>
      </c>
      <c r="B2729" t="str">
        <f>"002045"</f>
        <v>002045</v>
      </c>
      <c r="C2729" t="s">
        <v>5501</v>
      </c>
      <c r="D2729" t="s">
        <v>150</v>
      </c>
      <c r="F2729">
        <v>-267545827</v>
      </c>
      <c r="G2729">
        <v>234667546</v>
      </c>
      <c r="H2729">
        <v>201183290</v>
      </c>
      <c r="I2729">
        <v>-244548509</v>
      </c>
      <c r="J2729">
        <v>-339718179</v>
      </c>
      <c r="K2729">
        <v>53980304</v>
      </c>
      <c r="L2729">
        <v>-168689327</v>
      </c>
      <c r="M2729">
        <v>39264545</v>
      </c>
      <c r="N2729">
        <v>98536921</v>
      </c>
      <c r="O2729">
        <v>82589901</v>
      </c>
      <c r="P2729">
        <v>216</v>
      </c>
      <c r="Q2729" t="s">
        <v>5502</v>
      </c>
    </row>
    <row r="2730" spans="1:17" x14ac:dyDescent="0.3">
      <c r="A2730" t="s">
        <v>4382</v>
      </c>
      <c r="B2730" t="str">
        <f>"002046"</f>
        <v>002046</v>
      </c>
      <c r="C2730" t="s">
        <v>5503</v>
      </c>
      <c r="D2730" t="s">
        <v>78</v>
      </c>
      <c r="F2730">
        <v>-138414396</v>
      </c>
      <c r="G2730">
        <v>-23870031</v>
      </c>
      <c r="H2730">
        <v>-106389789</v>
      </c>
      <c r="I2730">
        <v>-316231453</v>
      </c>
      <c r="J2730">
        <v>-8330266</v>
      </c>
      <c r="K2730">
        <v>-1125353</v>
      </c>
      <c r="L2730">
        <v>-78714956</v>
      </c>
      <c r="M2730">
        <v>-111971334</v>
      </c>
      <c r="N2730">
        <v>-222479615</v>
      </c>
      <c r="O2730">
        <v>-125528431</v>
      </c>
      <c r="P2730">
        <v>148</v>
      </c>
      <c r="Q2730" t="s">
        <v>5504</v>
      </c>
    </row>
    <row r="2731" spans="1:17" x14ac:dyDescent="0.3">
      <c r="A2731" t="s">
        <v>4382</v>
      </c>
      <c r="B2731" t="str">
        <f>"002047"</f>
        <v>002047</v>
      </c>
      <c r="C2731" t="s">
        <v>5505</v>
      </c>
      <c r="D2731" t="s">
        <v>95</v>
      </c>
      <c r="F2731">
        <v>314389698</v>
      </c>
      <c r="G2731">
        <v>11572008</v>
      </c>
      <c r="H2731">
        <v>161250768</v>
      </c>
      <c r="I2731">
        <v>-591967412</v>
      </c>
      <c r="J2731">
        <v>-712219568</v>
      </c>
      <c r="K2731">
        <v>-997950186</v>
      </c>
      <c r="L2731">
        <v>-267688272</v>
      </c>
      <c r="M2731">
        <v>-716879492</v>
      </c>
      <c r="N2731">
        <v>32172444</v>
      </c>
      <c r="O2731">
        <v>-24176331</v>
      </c>
      <c r="P2731">
        <v>103</v>
      </c>
      <c r="Q2731" t="s">
        <v>5506</v>
      </c>
    </row>
    <row r="2732" spans="1:17" x14ac:dyDescent="0.3">
      <c r="A2732" t="s">
        <v>4382</v>
      </c>
      <c r="B2732" t="str">
        <f>"002048"</f>
        <v>002048</v>
      </c>
      <c r="C2732" t="s">
        <v>5507</v>
      </c>
      <c r="D2732" t="s">
        <v>27</v>
      </c>
      <c r="F2732">
        <v>418720402</v>
      </c>
      <c r="G2732">
        <v>1180729013</v>
      </c>
      <c r="H2732">
        <v>588384048</v>
      </c>
      <c r="I2732">
        <v>-301554026</v>
      </c>
      <c r="J2732">
        <v>50118271</v>
      </c>
      <c r="K2732">
        <v>574769388</v>
      </c>
      <c r="L2732">
        <v>57852727</v>
      </c>
      <c r="M2732">
        <v>-279387669</v>
      </c>
      <c r="N2732">
        <v>96746405</v>
      </c>
      <c r="O2732">
        <v>-387644834</v>
      </c>
      <c r="P2732">
        <v>645</v>
      </c>
      <c r="Q2732" t="s">
        <v>5508</v>
      </c>
    </row>
    <row r="2733" spans="1:17" x14ac:dyDescent="0.3">
      <c r="A2733" t="s">
        <v>4382</v>
      </c>
      <c r="B2733" t="str">
        <f>"002049"</f>
        <v>002049</v>
      </c>
      <c r="C2733" t="s">
        <v>5509</v>
      </c>
      <c r="D2733" t="s">
        <v>150</v>
      </c>
      <c r="F2733">
        <v>-124923332</v>
      </c>
      <c r="G2733">
        <v>-507092223</v>
      </c>
      <c r="H2733">
        <v>-589863963</v>
      </c>
      <c r="I2733">
        <v>-341884435</v>
      </c>
      <c r="J2733">
        <v>92554288</v>
      </c>
      <c r="K2733">
        <v>-195669631</v>
      </c>
      <c r="L2733">
        <v>87319628</v>
      </c>
      <c r="M2733">
        <v>-74390785</v>
      </c>
      <c r="N2733">
        <v>-127875928</v>
      </c>
      <c r="O2733">
        <v>-46754798</v>
      </c>
      <c r="P2733">
        <v>4605</v>
      </c>
      <c r="Q2733" t="s">
        <v>5510</v>
      </c>
    </row>
    <row r="2734" spans="1:17" x14ac:dyDescent="0.3">
      <c r="A2734" t="s">
        <v>4382</v>
      </c>
      <c r="B2734" t="str">
        <f>"002050"</f>
        <v>002050</v>
      </c>
      <c r="C2734" t="s">
        <v>5511</v>
      </c>
      <c r="D2734" t="s">
        <v>126</v>
      </c>
      <c r="F2734">
        <v>-227764688</v>
      </c>
      <c r="G2734">
        <v>863926791</v>
      </c>
      <c r="H2734">
        <v>568308347</v>
      </c>
      <c r="I2734">
        <v>-21316592</v>
      </c>
      <c r="J2734">
        <v>125165486</v>
      </c>
      <c r="K2734">
        <v>714830448</v>
      </c>
      <c r="L2734">
        <v>338001525</v>
      </c>
      <c r="M2734">
        <v>28797356</v>
      </c>
      <c r="N2734">
        <v>-364833240</v>
      </c>
      <c r="O2734">
        <v>-252894504</v>
      </c>
      <c r="P2734">
        <v>2050</v>
      </c>
      <c r="Q2734" t="s">
        <v>5512</v>
      </c>
    </row>
    <row r="2735" spans="1:17" x14ac:dyDescent="0.3">
      <c r="A2735" t="s">
        <v>4382</v>
      </c>
      <c r="B2735" t="str">
        <f>"002051"</f>
        <v>002051</v>
      </c>
      <c r="C2735" t="s">
        <v>5513</v>
      </c>
      <c r="D2735" t="s">
        <v>95</v>
      </c>
      <c r="F2735">
        <v>-1362856346</v>
      </c>
      <c r="G2735">
        <v>-415316527</v>
      </c>
      <c r="H2735">
        <v>-1205549441</v>
      </c>
      <c r="I2735">
        <v>1407792613</v>
      </c>
      <c r="J2735">
        <v>-2085124432</v>
      </c>
      <c r="K2735">
        <v>-1627680186</v>
      </c>
      <c r="L2735">
        <v>468489405</v>
      </c>
      <c r="M2735">
        <v>63193739</v>
      </c>
      <c r="N2735">
        <v>-505334957</v>
      </c>
      <c r="O2735">
        <v>332641821</v>
      </c>
      <c r="P2735">
        <v>556</v>
      </c>
      <c r="Q2735" t="s">
        <v>5514</v>
      </c>
    </row>
    <row r="2736" spans="1:17" x14ac:dyDescent="0.3">
      <c r="A2736" t="s">
        <v>4382</v>
      </c>
      <c r="B2736" t="str">
        <f>"002052"</f>
        <v>002052</v>
      </c>
      <c r="C2736" t="s">
        <v>5515</v>
      </c>
      <c r="D2736" t="s">
        <v>126</v>
      </c>
      <c r="F2736">
        <v>-29218306</v>
      </c>
      <c r="G2736">
        <v>-18543569</v>
      </c>
      <c r="H2736">
        <v>-103511961</v>
      </c>
      <c r="I2736">
        <v>-19717346</v>
      </c>
      <c r="J2736">
        <v>-181864228</v>
      </c>
      <c r="K2736">
        <v>93213257</v>
      </c>
      <c r="L2736">
        <v>-93302649</v>
      </c>
      <c r="M2736">
        <v>-372267025</v>
      </c>
      <c r="N2736">
        <v>-192722308</v>
      </c>
      <c r="O2736">
        <v>-65431166</v>
      </c>
      <c r="P2736">
        <v>76</v>
      </c>
      <c r="Q2736" t="s">
        <v>5516</v>
      </c>
    </row>
    <row r="2737" spans="1:17" x14ac:dyDescent="0.3">
      <c r="A2737" t="s">
        <v>4382</v>
      </c>
      <c r="B2737" t="str">
        <f>"002053"</f>
        <v>002053</v>
      </c>
      <c r="C2737" t="s">
        <v>5517</v>
      </c>
      <c r="D2737" t="s">
        <v>133</v>
      </c>
      <c r="F2737">
        <v>-188289236</v>
      </c>
      <c r="G2737">
        <v>-100251103</v>
      </c>
      <c r="H2737">
        <v>-185644557</v>
      </c>
      <c r="I2737">
        <v>-345474118</v>
      </c>
      <c r="J2737">
        <v>-419361310</v>
      </c>
      <c r="K2737">
        <v>87972326</v>
      </c>
      <c r="L2737">
        <v>52030327</v>
      </c>
      <c r="M2737">
        <v>-20246655</v>
      </c>
      <c r="N2737">
        <v>-193016484</v>
      </c>
      <c r="O2737">
        <v>-248333471</v>
      </c>
      <c r="P2737">
        <v>105</v>
      </c>
      <c r="Q2737" t="s">
        <v>5518</v>
      </c>
    </row>
    <row r="2738" spans="1:17" x14ac:dyDescent="0.3">
      <c r="A2738" t="s">
        <v>4382</v>
      </c>
      <c r="B2738" t="str">
        <f>"002054"</f>
        <v>002054</v>
      </c>
      <c r="C2738" t="s">
        <v>5519</v>
      </c>
      <c r="D2738" t="s">
        <v>133</v>
      </c>
      <c r="F2738">
        <v>-877727960</v>
      </c>
      <c r="G2738">
        <v>-339475940</v>
      </c>
      <c r="H2738">
        <v>48587210</v>
      </c>
      <c r="I2738">
        <v>70745560</v>
      </c>
      <c r="J2738">
        <v>-42050101</v>
      </c>
      <c r="K2738">
        <v>63409909</v>
      </c>
      <c r="L2738">
        <v>126185554</v>
      </c>
      <c r="M2738">
        <v>72692572</v>
      </c>
      <c r="N2738">
        <v>24621623</v>
      </c>
      <c r="O2738">
        <v>64909550</v>
      </c>
      <c r="P2738">
        <v>111</v>
      </c>
      <c r="Q2738" t="s">
        <v>5520</v>
      </c>
    </row>
    <row r="2739" spans="1:17" x14ac:dyDescent="0.3">
      <c r="A2739" t="s">
        <v>4382</v>
      </c>
      <c r="B2739" t="str">
        <f>"002055"</f>
        <v>002055</v>
      </c>
      <c r="C2739" t="s">
        <v>5521</v>
      </c>
      <c r="D2739" t="s">
        <v>150</v>
      </c>
      <c r="F2739">
        <v>-1126505577</v>
      </c>
      <c r="G2739">
        <v>352795049</v>
      </c>
      <c r="H2739">
        <v>158048816</v>
      </c>
      <c r="I2739">
        <v>-514578312</v>
      </c>
      <c r="J2739">
        <v>-757144171</v>
      </c>
      <c r="K2739">
        <v>-318630182</v>
      </c>
      <c r="L2739">
        <v>-389084896</v>
      </c>
      <c r="M2739">
        <v>-79064010</v>
      </c>
      <c r="N2739">
        <v>-90301448</v>
      </c>
      <c r="O2739">
        <v>-5261220</v>
      </c>
      <c r="P2739">
        <v>245</v>
      </c>
      <c r="Q2739" t="s">
        <v>5522</v>
      </c>
    </row>
    <row r="2740" spans="1:17" x14ac:dyDescent="0.3">
      <c r="A2740" t="s">
        <v>4382</v>
      </c>
      <c r="B2740" t="str">
        <f>"002056"</f>
        <v>002056</v>
      </c>
      <c r="C2740" t="s">
        <v>5523</v>
      </c>
      <c r="D2740" t="s">
        <v>234</v>
      </c>
      <c r="F2740">
        <v>108875216</v>
      </c>
      <c r="G2740">
        <v>472794926</v>
      </c>
      <c r="H2740">
        <v>1065935101</v>
      </c>
      <c r="I2740">
        <v>68152839</v>
      </c>
      <c r="J2740">
        <v>108035172</v>
      </c>
      <c r="K2740">
        <v>343535965</v>
      </c>
      <c r="L2740">
        <v>458839629</v>
      </c>
      <c r="M2740">
        <v>353876794</v>
      </c>
      <c r="N2740">
        <v>369888108</v>
      </c>
      <c r="O2740">
        <v>51524444</v>
      </c>
      <c r="P2740">
        <v>782</v>
      </c>
      <c r="Q2740" t="s">
        <v>5524</v>
      </c>
    </row>
    <row r="2741" spans="1:17" x14ac:dyDescent="0.3">
      <c r="A2741" t="s">
        <v>4382</v>
      </c>
      <c r="B2741" t="str">
        <f>"002057"</f>
        <v>002057</v>
      </c>
      <c r="C2741" t="s">
        <v>5525</v>
      </c>
      <c r="D2741" t="s">
        <v>234</v>
      </c>
      <c r="F2741">
        <v>-239612087</v>
      </c>
      <c r="G2741">
        <v>-135112758</v>
      </c>
      <c r="H2741">
        <v>-189275378</v>
      </c>
      <c r="I2741">
        <v>-100188412</v>
      </c>
      <c r="J2741">
        <v>-53211586</v>
      </c>
      <c r="K2741">
        <v>-7987030</v>
      </c>
      <c r="L2741">
        <v>-21338291</v>
      </c>
      <c r="M2741">
        <v>-44462794</v>
      </c>
      <c r="N2741">
        <v>-35741872</v>
      </c>
      <c r="O2741">
        <v>-34717838</v>
      </c>
      <c r="P2741">
        <v>127</v>
      </c>
      <c r="Q2741" t="s">
        <v>5526</v>
      </c>
    </row>
    <row r="2742" spans="1:17" x14ac:dyDescent="0.3">
      <c r="A2742" t="s">
        <v>4382</v>
      </c>
      <c r="B2742" t="str">
        <f>"002058"</f>
        <v>002058</v>
      </c>
      <c r="C2742" t="s">
        <v>5527</v>
      </c>
      <c r="D2742" t="s">
        <v>188</v>
      </c>
      <c r="F2742">
        <v>-24084526</v>
      </c>
      <c r="G2742">
        <v>1222570</v>
      </c>
      <c r="H2742">
        <v>-15186362</v>
      </c>
      <c r="I2742">
        <v>-19169672</v>
      </c>
      <c r="J2742">
        <v>-11962124</v>
      </c>
      <c r="K2742">
        <v>-4946979</v>
      </c>
      <c r="L2742">
        <v>-11113348</v>
      </c>
      <c r="M2742">
        <v>-11568956</v>
      </c>
      <c r="N2742">
        <v>721777</v>
      </c>
      <c r="O2742">
        <v>-9977014</v>
      </c>
      <c r="P2742">
        <v>55</v>
      </c>
      <c r="Q2742" t="s">
        <v>5528</v>
      </c>
    </row>
    <row r="2743" spans="1:17" x14ac:dyDescent="0.3">
      <c r="A2743" t="s">
        <v>4382</v>
      </c>
      <c r="B2743" t="str">
        <f>"002059"</f>
        <v>002059</v>
      </c>
      <c r="C2743" t="s">
        <v>5529</v>
      </c>
      <c r="D2743" t="s">
        <v>110</v>
      </c>
      <c r="F2743">
        <v>244777947</v>
      </c>
      <c r="G2743">
        <v>-508453408</v>
      </c>
      <c r="H2743">
        <v>88931245</v>
      </c>
      <c r="I2743">
        <v>-46499899</v>
      </c>
      <c r="J2743">
        <v>64351192</v>
      </c>
      <c r="K2743">
        <v>-93111093</v>
      </c>
      <c r="L2743">
        <v>-167544174</v>
      </c>
      <c r="M2743">
        <v>-364983144</v>
      </c>
      <c r="N2743">
        <v>-60534730</v>
      </c>
      <c r="O2743">
        <v>55190149</v>
      </c>
      <c r="P2743">
        <v>160</v>
      </c>
      <c r="Q2743" t="s">
        <v>5530</v>
      </c>
    </row>
    <row r="2744" spans="1:17" x14ac:dyDescent="0.3">
      <c r="A2744" t="s">
        <v>4382</v>
      </c>
      <c r="B2744" t="str">
        <f>"002060"</f>
        <v>002060</v>
      </c>
      <c r="C2744" t="s">
        <v>5531</v>
      </c>
      <c r="D2744" t="s">
        <v>95</v>
      </c>
      <c r="F2744">
        <v>-848474119</v>
      </c>
      <c r="G2744">
        <v>-1563278374</v>
      </c>
      <c r="H2744">
        <v>-606626623</v>
      </c>
      <c r="I2744">
        <v>-889847878</v>
      </c>
      <c r="J2744">
        <v>-1816123425</v>
      </c>
      <c r="K2744">
        <v>-1374501541</v>
      </c>
      <c r="L2744">
        <v>-375721598</v>
      </c>
      <c r="M2744">
        <v>-495140601</v>
      </c>
      <c r="N2744">
        <v>-969060012</v>
      </c>
      <c r="O2744">
        <v>-972269876</v>
      </c>
      <c r="P2744">
        <v>169</v>
      </c>
      <c r="Q2744" t="s">
        <v>5532</v>
      </c>
    </row>
    <row r="2745" spans="1:17" x14ac:dyDescent="0.3">
      <c r="A2745" t="s">
        <v>4382</v>
      </c>
      <c r="B2745" t="str">
        <f>"002061"</f>
        <v>002061</v>
      </c>
      <c r="C2745" t="s">
        <v>5533</v>
      </c>
      <c r="D2745" t="s">
        <v>95</v>
      </c>
      <c r="F2745">
        <v>-2917510717</v>
      </c>
      <c r="G2745">
        <v>-192041790</v>
      </c>
      <c r="H2745">
        <v>-575164049</v>
      </c>
      <c r="I2745">
        <v>-319569477</v>
      </c>
      <c r="J2745">
        <v>551221221</v>
      </c>
      <c r="K2745">
        <v>272623139</v>
      </c>
      <c r="L2745">
        <v>83605066</v>
      </c>
      <c r="M2745">
        <v>-38273935</v>
      </c>
      <c r="N2745">
        <v>-512495402</v>
      </c>
      <c r="O2745">
        <v>-380921351</v>
      </c>
      <c r="P2745">
        <v>215</v>
      </c>
      <c r="Q2745" t="s">
        <v>5534</v>
      </c>
    </row>
    <row r="2746" spans="1:17" x14ac:dyDescent="0.3">
      <c r="A2746" t="s">
        <v>4382</v>
      </c>
      <c r="B2746" t="str">
        <f>"002062"</f>
        <v>002062</v>
      </c>
      <c r="C2746" t="s">
        <v>5535</v>
      </c>
      <c r="D2746" t="s">
        <v>95</v>
      </c>
      <c r="F2746">
        <v>261636164</v>
      </c>
      <c r="G2746">
        <v>-86596856</v>
      </c>
      <c r="H2746">
        <v>-334038686</v>
      </c>
      <c r="I2746">
        <v>-164729459</v>
      </c>
      <c r="J2746">
        <v>459972287</v>
      </c>
      <c r="K2746">
        <v>1360499619</v>
      </c>
      <c r="L2746">
        <v>805219448</v>
      </c>
      <c r="M2746">
        <v>-888169815</v>
      </c>
      <c r="N2746">
        <v>-164270875</v>
      </c>
      <c r="O2746">
        <v>-869992740</v>
      </c>
      <c r="P2746">
        <v>145</v>
      </c>
      <c r="Q2746" t="s">
        <v>5536</v>
      </c>
    </row>
    <row r="2747" spans="1:17" x14ac:dyDescent="0.3">
      <c r="A2747" t="s">
        <v>4382</v>
      </c>
      <c r="B2747" t="str">
        <f>"002063"</f>
        <v>002063</v>
      </c>
      <c r="C2747" t="s">
        <v>5537</v>
      </c>
      <c r="D2747" t="s">
        <v>212</v>
      </c>
      <c r="F2747">
        <v>-692524394</v>
      </c>
      <c r="G2747">
        <v>-573648701</v>
      </c>
      <c r="H2747">
        <v>-552083663</v>
      </c>
      <c r="I2747">
        <v>-469177506</v>
      </c>
      <c r="J2747">
        <v>-422289425</v>
      </c>
      <c r="K2747">
        <v>-440150494</v>
      </c>
      <c r="L2747">
        <v>-395708819</v>
      </c>
      <c r="M2747">
        <v>-319986232</v>
      </c>
      <c r="N2747">
        <v>-268702372</v>
      </c>
      <c r="O2747">
        <v>-159229624</v>
      </c>
      <c r="P2747">
        <v>489</v>
      </c>
      <c r="Q2747" t="s">
        <v>5538</v>
      </c>
    </row>
    <row r="2748" spans="1:17" x14ac:dyDescent="0.3">
      <c r="A2748" t="s">
        <v>4382</v>
      </c>
      <c r="B2748" t="str">
        <f>"002064"</f>
        <v>002064</v>
      </c>
      <c r="C2748" t="s">
        <v>5539</v>
      </c>
      <c r="D2748" t="s">
        <v>133</v>
      </c>
      <c r="F2748">
        <v>1555092392</v>
      </c>
      <c r="G2748">
        <v>1427974705</v>
      </c>
      <c r="H2748">
        <v>155831551</v>
      </c>
      <c r="I2748">
        <v>344177042</v>
      </c>
      <c r="J2748">
        <v>161962395</v>
      </c>
      <c r="K2748">
        <v>135399296</v>
      </c>
      <c r="L2748">
        <v>-558986781</v>
      </c>
      <c r="M2748">
        <v>-220431391</v>
      </c>
      <c r="N2748">
        <v>-26977198</v>
      </c>
      <c r="O2748">
        <v>56400435</v>
      </c>
      <c r="P2748">
        <v>688</v>
      </c>
      <c r="Q2748" t="s">
        <v>5540</v>
      </c>
    </row>
    <row r="2749" spans="1:17" x14ac:dyDescent="0.3">
      <c r="A2749" t="s">
        <v>4382</v>
      </c>
      <c r="B2749" t="str">
        <f>"002065"</f>
        <v>002065</v>
      </c>
      <c r="C2749" t="s">
        <v>5541</v>
      </c>
      <c r="D2749" t="s">
        <v>212</v>
      </c>
      <c r="F2749">
        <v>-1081787945</v>
      </c>
      <c r="G2749">
        <v>-1055088327</v>
      </c>
      <c r="H2749">
        <v>-913449348</v>
      </c>
      <c r="I2749">
        <v>-1112514203</v>
      </c>
      <c r="J2749">
        <v>-466411954</v>
      </c>
      <c r="K2749">
        <v>-1127768073</v>
      </c>
      <c r="L2749">
        <v>-513200287</v>
      </c>
      <c r="M2749">
        <v>-675867595</v>
      </c>
      <c r="N2749">
        <v>-314163607</v>
      </c>
      <c r="O2749">
        <v>-208701398</v>
      </c>
      <c r="P2749">
        <v>942</v>
      </c>
      <c r="Q2749" t="s">
        <v>5542</v>
      </c>
    </row>
    <row r="2750" spans="1:17" x14ac:dyDescent="0.3">
      <c r="A2750" t="s">
        <v>4382</v>
      </c>
      <c r="B2750" t="str">
        <f>"002066"</f>
        <v>002066</v>
      </c>
      <c r="C2750" t="s">
        <v>5543</v>
      </c>
      <c r="D2750" t="s">
        <v>350</v>
      </c>
      <c r="F2750">
        <v>72256270</v>
      </c>
      <c r="G2750">
        <v>22327955</v>
      </c>
      <c r="H2750">
        <v>61837272</v>
      </c>
      <c r="I2750">
        <v>-88488538</v>
      </c>
      <c r="J2750">
        <v>-19493717</v>
      </c>
      <c r="K2750">
        <v>99833772</v>
      </c>
      <c r="L2750">
        <v>16831911</v>
      </c>
      <c r="M2750">
        <v>54525841</v>
      </c>
      <c r="N2750">
        <v>-64525707</v>
      </c>
      <c r="O2750">
        <v>-322272892</v>
      </c>
      <c r="P2750">
        <v>75</v>
      </c>
      <c r="Q2750" t="s">
        <v>5544</v>
      </c>
    </row>
    <row r="2751" spans="1:17" x14ac:dyDescent="0.3">
      <c r="A2751" t="s">
        <v>4382</v>
      </c>
      <c r="B2751" t="str">
        <f>"002067"</f>
        <v>002067</v>
      </c>
      <c r="C2751" t="s">
        <v>5545</v>
      </c>
      <c r="D2751" t="s">
        <v>161</v>
      </c>
      <c r="F2751">
        <v>-268963898</v>
      </c>
      <c r="G2751">
        <v>29597045</v>
      </c>
      <c r="H2751">
        <v>1051238827</v>
      </c>
      <c r="I2751">
        <v>174498626</v>
      </c>
      <c r="J2751">
        <v>-34635533</v>
      </c>
      <c r="K2751">
        <v>228643906</v>
      </c>
      <c r="L2751">
        <v>-73936856</v>
      </c>
      <c r="M2751">
        <v>-229802026</v>
      </c>
      <c r="N2751">
        <v>-114398968</v>
      </c>
      <c r="O2751">
        <v>-143385248</v>
      </c>
      <c r="P2751">
        <v>173</v>
      </c>
      <c r="Q2751" t="s">
        <v>5546</v>
      </c>
    </row>
    <row r="2752" spans="1:17" x14ac:dyDescent="0.3">
      <c r="A2752" t="s">
        <v>4382</v>
      </c>
      <c r="B2752" t="str">
        <f>"002068"</f>
        <v>002068</v>
      </c>
      <c r="C2752" t="s">
        <v>5547</v>
      </c>
      <c r="D2752" t="s">
        <v>133</v>
      </c>
      <c r="F2752">
        <v>132340409</v>
      </c>
      <c r="G2752">
        <v>-160808248</v>
      </c>
      <c r="H2752">
        <v>-40315173</v>
      </c>
      <c r="I2752">
        <v>471114620</v>
      </c>
      <c r="J2752">
        <v>-65140683</v>
      </c>
      <c r="K2752">
        <v>335483155</v>
      </c>
      <c r="L2752">
        <v>-601979587</v>
      </c>
      <c r="M2752">
        <v>939586195</v>
      </c>
      <c r="N2752">
        <v>-1172440922</v>
      </c>
      <c r="O2752">
        <v>-107188785</v>
      </c>
      <c r="P2752">
        <v>300</v>
      </c>
      <c r="Q2752" t="s">
        <v>5548</v>
      </c>
    </row>
    <row r="2753" spans="1:17" x14ac:dyDescent="0.3">
      <c r="A2753" t="s">
        <v>4382</v>
      </c>
      <c r="B2753" t="str">
        <f>"002069"</f>
        <v>002069</v>
      </c>
      <c r="C2753" t="s">
        <v>5549</v>
      </c>
      <c r="D2753" t="s">
        <v>205</v>
      </c>
      <c r="F2753">
        <v>36947175</v>
      </c>
      <c r="G2753">
        <v>192888788</v>
      </c>
      <c r="H2753">
        <v>185461871</v>
      </c>
      <c r="I2753">
        <v>249184793</v>
      </c>
      <c r="J2753">
        <v>-96062007</v>
      </c>
      <c r="K2753">
        <v>194021937</v>
      </c>
      <c r="L2753">
        <v>108486493</v>
      </c>
      <c r="M2753">
        <v>-299820299</v>
      </c>
      <c r="N2753">
        <v>-260232302</v>
      </c>
      <c r="O2753">
        <v>-385333955</v>
      </c>
      <c r="P2753">
        <v>406</v>
      </c>
      <c r="Q2753" t="s">
        <v>5550</v>
      </c>
    </row>
    <row r="2754" spans="1:17" x14ac:dyDescent="0.3">
      <c r="A2754" t="s">
        <v>4382</v>
      </c>
      <c r="B2754" t="str">
        <f>"002070"</f>
        <v>002070</v>
      </c>
      <c r="C2754" t="s">
        <v>5551</v>
      </c>
      <c r="H2754">
        <v>-4552179</v>
      </c>
      <c r="I2754">
        <v>-9975120</v>
      </c>
      <c r="J2754">
        <v>30893194</v>
      </c>
      <c r="K2754">
        <v>94312816</v>
      </c>
      <c r="L2754">
        <v>-36471737.979999997</v>
      </c>
      <c r="M2754">
        <v>109341311.25</v>
      </c>
      <c r="N2754">
        <v>-115876901.43000001</v>
      </c>
      <c r="O2754">
        <v>-12254682.560000001</v>
      </c>
      <c r="P2754">
        <v>27</v>
      </c>
      <c r="Q2754" t="s">
        <v>5552</v>
      </c>
    </row>
    <row r="2755" spans="1:17" x14ac:dyDescent="0.3">
      <c r="A2755" t="s">
        <v>4382</v>
      </c>
      <c r="B2755" t="str">
        <f>"002071"</f>
        <v>002071</v>
      </c>
      <c r="C2755" t="s">
        <v>5553</v>
      </c>
      <c r="G2755">
        <v>24257237</v>
      </c>
      <c r="H2755">
        <v>121972391</v>
      </c>
      <c r="I2755">
        <v>391400221</v>
      </c>
      <c r="J2755">
        <v>33074147</v>
      </c>
      <c r="K2755">
        <v>222301675</v>
      </c>
      <c r="L2755">
        <v>-70731337</v>
      </c>
      <c r="M2755">
        <v>-51892944</v>
      </c>
      <c r="N2755">
        <v>617447</v>
      </c>
      <c r="O2755">
        <v>-70505957</v>
      </c>
      <c r="P2755">
        <v>97</v>
      </c>
      <c r="Q2755" t="s">
        <v>5554</v>
      </c>
    </row>
    <row r="2756" spans="1:17" x14ac:dyDescent="0.3">
      <c r="A2756" t="s">
        <v>4382</v>
      </c>
      <c r="B2756" t="str">
        <f>"002072"</f>
        <v>002072</v>
      </c>
      <c r="C2756" t="s">
        <v>5555</v>
      </c>
      <c r="D2756" t="s">
        <v>103</v>
      </c>
      <c r="F2756">
        <v>-75359292</v>
      </c>
      <c r="G2756">
        <v>5119280</v>
      </c>
      <c r="H2756">
        <v>-4278563</v>
      </c>
      <c r="I2756">
        <v>9279370</v>
      </c>
      <c r="J2756">
        <v>825209</v>
      </c>
      <c r="K2756">
        <v>-10003827</v>
      </c>
      <c r="L2756">
        <v>-15310845</v>
      </c>
      <c r="M2756">
        <v>75133646</v>
      </c>
      <c r="N2756">
        <v>47391464</v>
      </c>
      <c r="O2756">
        <v>10801</v>
      </c>
      <c r="P2756">
        <v>64</v>
      </c>
      <c r="Q2756" t="s">
        <v>5556</v>
      </c>
    </row>
    <row r="2757" spans="1:17" x14ac:dyDescent="0.3">
      <c r="A2757" t="s">
        <v>4382</v>
      </c>
      <c r="B2757" t="str">
        <f>"002073"</f>
        <v>002073</v>
      </c>
      <c r="C2757" t="s">
        <v>5557</v>
      </c>
      <c r="D2757" t="s">
        <v>78</v>
      </c>
      <c r="F2757">
        <v>-301646153</v>
      </c>
      <c r="G2757">
        <v>-5086819</v>
      </c>
      <c r="H2757">
        <v>112097075</v>
      </c>
      <c r="I2757">
        <v>-33330182</v>
      </c>
      <c r="J2757">
        <v>98095704</v>
      </c>
      <c r="K2757">
        <v>-318882909</v>
      </c>
      <c r="L2757">
        <v>-405350577</v>
      </c>
      <c r="M2757">
        <v>-705484567</v>
      </c>
      <c r="N2757">
        <v>184464402</v>
      </c>
      <c r="O2757">
        <v>18873247</v>
      </c>
      <c r="P2757">
        <v>150</v>
      </c>
      <c r="Q2757" t="s">
        <v>5558</v>
      </c>
    </row>
    <row r="2758" spans="1:17" x14ac:dyDescent="0.3">
      <c r="A2758" t="s">
        <v>4382</v>
      </c>
      <c r="B2758" t="str">
        <f>"002074"</f>
        <v>002074</v>
      </c>
      <c r="C2758" t="s">
        <v>5559</v>
      </c>
      <c r="D2758" t="s">
        <v>188</v>
      </c>
      <c r="F2758">
        <v>-2290218210</v>
      </c>
      <c r="G2758">
        <v>-2278994794</v>
      </c>
      <c r="H2758">
        <v>-2287671783</v>
      </c>
      <c r="I2758">
        <v>-1463265699</v>
      </c>
      <c r="J2758">
        <v>-606036514</v>
      </c>
      <c r="K2758">
        <v>-917899309</v>
      </c>
      <c r="L2758">
        <v>-153422711</v>
      </c>
      <c r="M2758">
        <v>-16252782</v>
      </c>
      <c r="N2758">
        <v>19713170</v>
      </c>
      <c r="O2758">
        <v>-60397381</v>
      </c>
      <c r="P2758">
        <v>1003</v>
      </c>
      <c r="Q2758" t="s">
        <v>5560</v>
      </c>
    </row>
    <row r="2759" spans="1:17" x14ac:dyDescent="0.3">
      <c r="A2759" t="s">
        <v>4382</v>
      </c>
      <c r="B2759" t="str">
        <f>"002075"</f>
        <v>002075</v>
      </c>
      <c r="C2759" t="s">
        <v>5561</v>
      </c>
      <c r="D2759" t="s">
        <v>38</v>
      </c>
      <c r="F2759">
        <v>1577488867</v>
      </c>
      <c r="G2759">
        <v>609749255</v>
      </c>
      <c r="H2759">
        <v>3602156</v>
      </c>
      <c r="I2759">
        <v>1418330152</v>
      </c>
      <c r="J2759">
        <v>1136457185</v>
      </c>
      <c r="K2759">
        <v>173622758</v>
      </c>
      <c r="L2759">
        <v>313204942</v>
      </c>
      <c r="M2759">
        <v>1137772954</v>
      </c>
      <c r="N2759">
        <v>-169860348</v>
      </c>
      <c r="O2759">
        <v>559797080</v>
      </c>
      <c r="P2759">
        <v>281</v>
      </c>
      <c r="Q2759" t="s">
        <v>5562</v>
      </c>
    </row>
    <row r="2760" spans="1:17" x14ac:dyDescent="0.3">
      <c r="A2760" t="s">
        <v>4382</v>
      </c>
      <c r="B2760" t="str">
        <f>"002076"</f>
        <v>002076</v>
      </c>
      <c r="C2760" t="s">
        <v>5563</v>
      </c>
      <c r="D2760" t="s">
        <v>126</v>
      </c>
      <c r="F2760">
        <v>-18208012</v>
      </c>
      <c r="G2760">
        <v>-24050934</v>
      </c>
      <c r="H2760">
        <v>9699613</v>
      </c>
      <c r="I2760">
        <v>-39284077</v>
      </c>
      <c r="J2760">
        <v>-447634742</v>
      </c>
      <c r="K2760">
        <v>-24784946</v>
      </c>
      <c r="L2760">
        <v>18511129</v>
      </c>
      <c r="M2760">
        <v>-13909366</v>
      </c>
      <c r="N2760">
        <v>-24570637</v>
      </c>
      <c r="O2760">
        <v>21939608</v>
      </c>
      <c r="P2760">
        <v>100</v>
      </c>
      <c r="Q2760" t="s">
        <v>5564</v>
      </c>
    </row>
    <row r="2761" spans="1:17" x14ac:dyDescent="0.3">
      <c r="A2761" t="s">
        <v>4382</v>
      </c>
      <c r="B2761" t="str">
        <f>"002077"</f>
        <v>002077</v>
      </c>
      <c r="C2761" t="s">
        <v>5565</v>
      </c>
      <c r="D2761" t="s">
        <v>150</v>
      </c>
      <c r="F2761">
        <v>144230325</v>
      </c>
      <c r="G2761">
        <v>152195212</v>
      </c>
      <c r="H2761">
        <v>187749396</v>
      </c>
      <c r="I2761">
        <v>-116102483</v>
      </c>
      <c r="J2761">
        <v>-239660904</v>
      </c>
      <c r="K2761">
        <v>-313743059</v>
      </c>
      <c r="L2761">
        <v>-133766985</v>
      </c>
      <c r="M2761">
        <v>-240312530</v>
      </c>
      <c r="N2761">
        <v>-918575058</v>
      </c>
      <c r="O2761">
        <v>-361333863</v>
      </c>
      <c r="P2761">
        <v>125</v>
      </c>
      <c r="Q2761" t="s">
        <v>5566</v>
      </c>
    </row>
    <row r="2762" spans="1:17" x14ac:dyDescent="0.3">
      <c r="A2762" t="s">
        <v>4382</v>
      </c>
      <c r="B2762" t="str">
        <f>"002078"</f>
        <v>002078</v>
      </c>
      <c r="C2762" t="s">
        <v>5567</v>
      </c>
      <c r="D2762" t="s">
        <v>161</v>
      </c>
      <c r="F2762">
        <v>-2906895640</v>
      </c>
      <c r="G2762">
        <v>-535728203</v>
      </c>
      <c r="H2762">
        <v>528090523</v>
      </c>
      <c r="I2762">
        <v>843694860</v>
      </c>
      <c r="J2762">
        <v>-627925788</v>
      </c>
      <c r="K2762">
        <v>1136280099</v>
      </c>
      <c r="L2762">
        <v>-596014914</v>
      </c>
      <c r="M2762">
        <v>618444987</v>
      </c>
      <c r="N2762">
        <v>492656589</v>
      </c>
      <c r="O2762">
        <v>-60284563</v>
      </c>
      <c r="P2762">
        <v>1103</v>
      </c>
      <c r="Q2762" t="s">
        <v>5568</v>
      </c>
    </row>
    <row r="2763" spans="1:17" x14ac:dyDescent="0.3">
      <c r="A2763" t="s">
        <v>4382</v>
      </c>
      <c r="B2763" t="str">
        <f>"002079"</f>
        <v>002079</v>
      </c>
      <c r="C2763" t="s">
        <v>5569</v>
      </c>
      <c r="D2763" t="s">
        <v>150</v>
      </c>
      <c r="F2763">
        <v>-119314749</v>
      </c>
      <c r="G2763">
        <v>34619967</v>
      </c>
      <c r="H2763">
        <v>36241004</v>
      </c>
      <c r="I2763">
        <v>18098664</v>
      </c>
      <c r="J2763">
        <v>-13592085</v>
      </c>
      <c r="K2763">
        <v>69808466</v>
      </c>
      <c r="L2763">
        <v>-20092978</v>
      </c>
      <c r="M2763">
        <v>226320730</v>
      </c>
      <c r="N2763">
        <v>-37695134</v>
      </c>
      <c r="O2763">
        <v>-51227387</v>
      </c>
      <c r="P2763">
        <v>372</v>
      </c>
      <c r="Q2763" t="s">
        <v>5570</v>
      </c>
    </row>
    <row r="2764" spans="1:17" x14ac:dyDescent="0.3">
      <c r="A2764" t="s">
        <v>4382</v>
      </c>
      <c r="B2764" t="str">
        <f>"002080"</f>
        <v>002080</v>
      </c>
      <c r="C2764" t="s">
        <v>5571</v>
      </c>
      <c r="D2764" t="s">
        <v>350</v>
      </c>
      <c r="F2764">
        <v>-52301959</v>
      </c>
      <c r="G2764">
        <v>-661494531</v>
      </c>
      <c r="H2764">
        <v>-464812020</v>
      </c>
      <c r="I2764">
        <v>-784787941</v>
      </c>
      <c r="J2764">
        <v>-358086957</v>
      </c>
      <c r="K2764">
        <v>-643704231</v>
      </c>
      <c r="L2764">
        <v>283770854</v>
      </c>
      <c r="M2764">
        <v>167145644</v>
      </c>
      <c r="N2764">
        <v>-268893488</v>
      </c>
      <c r="O2764">
        <v>-353343270</v>
      </c>
      <c r="P2764">
        <v>913</v>
      </c>
      <c r="Q2764" t="s">
        <v>5572</v>
      </c>
    </row>
    <row r="2765" spans="1:17" x14ac:dyDescent="0.3">
      <c r="A2765" t="s">
        <v>4382</v>
      </c>
      <c r="B2765" t="str">
        <f>"002081"</f>
        <v>002081</v>
      </c>
      <c r="C2765" t="s">
        <v>5573</v>
      </c>
      <c r="D2765" t="s">
        <v>95</v>
      </c>
      <c r="F2765">
        <v>-653112967</v>
      </c>
      <c r="G2765">
        <v>-734122866</v>
      </c>
      <c r="H2765">
        <v>-885351990</v>
      </c>
      <c r="I2765">
        <v>-1034289349</v>
      </c>
      <c r="J2765">
        <v>142178737</v>
      </c>
      <c r="K2765">
        <v>179516577</v>
      </c>
      <c r="L2765">
        <v>-927493661</v>
      </c>
      <c r="M2765">
        <v>-863168246</v>
      </c>
      <c r="N2765">
        <v>-281733596</v>
      </c>
      <c r="O2765">
        <v>-89235737</v>
      </c>
      <c r="P2765">
        <v>18140</v>
      </c>
      <c r="Q2765" t="s">
        <v>5574</v>
      </c>
    </row>
    <row r="2766" spans="1:17" x14ac:dyDescent="0.3">
      <c r="A2766" t="s">
        <v>4382</v>
      </c>
      <c r="B2766" t="str">
        <f>"002082"</f>
        <v>002082</v>
      </c>
      <c r="C2766" t="s">
        <v>5575</v>
      </c>
      <c r="D2766" t="s">
        <v>234</v>
      </c>
      <c r="F2766">
        <v>-415431711</v>
      </c>
      <c r="G2766">
        <v>-703543374</v>
      </c>
      <c r="H2766">
        <v>-624145129</v>
      </c>
      <c r="I2766">
        <v>-125377784</v>
      </c>
      <c r="J2766">
        <v>-119167001</v>
      </c>
      <c r="K2766">
        <v>161711362</v>
      </c>
      <c r="L2766">
        <v>-63412500</v>
      </c>
      <c r="M2766">
        <v>29018823</v>
      </c>
      <c r="N2766">
        <v>195757121</v>
      </c>
      <c r="O2766">
        <v>101801338</v>
      </c>
      <c r="P2766">
        <v>135</v>
      </c>
      <c r="Q2766" t="s">
        <v>5576</v>
      </c>
    </row>
    <row r="2767" spans="1:17" x14ac:dyDescent="0.3">
      <c r="A2767" t="s">
        <v>4382</v>
      </c>
      <c r="B2767" t="str">
        <f>"002083"</f>
        <v>002083</v>
      </c>
      <c r="C2767" t="s">
        <v>5577</v>
      </c>
      <c r="D2767" t="s">
        <v>227</v>
      </c>
      <c r="F2767">
        <v>32503258</v>
      </c>
      <c r="G2767">
        <v>484018991</v>
      </c>
      <c r="H2767">
        <v>419956012</v>
      </c>
      <c r="I2767">
        <v>206368851</v>
      </c>
      <c r="J2767">
        <v>227591931</v>
      </c>
      <c r="K2767">
        <v>856613913</v>
      </c>
      <c r="L2767">
        <v>392456380</v>
      </c>
      <c r="M2767">
        <v>-228956115</v>
      </c>
      <c r="N2767">
        <v>685879804</v>
      </c>
      <c r="O2767">
        <v>415105132</v>
      </c>
      <c r="P2767">
        <v>283</v>
      </c>
      <c r="Q2767" t="s">
        <v>5578</v>
      </c>
    </row>
    <row r="2768" spans="1:17" x14ac:dyDescent="0.3">
      <c r="A2768" t="s">
        <v>4382</v>
      </c>
      <c r="B2768" t="str">
        <f>"002084"</f>
        <v>002084</v>
      </c>
      <c r="C2768" t="s">
        <v>5579</v>
      </c>
      <c r="D2768" t="s">
        <v>161</v>
      </c>
      <c r="F2768">
        <v>-170835823</v>
      </c>
      <c r="G2768">
        <v>59045229</v>
      </c>
      <c r="H2768">
        <v>10939866</v>
      </c>
      <c r="I2768">
        <v>-225817355</v>
      </c>
      <c r="J2768">
        <v>53419761</v>
      </c>
      <c r="K2768">
        <v>173468994</v>
      </c>
      <c r="L2768">
        <v>164842488</v>
      </c>
      <c r="M2768">
        <v>63415612</v>
      </c>
      <c r="N2768">
        <v>65753965</v>
      </c>
      <c r="O2768">
        <v>-17862834</v>
      </c>
      <c r="P2768">
        <v>148</v>
      </c>
      <c r="Q2768" t="s">
        <v>5580</v>
      </c>
    </row>
    <row r="2769" spans="1:17" x14ac:dyDescent="0.3">
      <c r="A2769" t="s">
        <v>4382</v>
      </c>
      <c r="B2769" t="str">
        <f>"002085"</f>
        <v>002085</v>
      </c>
      <c r="C2769" t="s">
        <v>5581</v>
      </c>
      <c r="D2769" t="s">
        <v>27</v>
      </c>
      <c r="F2769">
        <v>216415333</v>
      </c>
      <c r="G2769">
        <v>584578389</v>
      </c>
      <c r="H2769">
        <v>434634886</v>
      </c>
      <c r="I2769">
        <v>-338298981</v>
      </c>
      <c r="J2769">
        <v>306157370</v>
      </c>
      <c r="K2769">
        <v>452541843</v>
      </c>
      <c r="L2769">
        <v>-82113367</v>
      </c>
      <c r="M2769">
        <v>254540744</v>
      </c>
      <c r="N2769">
        <v>119818631</v>
      </c>
      <c r="O2769">
        <v>254795828</v>
      </c>
      <c r="P2769">
        <v>1527</v>
      </c>
      <c r="Q2769" t="s">
        <v>5582</v>
      </c>
    </row>
    <row r="2770" spans="1:17" x14ac:dyDescent="0.3">
      <c r="A2770" t="s">
        <v>4382</v>
      </c>
      <c r="B2770" t="str">
        <f>"002086"</f>
        <v>002086</v>
      </c>
      <c r="C2770" t="s">
        <v>5583</v>
      </c>
      <c r="D2770" t="s">
        <v>205</v>
      </c>
      <c r="F2770">
        <v>-14621802</v>
      </c>
      <c r="G2770">
        <v>-484033615</v>
      </c>
      <c r="H2770">
        <v>925135154</v>
      </c>
      <c r="I2770">
        <v>-153667798</v>
      </c>
      <c r="J2770">
        <v>-130853223</v>
      </c>
      <c r="K2770">
        <v>-81151841</v>
      </c>
      <c r="L2770">
        <v>50179837</v>
      </c>
      <c r="M2770">
        <v>-92385636</v>
      </c>
      <c r="N2770">
        <v>-97094468</v>
      </c>
      <c r="O2770">
        <v>-139463176</v>
      </c>
      <c r="P2770">
        <v>70</v>
      </c>
      <c r="Q2770" t="s">
        <v>5584</v>
      </c>
    </row>
    <row r="2771" spans="1:17" x14ac:dyDescent="0.3">
      <c r="A2771" t="s">
        <v>4382</v>
      </c>
      <c r="B2771" t="str">
        <f>"002087"</f>
        <v>002087</v>
      </c>
      <c r="C2771" t="s">
        <v>5585</v>
      </c>
      <c r="D2771" t="s">
        <v>227</v>
      </c>
      <c r="F2771">
        <v>722619797</v>
      </c>
      <c r="G2771">
        <v>259051073</v>
      </c>
      <c r="H2771">
        <v>828112056</v>
      </c>
      <c r="I2771">
        <v>270728535</v>
      </c>
      <c r="J2771">
        <v>-201342693</v>
      </c>
      <c r="K2771">
        <v>-443998337</v>
      </c>
      <c r="L2771">
        <v>-154593729</v>
      </c>
      <c r="M2771">
        <v>-139904181</v>
      </c>
      <c r="N2771">
        <v>93010526</v>
      </c>
      <c r="O2771">
        <v>-105601250</v>
      </c>
      <c r="P2771">
        <v>208</v>
      </c>
      <c r="Q2771" t="s">
        <v>5586</v>
      </c>
    </row>
    <row r="2772" spans="1:17" x14ac:dyDescent="0.3">
      <c r="A2772" t="s">
        <v>4382</v>
      </c>
      <c r="B2772" t="str">
        <f>"002088"</f>
        <v>002088</v>
      </c>
      <c r="C2772" t="s">
        <v>5587</v>
      </c>
      <c r="D2772" t="s">
        <v>350</v>
      </c>
      <c r="F2772">
        <v>222454243</v>
      </c>
      <c r="G2772">
        <v>224201685</v>
      </c>
      <c r="H2772">
        <v>-7586557</v>
      </c>
      <c r="I2772">
        <v>-31554171</v>
      </c>
      <c r="J2772">
        <v>248478269</v>
      </c>
      <c r="K2772">
        <v>200971392</v>
      </c>
      <c r="L2772">
        <v>102637836</v>
      </c>
      <c r="M2772">
        <v>-3325246</v>
      </c>
      <c r="N2772">
        <v>-11941873</v>
      </c>
      <c r="O2772">
        <v>44269231</v>
      </c>
      <c r="P2772">
        <v>409</v>
      </c>
      <c r="Q2772" t="s">
        <v>5588</v>
      </c>
    </row>
    <row r="2773" spans="1:17" x14ac:dyDescent="0.3">
      <c r="A2773" t="s">
        <v>4382</v>
      </c>
      <c r="B2773" t="str">
        <f>"002089"</f>
        <v>002089</v>
      </c>
      <c r="C2773" t="s">
        <v>5589</v>
      </c>
      <c r="D2773" t="s">
        <v>100</v>
      </c>
      <c r="F2773">
        <v>66520379</v>
      </c>
      <c r="G2773">
        <v>73848717</v>
      </c>
      <c r="H2773">
        <v>286566498</v>
      </c>
      <c r="I2773">
        <v>162029275</v>
      </c>
      <c r="J2773">
        <v>-147964839</v>
      </c>
      <c r="K2773">
        <v>-188110252</v>
      </c>
      <c r="L2773">
        <v>-143627872</v>
      </c>
      <c r="M2773">
        <v>-256224315</v>
      </c>
      <c r="N2773">
        <v>-115441119</v>
      </c>
      <c r="O2773">
        <v>-321305363</v>
      </c>
      <c r="P2773">
        <v>175</v>
      </c>
      <c r="Q2773" t="s">
        <v>5590</v>
      </c>
    </row>
    <row r="2774" spans="1:17" x14ac:dyDescent="0.3">
      <c r="A2774" t="s">
        <v>4382</v>
      </c>
      <c r="B2774" t="str">
        <f>"002090"</f>
        <v>002090</v>
      </c>
      <c r="C2774" t="s">
        <v>5591</v>
      </c>
      <c r="D2774" t="s">
        <v>188</v>
      </c>
      <c r="F2774">
        <v>-169176354</v>
      </c>
      <c r="G2774">
        <v>-710679654</v>
      </c>
      <c r="H2774">
        <v>51573781</v>
      </c>
      <c r="I2774">
        <v>-174146732</v>
      </c>
      <c r="J2774">
        <v>-521365257</v>
      </c>
      <c r="K2774">
        <v>-541263596</v>
      </c>
      <c r="L2774">
        <v>-415302955</v>
      </c>
      <c r="M2774">
        <v>-86534563</v>
      </c>
      <c r="N2774">
        <v>-54329003</v>
      </c>
      <c r="O2774">
        <v>-91149200</v>
      </c>
      <c r="P2774">
        <v>229</v>
      </c>
      <c r="Q2774" t="s">
        <v>5592</v>
      </c>
    </row>
    <row r="2775" spans="1:17" x14ac:dyDescent="0.3">
      <c r="A2775" t="s">
        <v>4382</v>
      </c>
      <c r="B2775" t="str">
        <f>"002091"</f>
        <v>002091</v>
      </c>
      <c r="C2775" t="s">
        <v>5593</v>
      </c>
      <c r="D2775" t="s">
        <v>120</v>
      </c>
      <c r="F2775">
        <v>-2350339988</v>
      </c>
      <c r="G2775">
        <v>1772516389</v>
      </c>
      <c r="H2775">
        <v>1133037939</v>
      </c>
      <c r="I2775">
        <v>-648388046</v>
      </c>
      <c r="J2775">
        <v>-1105428686</v>
      </c>
      <c r="K2775">
        <v>127274540</v>
      </c>
      <c r="L2775">
        <v>-275533007</v>
      </c>
      <c r="M2775">
        <v>310438573</v>
      </c>
      <c r="N2775">
        <v>195788665</v>
      </c>
      <c r="O2775">
        <v>280256016</v>
      </c>
      <c r="P2775">
        <v>509</v>
      </c>
      <c r="Q2775" t="s">
        <v>5594</v>
      </c>
    </row>
    <row r="2776" spans="1:17" x14ac:dyDescent="0.3">
      <c r="A2776" t="s">
        <v>4382</v>
      </c>
      <c r="B2776" t="str">
        <f>"002092"</f>
        <v>002092</v>
      </c>
      <c r="C2776" t="s">
        <v>5595</v>
      </c>
      <c r="D2776" t="s">
        <v>133</v>
      </c>
      <c r="F2776">
        <v>7826317</v>
      </c>
      <c r="G2776">
        <v>2068039994</v>
      </c>
      <c r="H2776">
        <v>354215473</v>
      </c>
      <c r="I2776">
        <v>993292117</v>
      </c>
      <c r="J2776">
        <v>485573899</v>
      </c>
      <c r="K2776">
        <v>134573237</v>
      </c>
      <c r="L2776">
        <v>-1115617249</v>
      </c>
      <c r="M2776">
        <v>-94499190</v>
      </c>
      <c r="N2776">
        <v>-788868295</v>
      </c>
      <c r="O2776">
        <v>-4473593794</v>
      </c>
      <c r="P2776">
        <v>521</v>
      </c>
      <c r="Q2776" t="s">
        <v>5596</v>
      </c>
    </row>
    <row r="2777" spans="1:17" x14ac:dyDescent="0.3">
      <c r="A2777" t="s">
        <v>4382</v>
      </c>
      <c r="B2777" t="str">
        <f>"002093"</f>
        <v>002093</v>
      </c>
      <c r="C2777" t="s">
        <v>5597</v>
      </c>
      <c r="D2777" t="s">
        <v>100</v>
      </c>
      <c r="F2777">
        <v>-33574093</v>
      </c>
      <c r="G2777">
        <v>-150298792</v>
      </c>
      <c r="H2777">
        <v>127684639</v>
      </c>
      <c r="I2777">
        <v>-70944706</v>
      </c>
      <c r="J2777">
        <v>208713928</v>
      </c>
      <c r="K2777">
        <v>18610816</v>
      </c>
      <c r="L2777">
        <v>-137948819</v>
      </c>
      <c r="M2777">
        <v>-110747312</v>
      </c>
      <c r="N2777">
        <v>-301853645</v>
      </c>
      <c r="O2777">
        <v>-272948675</v>
      </c>
      <c r="P2777">
        <v>288</v>
      </c>
      <c r="Q2777" t="s">
        <v>5598</v>
      </c>
    </row>
    <row r="2778" spans="1:17" x14ac:dyDescent="0.3">
      <c r="A2778" t="s">
        <v>4382</v>
      </c>
      <c r="B2778" t="str">
        <f>"002094"</f>
        <v>002094</v>
      </c>
      <c r="C2778" t="s">
        <v>5599</v>
      </c>
      <c r="D2778" t="s">
        <v>481</v>
      </c>
      <c r="F2778">
        <v>-640220455</v>
      </c>
      <c r="G2778">
        <v>-589044513</v>
      </c>
      <c r="H2778">
        <v>-541231908</v>
      </c>
      <c r="I2778">
        <v>-709594587</v>
      </c>
      <c r="J2778">
        <v>-374957008</v>
      </c>
      <c r="K2778">
        <v>-227115746</v>
      </c>
      <c r="L2778">
        <v>-78303631</v>
      </c>
      <c r="M2778">
        <v>-22379502</v>
      </c>
      <c r="N2778">
        <v>-129095207</v>
      </c>
      <c r="O2778">
        <v>1373181</v>
      </c>
      <c r="P2778">
        <v>183</v>
      </c>
      <c r="Q2778" t="s">
        <v>5600</v>
      </c>
    </row>
    <row r="2779" spans="1:17" x14ac:dyDescent="0.3">
      <c r="A2779" t="s">
        <v>4382</v>
      </c>
      <c r="B2779" t="str">
        <f>"002095"</f>
        <v>002095</v>
      </c>
      <c r="C2779" t="s">
        <v>5601</v>
      </c>
      <c r="D2779" t="s">
        <v>89</v>
      </c>
      <c r="F2779">
        <v>-99059511</v>
      </c>
      <c r="G2779">
        <v>-59510512</v>
      </c>
      <c r="H2779">
        <v>110801440</v>
      </c>
      <c r="I2779">
        <v>-21916020</v>
      </c>
      <c r="J2779">
        <v>-56793362</v>
      </c>
      <c r="K2779">
        <v>-12015677</v>
      </c>
      <c r="L2779">
        <v>14806578</v>
      </c>
      <c r="M2779">
        <v>16132788</v>
      </c>
      <c r="N2779">
        <v>23933208</v>
      </c>
      <c r="O2779">
        <v>36772805</v>
      </c>
      <c r="P2779">
        <v>97</v>
      </c>
      <c r="Q2779" t="s">
        <v>5602</v>
      </c>
    </row>
    <row r="2780" spans="1:17" x14ac:dyDescent="0.3">
      <c r="A2780" t="s">
        <v>4382</v>
      </c>
      <c r="B2780" t="str">
        <f>"002096"</f>
        <v>002096</v>
      </c>
      <c r="C2780" t="s">
        <v>5603</v>
      </c>
      <c r="D2780" t="s">
        <v>133</v>
      </c>
      <c r="F2780">
        <v>-386436556</v>
      </c>
      <c r="G2780">
        <v>291461417</v>
      </c>
      <c r="H2780">
        <v>20776144</v>
      </c>
      <c r="I2780">
        <v>-197492568</v>
      </c>
      <c r="J2780">
        <v>-421839170</v>
      </c>
      <c r="K2780">
        <v>-408086873</v>
      </c>
      <c r="L2780">
        <v>-148830313</v>
      </c>
      <c r="M2780">
        <v>6086582</v>
      </c>
      <c r="N2780">
        <v>-63554591</v>
      </c>
      <c r="O2780">
        <v>-217320</v>
      </c>
      <c r="P2780">
        <v>79</v>
      </c>
      <c r="Q2780" t="s">
        <v>5604</v>
      </c>
    </row>
    <row r="2781" spans="1:17" x14ac:dyDescent="0.3">
      <c r="A2781" t="s">
        <v>4382</v>
      </c>
      <c r="B2781" t="str">
        <f>"002097"</f>
        <v>002097</v>
      </c>
      <c r="C2781" t="s">
        <v>5605</v>
      </c>
      <c r="D2781" t="s">
        <v>78</v>
      </c>
      <c r="F2781">
        <v>-900876510</v>
      </c>
      <c r="G2781">
        <v>-155900769</v>
      </c>
      <c r="H2781">
        <v>-55881015</v>
      </c>
      <c r="I2781">
        <v>-523055508</v>
      </c>
      <c r="J2781">
        <v>-877797511</v>
      </c>
      <c r="K2781">
        <v>-132358871</v>
      </c>
      <c r="L2781">
        <v>-512416781</v>
      </c>
      <c r="M2781">
        <v>-2062217</v>
      </c>
      <c r="N2781">
        <v>33948866</v>
      </c>
      <c r="O2781">
        <v>-453281794</v>
      </c>
      <c r="P2781">
        <v>217</v>
      </c>
      <c r="Q2781" t="s">
        <v>5606</v>
      </c>
    </row>
    <row r="2782" spans="1:17" x14ac:dyDescent="0.3">
      <c r="A2782" t="s">
        <v>4382</v>
      </c>
      <c r="B2782" t="str">
        <f>"002098"</f>
        <v>002098</v>
      </c>
      <c r="C2782" t="s">
        <v>5607</v>
      </c>
      <c r="D2782" t="s">
        <v>227</v>
      </c>
      <c r="F2782">
        <v>-40513448</v>
      </c>
      <c r="G2782">
        <v>178337812</v>
      </c>
      <c r="H2782">
        <v>132157764</v>
      </c>
      <c r="I2782">
        <v>98148261</v>
      </c>
      <c r="J2782">
        <v>34720793</v>
      </c>
      <c r="K2782">
        <v>40057009</v>
      </c>
      <c r="L2782">
        <v>58885057</v>
      </c>
      <c r="M2782">
        <v>44717115</v>
      </c>
      <c r="N2782">
        <v>73554010</v>
      </c>
      <c r="O2782">
        <v>87698200</v>
      </c>
      <c r="P2782">
        <v>111</v>
      </c>
      <c r="Q2782" t="s">
        <v>5608</v>
      </c>
    </row>
    <row r="2783" spans="1:17" x14ac:dyDescent="0.3">
      <c r="A2783" t="s">
        <v>4382</v>
      </c>
      <c r="B2783" t="str">
        <f>"002099"</f>
        <v>002099</v>
      </c>
      <c r="C2783" t="s">
        <v>5609</v>
      </c>
      <c r="D2783" t="s">
        <v>113</v>
      </c>
      <c r="F2783">
        <v>80620317</v>
      </c>
      <c r="G2783">
        <v>442178996</v>
      </c>
      <c r="H2783">
        <v>311199826</v>
      </c>
      <c r="I2783">
        <v>333948767</v>
      </c>
      <c r="J2783">
        <v>249662175</v>
      </c>
      <c r="K2783">
        <v>319075904</v>
      </c>
      <c r="L2783">
        <v>63552601</v>
      </c>
      <c r="M2783">
        <v>59405258</v>
      </c>
      <c r="N2783">
        <v>-149791254</v>
      </c>
      <c r="O2783">
        <v>-197060089</v>
      </c>
      <c r="P2783">
        <v>298</v>
      </c>
      <c r="Q2783" t="s">
        <v>5610</v>
      </c>
    </row>
    <row r="2784" spans="1:17" x14ac:dyDescent="0.3">
      <c r="A2784" t="s">
        <v>4382</v>
      </c>
      <c r="B2784" t="str">
        <f>"002100"</f>
        <v>002100</v>
      </c>
      <c r="C2784" t="s">
        <v>5611</v>
      </c>
      <c r="D2784" t="s">
        <v>205</v>
      </c>
      <c r="F2784">
        <v>2530874060</v>
      </c>
      <c r="G2784">
        <v>1611941811</v>
      </c>
      <c r="H2784">
        <v>819968308</v>
      </c>
      <c r="I2784">
        <v>-303837079</v>
      </c>
      <c r="J2784">
        <v>230949398</v>
      </c>
      <c r="K2784">
        <v>120611857</v>
      </c>
      <c r="L2784">
        <v>135776079</v>
      </c>
      <c r="M2784">
        <v>317581751</v>
      </c>
      <c r="N2784">
        <v>175862984</v>
      </c>
      <c r="O2784">
        <v>227339223</v>
      </c>
      <c r="P2784">
        <v>737</v>
      </c>
      <c r="Q2784" t="s">
        <v>5612</v>
      </c>
    </row>
    <row r="2785" spans="1:17" x14ac:dyDescent="0.3">
      <c r="A2785" t="s">
        <v>4382</v>
      </c>
      <c r="B2785" t="str">
        <f>"002101"</f>
        <v>002101</v>
      </c>
      <c r="C2785" t="s">
        <v>5613</v>
      </c>
      <c r="D2785" t="s">
        <v>27</v>
      </c>
      <c r="F2785">
        <v>163198158</v>
      </c>
      <c r="G2785">
        <v>597770390</v>
      </c>
      <c r="H2785">
        <v>36558536</v>
      </c>
      <c r="I2785">
        <v>-163823624</v>
      </c>
      <c r="J2785">
        <v>-135392002</v>
      </c>
      <c r="K2785">
        <v>-178646427</v>
      </c>
      <c r="L2785">
        <v>-200231689</v>
      </c>
      <c r="M2785">
        <v>-100320497</v>
      </c>
      <c r="N2785">
        <v>-183772252</v>
      </c>
      <c r="O2785">
        <v>-123461516</v>
      </c>
      <c r="P2785">
        <v>267</v>
      </c>
      <c r="Q2785" t="s">
        <v>5614</v>
      </c>
    </row>
    <row r="2786" spans="1:17" x14ac:dyDescent="0.3">
      <c r="A2786" t="s">
        <v>4382</v>
      </c>
      <c r="B2786" t="str">
        <f>"002102"</f>
        <v>002102</v>
      </c>
      <c r="C2786" t="s">
        <v>5615</v>
      </c>
      <c r="D2786" t="s">
        <v>113</v>
      </c>
      <c r="F2786">
        <v>-124359257</v>
      </c>
      <c r="G2786">
        <v>736291379</v>
      </c>
      <c r="H2786">
        <v>175460923</v>
      </c>
      <c r="I2786">
        <v>226062313</v>
      </c>
      <c r="J2786">
        <v>-444992985</v>
      </c>
      <c r="K2786">
        <v>-165567535</v>
      </c>
      <c r="L2786">
        <v>48896959</v>
      </c>
      <c r="M2786">
        <v>-223957504</v>
      </c>
      <c r="N2786">
        <v>-87554236</v>
      </c>
      <c r="O2786">
        <v>-54720421</v>
      </c>
      <c r="P2786">
        <v>119</v>
      </c>
      <c r="Q2786" t="s">
        <v>5616</v>
      </c>
    </row>
    <row r="2787" spans="1:17" x14ac:dyDescent="0.3">
      <c r="A2787" t="s">
        <v>4382</v>
      </c>
      <c r="B2787" t="str">
        <f>"002103"</f>
        <v>002103</v>
      </c>
      <c r="C2787" t="s">
        <v>5617</v>
      </c>
      <c r="D2787" t="s">
        <v>89</v>
      </c>
      <c r="F2787">
        <v>-116169527</v>
      </c>
      <c r="G2787">
        <v>-94692632</v>
      </c>
      <c r="H2787">
        <v>-48989875</v>
      </c>
      <c r="I2787">
        <v>-86562230</v>
      </c>
      <c r="J2787">
        <v>-95143509</v>
      </c>
      <c r="K2787">
        <v>105699069</v>
      </c>
      <c r="L2787">
        <v>-59945309</v>
      </c>
      <c r="M2787">
        <v>-43799995</v>
      </c>
      <c r="N2787">
        <v>-33354463</v>
      </c>
      <c r="O2787">
        <v>2311564</v>
      </c>
      <c r="P2787">
        <v>108</v>
      </c>
      <c r="Q2787" t="s">
        <v>5618</v>
      </c>
    </row>
    <row r="2788" spans="1:17" x14ac:dyDescent="0.3">
      <c r="A2788" t="s">
        <v>4382</v>
      </c>
      <c r="B2788" t="str">
        <f>"002104"</f>
        <v>002104</v>
      </c>
      <c r="C2788" t="s">
        <v>5619</v>
      </c>
      <c r="D2788" t="s">
        <v>100</v>
      </c>
      <c r="F2788">
        <v>-118261184</v>
      </c>
      <c r="G2788">
        <v>223898606</v>
      </c>
      <c r="H2788">
        <v>-385924035</v>
      </c>
      <c r="I2788">
        <v>464900190</v>
      </c>
      <c r="J2788">
        <v>-680471190</v>
      </c>
      <c r="K2788">
        <v>-30095721</v>
      </c>
      <c r="L2788">
        <v>-153793637</v>
      </c>
      <c r="M2788">
        <v>13856198</v>
      </c>
      <c r="N2788">
        <v>-165252407</v>
      </c>
      <c r="O2788">
        <v>34309099</v>
      </c>
      <c r="P2788">
        <v>416</v>
      </c>
      <c r="Q2788" t="s">
        <v>5620</v>
      </c>
    </row>
    <row r="2789" spans="1:17" x14ac:dyDescent="0.3">
      <c r="A2789" t="s">
        <v>4382</v>
      </c>
      <c r="B2789" t="str">
        <f>"002105"</f>
        <v>002105</v>
      </c>
      <c r="C2789" t="s">
        <v>5621</v>
      </c>
      <c r="D2789" t="s">
        <v>27</v>
      </c>
      <c r="F2789">
        <v>36904644</v>
      </c>
      <c r="G2789">
        <v>148795185</v>
      </c>
      <c r="H2789">
        <v>144871436</v>
      </c>
      <c r="I2789">
        <v>40229474</v>
      </c>
      <c r="J2789">
        <v>-1048850</v>
      </c>
      <c r="K2789">
        <v>36903745</v>
      </c>
      <c r="L2789">
        <v>30008727</v>
      </c>
      <c r="M2789">
        <v>12365058</v>
      </c>
      <c r="N2789">
        <v>-28990395</v>
      </c>
      <c r="O2789">
        <v>1577723</v>
      </c>
      <c r="P2789">
        <v>217</v>
      </c>
      <c r="Q2789" t="s">
        <v>5622</v>
      </c>
    </row>
    <row r="2790" spans="1:17" x14ac:dyDescent="0.3">
      <c r="A2790" t="s">
        <v>4382</v>
      </c>
      <c r="B2790" t="str">
        <f>"002106"</f>
        <v>002106</v>
      </c>
      <c r="C2790" t="s">
        <v>5623</v>
      </c>
      <c r="D2790" t="s">
        <v>150</v>
      </c>
      <c r="F2790">
        <v>535850971</v>
      </c>
      <c r="G2790">
        <v>262214977</v>
      </c>
      <c r="H2790">
        <v>479414757</v>
      </c>
      <c r="I2790">
        <v>245981292</v>
      </c>
      <c r="J2790">
        <v>241024225</v>
      </c>
      <c r="K2790">
        <v>151873414</v>
      </c>
      <c r="L2790">
        <v>31374996</v>
      </c>
      <c r="M2790">
        <v>-503105049</v>
      </c>
      <c r="N2790">
        <v>-506046045</v>
      </c>
      <c r="O2790">
        <v>-192871180</v>
      </c>
      <c r="P2790">
        <v>296</v>
      </c>
      <c r="Q2790" t="s">
        <v>5624</v>
      </c>
    </row>
    <row r="2791" spans="1:17" x14ac:dyDescent="0.3">
      <c r="A2791" t="s">
        <v>4382</v>
      </c>
      <c r="B2791" t="str">
        <f>"002107"</f>
        <v>002107</v>
      </c>
      <c r="C2791" t="s">
        <v>5625</v>
      </c>
      <c r="D2791" t="s">
        <v>113</v>
      </c>
      <c r="F2791">
        <v>128820225</v>
      </c>
      <c r="G2791">
        <v>101419516</v>
      </c>
      <c r="H2791">
        <v>69332975</v>
      </c>
      <c r="I2791">
        <v>21531212</v>
      </c>
      <c r="J2791">
        <v>72850243</v>
      </c>
      <c r="K2791">
        <v>39116968</v>
      </c>
      <c r="L2791">
        <v>108518725</v>
      </c>
      <c r="M2791">
        <v>6692678</v>
      </c>
      <c r="N2791">
        <v>-413273</v>
      </c>
      <c r="O2791">
        <v>3861442</v>
      </c>
      <c r="P2791">
        <v>351</v>
      </c>
      <c r="Q2791" t="s">
        <v>5626</v>
      </c>
    </row>
    <row r="2792" spans="1:17" x14ac:dyDescent="0.3">
      <c r="A2792" t="s">
        <v>4382</v>
      </c>
      <c r="B2792" t="str">
        <f>"002108"</f>
        <v>002108</v>
      </c>
      <c r="C2792" t="s">
        <v>5627</v>
      </c>
      <c r="D2792" t="s">
        <v>133</v>
      </c>
      <c r="F2792">
        <v>80122332</v>
      </c>
      <c r="G2792">
        <v>156759614</v>
      </c>
      <c r="H2792">
        <v>176861880</v>
      </c>
      <c r="I2792">
        <v>-89886222</v>
      </c>
      <c r="J2792">
        <v>-164819877</v>
      </c>
      <c r="K2792">
        <v>-65203090</v>
      </c>
      <c r="L2792">
        <v>-29008552</v>
      </c>
      <c r="M2792">
        <v>-5561168</v>
      </c>
      <c r="N2792">
        <v>-134708598</v>
      </c>
      <c r="O2792">
        <v>-134503536</v>
      </c>
      <c r="P2792">
        <v>345</v>
      </c>
      <c r="Q2792" t="s">
        <v>5628</v>
      </c>
    </row>
    <row r="2793" spans="1:17" x14ac:dyDescent="0.3">
      <c r="A2793" t="s">
        <v>4382</v>
      </c>
      <c r="B2793" t="str">
        <f>"002109"</f>
        <v>002109</v>
      </c>
      <c r="C2793" t="s">
        <v>5629</v>
      </c>
      <c r="D2793" t="s">
        <v>133</v>
      </c>
      <c r="F2793">
        <v>599047975</v>
      </c>
      <c r="G2793">
        <v>473115511</v>
      </c>
      <c r="H2793">
        <v>146144883</v>
      </c>
      <c r="I2793">
        <v>147830304</v>
      </c>
      <c r="J2793">
        <v>223792756</v>
      </c>
      <c r="K2793">
        <v>-16516281</v>
      </c>
      <c r="L2793">
        <v>-56344003</v>
      </c>
      <c r="M2793">
        <v>-181482861</v>
      </c>
      <c r="N2793">
        <v>13872866</v>
      </c>
      <c r="O2793">
        <v>53467913</v>
      </c>
      <c r="P2793">
        <v>138</v>
      </c>
      <c r="Q2793" t="s">
        <v>5630</v>
      </c>
    </row>
    <row r="2794" spans="1:17" x14ac:dyDescent="0.3">
      <c r="A2794" t="s">
        <v>4382</v>
      </c>
      <c r="B2794" t="str">
        <f>"002110"</f>
        <v>002110</v>
      </c>
      <c r="C2794" t="s">
        <v>5631</v>
      </c>
      <c r="D2794" t="s">
        <v>38</v>
      </c>
      <c r="F2794">
        <v>-253554634</v>
      </c>
      <c r="G2794">
        <v>3992860910</v>
      </c>
      <c r="H2794">
        <v>648538578</v>
      </c>
      <c r="I2794">
        <v>3489057559</v>
      </c>
      <c r="J2794">
        <v>1507982266</v>
      </c>
      <c r="K2794">
        <v>749784539</v>
      </c>
      <c r="L2794">
        <v>743799541</v>
      </c>
      <c r="M2794">
        <v>1056468003</v>
      </c>
      <c r="N2794">
        <v>-57455907</v>
      </c>
      <c r="O2794">
        <v>-483755615</v>
      </c>
      <c r="P2794">
        <v>1174</v>
      </c>
      <c r="Q2794" t="s">
        <v>5632</v>
      </c>
    </row>
    <row r="2795" spans="1:17" x14ac:dyDescent="0.3">
      <c r="A2795" t="s">
        <v>4382</v>
      </c>
      <c r="B2795" t="str">
        <f>"002111"</f>
        <v>002111</v>
      </c>
      <c r="C2795" t="s">
        <v>5633</v>
      </c>
      <c r="D2795" t="s">
        <v>78</v>
      </c>
      <c r="F2795">
        <v>-1043964982</v>
      </c>
      <c r="G2795">
        <v>-257220477</v>
      </c>
      <c r="H2795">
        <v>-297993788</v>
      </c>
      <c r="I2795">
        <v>-295753275</v>
      </c>
      <c r="J2795">
        <v>-139326510</v>
      </c>
      <c r="K2795">
        <v>-255350924</v>
      </c>
      <c r="L2795">
        <v>-117118920</v>
      </c>
      <c r="M2795">
        <v>22986962</v>
      </c>
      <c r="N2795">
        <v>-163391162</v>
      </c>
      <c r="O2795">
        <v>-155686733</v>
      </c>
      <c r="P2795">
        <v>214</v>
      </c>
      <c r="Q2795" t="s">
        <v>5634</v>
      </c>
    </row>
    <row r="2796" spans="1:17" x14ac:dyDescent="0.3">
      <c r="A2796" t="s">
        <v>4382</v>
      </c>
      <c r="B2796" t="str">
        <f>"002112"</f>
        <v>002112</v>
      </c>
      <c r="C2796" t="s">
        <v>5635</v>
      </c>
      <c r="D2796" t="s">
        <v>188</v>
      </c>
      <c r="F2796">
        <v>-80157918</v>
      </c>
      <c r="G2796">
        <v>-94623302</v>
      </c>
      <c r="H2796">
        <v>-74411461</v>
      </c>
      <c r="I2796">
        <v>-17541410</v>
      </c>
      <c r="J2796">
        <v>18231962</v>
      </c>
      <c r="K2796">
        <v>49584863</v>
      </c>
      <c r="L2796">
        <v>54942251</v>
      </c>
      <c r="M2796">
        <v>-67238786</v>
      </c>
      <c r="N2796">
        <v>17535979</v>
      </c>
      <c r="O2796">
        <v>19370915</v>
      </c>
      <c r="P2796">
        <v>76</v>
      </c>
      <c r="Q2796" t="s">
        <v>5636</v>
      </c>
    </row>
    <row r="2797" spans="1:17" x14ac:dyDescent="0.3">
      <c r="A2797" t="s">
        <v>4382</v>
      </c>
      <c r="B2797" t="str">
        <f>"002113"</f>
        <v>002113</v>
      </c>
      <c r="C2797" t="s">
        <v>5637</v>
      </c>
      <c r="D2797" t="s">
        <v>89</v>
      </c>
      <c r="F2797">
        <v>114566896</v>
      </c>
      <c r="G2797">
        <v>-55430503</v>
      </c>
      <c r="H2797">
        <v>-35601560</v>
      </c>
      <c r="I2797">
        <v>-112231786</v>
      </c>
      <c r="J2797">
        <v>3370042</v>
      </c>
      <c r="K2797">
        <v>7022098</v>
      </c>
      <c r="L2797">
        <v>-5667403</v>
      </c>
      <c r="M2797">
        <v>3003586</v>
      </c>
      <c r="N2797">
        <v>-9593777</v>
      </c>
      <c r="O2797">
        <v>19921319</v>
      </c>
      <c r="P2797">
        <v>77</v>
      </c>
      <c r="Q2797" t="s">
        <v>5638</v>
      </c>
    </row>
    <row r="2798" spans="1:17" x14ac:dyDescent="0.3">
      <c r="A2798" t="s">
        <v>4382</v>
      </c>
      <c r="B2798" t="str">
        <f>"002114"</f>
        <v>002114</v>
      </c>
      <c r="C2798" t="s">
        <v>5639</v>
      </c>
      <c r="D2798" t="s">
        <v>234</v>
      </c>
      <c r="F2798">
        <v>93967057</v>
      </c>
      <c r="G2798">
        <v>34008803</v>
      </c>
      <c r="H2798">
        <v>20918338</v>
      </c>
      <c r="I2798">
        <v>139305948</v>
      </c>
      <c r="J2798">
        <v>-173007447</v>
      </c>
      <c r="K2798">
        <v>-45294406</v>
      </c>
      <c r="L2798">
        <v>-45984586</v>
      </c>
      <c r="M2798">
        <v>-25797684</v>
      </c>
      <c r="N2798">
        <v>76466880</v>
      </c>
      <c r="O2798">
        <v>289249605</v>
      </c>
      <c r="P2798">
        <v>73</v>
      </c>
      <c r="Q2798" t="s">
        <v>5640</v>
      </c>
    </row>
    <row r="2799" spans="1:17" x14ac:dyDescent="0.3">
      <c r="A2799" t="s">
        <v>4382</v>
      </c>
      <c r="B2799" t="str">
        <f>"002115"</f>
        <v>002115</v>
      </c>
      <c r="C2799" t="s">
        <v>5641</v>
      </c>
      <c r="D2799" t="s">
        <v>100</v>
      </c>
      <c r="F2799">
        <v>-529640629</v>
      </c>
      <c r="G2799">
        <v>206895342</v>
      </c>
      <c r="H2799">
        <v>290329623</v>
      </c>
      <c r="I2799">
        <v>-529829372</v>
      </c>
      <c r="J2799">
        <v>-200197711</v>
      </c>
      <c r="K2799">
        <v>-47136847</v>
      </c>
      <c r="L2799">
        <v>-1752032</v>
      </c>
      <c r="M2799">
        <v>-171530611</v>
      </c>
      <c r="N2799">
        <v>-202633105</v>
      </c>
      <c r="O2799">
        <v>-176758799</v>
      </c>
      <c r="P2799">
        <v>239</v>
      </c>
      <c r="Q2799" t="s">
        <v>5642</v>
      </c>
    </row>
    <row r="2800" spans="1:17" x14ac:dyDescent="0.3">
      <c r="A2800" t="s">
        <v>4382</v>
      </c>
      <c r="B2800" t="str">
        <f>"002116"</f>
        <v>002116</v>
      </c>
      <c r="C2800" t="s">
        <v>5643</v>
      </c>
      <c r="D2800" t="s">
        <v>95</v>
      </c>
      <c r="F2800">
        <v>242730751</v>
      </c>
      <c r="G2800">
        <v>220381193</v>
      </c>
      <c r="H2800">
        <v>78945088</v>
      </c>
      <c r="I2800">
        <v>14947495</v>
      </c>
      <c r="J2800">
        <v>-147548449</v>
      </c>
      <c r="K2800">
        <v>-62751191</v>
      </c>
      <c r="L2800">
        <v>374049918</v>
      </c>
      <c r="M2800">
        <v>127418905</v>
      </c>
      <c r="N2800">
        <v>202727509</v>
      </c>
      <c r="O2800">
        <v>18087100</v>
      </c>
      <c r="P2800">
        <v>176</v>
      </c>
      <c r="Q2800" t="s">
        <v>5644</v>
      </c>
    </row>
    <row r="2801" spans="1:17" x14ac:dyDescent="0.3">
      <c r="A2801" t="s">
        <v>4382</v>
      </c>
      <c r="B2801" t="str">
        <f>"002117"</f>
        <v>002117</v>
      </c>
      <c r="C2801" t="s">
        <v>5645</v>
      </c>
      <c r="D2801" t="s">
        <v>161</v>
      </c>
      <c r="F2801">
        <v>-54909581</v>
      </c>
      <c r="G2801">
        <v>-47755414</v>
      </c>
      <c r="H2801">
        <v>-55770734</v>
      </c>
      <c r="I2801">
        <v>-116604238</v>
      </c>
      <c r="J2801">
        <v>-20360350</v>
      </c>
      <c r="K2801">
        <v>-92864546</v>
      </c>
      <c r="L2801">
        <v>-137065272</v>
      </c>
      <c r="M2801">
        <v>15555353</v>
      </c>
      <c r="N2801">
        <v>-9172515</v>
      </c>
      <c r="O2801">
        <v>12771430</v>
      </c>
      <c r="P2801">
        <v>392</v>
      </c>
      <c r="Q2801" t="s">
        <v>5646</v>
      </c>
    </row>
    <row r="2802" spans="1:17" x14ac:dyDescent="0.3">
      <c r="A2802" t="s">
        <v>4382</v>
      </c>
      <c r="B2802" t="str">
        <f>"002118"</f>
        <v>002118</v>
      </c>
      <c r="C2802" t="s">
        <v>5647</v>
      </c>
      <c r="D2802" t="s">
        <v>113</v>
      </c>
      <c r="F2802">
        <v>-565366884</v>
      </c>
      <c r="G2802">
        <v>24488908</v>
      </c>
      <c r="H2802">
        <v>-784588497</v>
      </c>
      <c r="I2802">
        <v>-398163936</v>
      </c>
      <c r="J2802">
        <v>-2074716792</v>
      </c>
      <c r="K2802">
        <v>-1318776665</v>
      </c>
      <c r="L2802">
        <v>-34123251</v>
      </c>
      <c r="M2802">
        <v>-92477697</v>
      </c>
      <c r="N2802">
        <v>-219750106</v>
      </c>
      <c r="O2802">
        <v>-228545296</v>
      </c>
      <c r="P2802">
        <v>226</v>
      </c>
      <c r="Q2802" t="s">
        <v>5648</v>
      </c>
    </row>
    <row r="2803" spans="1:17" x14ac:dyDescent="0.3">
      <c r="A2803" t="s">
        <v>4382</v>
      </c>
      <c r="B2803" t="str">
        <f>"002119"</f>
        <v>002119</v>
      </c>
      <c r="C2803" t="s">
        <v>5649</v>
      </c>
      <c r="D2803" t="s">
        <v>150</v>
      </c>
      <c r="F2803">
        <v>-2302942</v>
      </c>
      <c r="G2803">
        <v>78898611</v>
      </c>
      <c r="H2803">
        <v>72295990</v>
      </c>
      <c r="I2803">
        <v>40172861</v>
      </c>
      <c r="J2803">
        <v>-76961730</v>
      </c>
      <c r="K2803">
        <v>-11683351</v>
      </c>
      <c r="L2803">
        <v>50301704</v>
      </c>
      <c r="M2803">
        <v>105343093</v>
      </c>
      <c r="N2803">
        <v>8880309</v>
      </c>
      <c r="O2803">
        <v>-44374256</v>
      </c>
      <c r="P2803">
        <v>214</v>
      </c>
      <c r="Q2803" t="s">
        <v>5650</v>
      </c>
    </row>
    <row r="2804" spans="1:17" x14ac:dyDescent="0.3">
      <c r="A2804" t="s">
        <v>4382</v>
      </c>
      <c r="B2804" t="str">
        <f>"002120"</f>
        <v>002120</v>
      </c>
      <c r="C2804" t="s">
        <v>5651</v>
      </c>
      <c r="D2804" t="s">
        <v>22</v>
      </c>
      <c r="F2804">
        <v>-4779009023</v>
      </c>
      <c r="G2804">
        <v>-3092364557</v>
      </c>
      <c r="H2804">
        <v>-241808264</v>
      </c>
      <c r="I2804">
        <v>-465502054</v>
      </c>
      <c r="J2804">
        <v>552201800</v>
      </c>
      <c r="K2804">
        <v>44177684</v>
      </c>
      <c r="L2804">
        <v>25365291</v>
      </c>
      <c r="M2804">
        <v>-3692977</v>
      </c>
      <c r="N2804">
        <v>33032614</v>
      </c>
      <c r="O2804">
        <v>3553908</v>
      </c>
      <c r="P2804">
        <v>1163</v>
      </c>
      <c r="Q2804" t="s">
        <v>5652</v>
      </c>
    </row>
    <row r="2805" spans="1:17" x14ac:dyDescent="0.3">
      <c r="A2805" t="s">
        <v>4382</v>
      </c>
      <c r="B2805" t="str">
        <f>"002121"</f>
        <v>002121</v>
      </c>
      <c r="C2805" t="s">
        <v>5653</v>
      </c>
      <c r="D2805" t="s">
        <v>188</v>
      </c>
      <c r="F2805">
        <v>-137348209</v>
      </c>
      <c r="G2805">
        <v>362512882</v>
      </c>
      <c r="H2805">
        <v>-161315393</v>
      </c>
      <c r="I2805">
        <v>-280345846</v>
      </c>
      <c r="J2805">
        <v>-1082432981</v>
      </c>
      <c r="K2805">
        <v>-1234550644</v>
      </c>
      <c r="L2805">
        <v>-1282248924</v>
      </c>
      <c r="M2805">
        <v>-429707798</v>
      </c>
      <c r="N2805">
        <v>-230896686</v>
      </c>
      <c r="O2805">
        <v>-161959499</v>
      </c>
      <c r="P2805">
        <v>234</v>
      </c>
      <c r="Q2805" t="s">
        <v>5654</v>
      </c>
    </row>
    <row r="2806" spans="1:17" x14ac:dyDescent="0.3">
      <c r="A2806" t="s">
        <v>4382</v>
      </c>
      <c r="B2806" t="str">
        <f>"002122"</f>
        <v>002122</v>
      </c>
      <c r="C2806" t="s">
        <v>5655</v>
      </c>
      <c r="D2806" t="s">
        <v>78</v>
      </c>
      <c r="F2806">
        <v>-27124798</v>
      </c>
      <c r="G2806">
        <v>-32210722</v>
      </c>
      <c r="H2806">
        <v>-90643735</v>
      </c>
      <c r="I2806">
        <v>-363609108</v>
      </c>
      <c r="J2806">
        <v>-68760088</v>
      </c>
      <c r="K2806">
        <v>566959250</v>
      </c>
      <c r="L2806">
        <v>-38526429</v>
      </c>
      <c r="M2806">
        <v>151975788</v>
      </c>
      <c r="N2806">
        <v>-59185072</v>
      </c>
      <c r="O2806">
        <v>211980724</v>
      </c>
      <c r="P2806">
        <v>69</v>
      </c>
      <c r="Q2806" t="s">
        <v>5656</v>
      </c>
    </row>
    <row r="2807" spans="1:17" x14ac:dyDescent="0.3">
      <c r="A2807" t="s">
        <v>4382</v>
      </c>
      <c r="B2807" t="str">
        <f>"002123"</f>
        <v>002123</v>
      </c>
      <c r="C2807" t="s">
        <v>5657</v>
      </c>
      <c r="D2807" t="s">
        <v>100</v>
      </c>
      <c r="F2807">
        <v>-288214435</v>
      </c>
      <c r="G2807">
        <v>48065453</v>
      </c>
      <c r="H2807">
        <v>225370445</v>
      </c>
      <c r="I2807">
        <v>177638298</v>
      </c>
      <c r="J2807">
        <v>143132920</v>
      </c>
      <c r="K2807">
        <v>-267310416</v>
      </c>
      <c r="L2807">
        <v>138131510</v>
      </c>
      <c r="M2807">
        <v>-290653276</v>
      </c>
      <c r="N2807">
        <v>-243352777</v>
      </c>
      <c r="O2807">
        <v>-35506123</v>
      </c>
      <c r="P2807">
        <v>364</v>
      </c>
      <c r="Q2807" t="s">
        <v>5658</v>
      </c>
    </row>
    <row r="2808" spans="1:17" x14ac:dyDescent="0.3">
      <c r="A2808" t="s">
        <v>4382</v>
      </c>
      <c r="B2808" t="str">
        <f>"002124"</f>
        <v>002124</v>
      </c>
      <c r="C2808" t="s">
        <v>5659</v>
      </c>
      <c r="D2808" t="s">
        <v>205</v>
      </c>
      <c r="F2808">
        <v>-2668233474</v>
      </c>
      <c r="G2808">
        <v>-174076071</v>
      </c>
      <c r="H2808">
        <v>-732552718</v>
      </c>
      <c r="I2808">
        <v>-1232946865</v>
      </c>
      <c r="J2808">
        <v>-492217816</v>
      </c>
      <c r="K2808">
        <v>-45339617</v>
      </c>
      <c r="L2808">
        <v>47754573</v>
      </c>
      <c r="M2808">
        <v>-89988376</v>
      </c>
      <c r="N2808">
        <v>-57027809</v>
      </c>
      <c r="O2808">
        <v>13213498</v>
      </c>
      <c r="P2808">
        <v>922</v>
      </c>
      <c r="Q2808" t="s">
        <v>5660</v>
      </c>
    </row>
    <row r="2809" spans="1:17" x14ac:dyDescent="0.3">
      <c r="A2809" t="s">
        <v>4382</v>
      </c>
      <c r="B2809" t="str">
        <f>"002125"</f>
        <v>002125</v>
      </c>
      <c r="C2809" t="s">
        <v>5661</v>
      </c>
      <c r="D2809" t="s">
        <v>133</v>
      </c>
      <c r="F2809">
        <v>-140077056</v>
      </c>
      <c r="G2809">
        <v>-59337396</v>
      </c>
      <c r="H2809">
        <v>-84216160</v>
      </c>
      <c r="I2809">
        <v>-187951778</v>
      </c>
      <c r="J2809">
        <v>-220722751</v>
      </c>
      <c r="K2809">
        <v>-182341540</v>
      </c>
      <c r="L2809">
        <v>-76605642</v>
      </c>
      <c r="M2809">
        <v>-60808681</v>
      </c>
      <c r="N2809">
        <v>-1814712</v>
      </c>
      <c r="O2809">
        <v>-59533447</v>
      </c>
      <c r="P2809">
        <v>157</v>
      </c>
      <c r="Q2809" t="s">
        <v>5662</v>
      </c>
    </row>
    <row r="2810" spans="1:17" x14ac:dyDescent="0.3">
      <c r="A2810" t="s">
        <v>4382</v>
      </c>
      <c r="B2810" t="str">
        <f>"002126"</f>
        <v>002126</v>
      </c>
      <c r="C2810" t="s">
        <v>5663</v>
      </c>
      <c r="D2810" t="s">
        <v>27</v>
      </c>
      <c r="F2810">
        <v>-107790403</v>
      </c>
      <c r="G2810">
        <v>-331427767</v>
      </c>
      <c r="H2810">
        <v>80923459</v>
      </c>
      <c r="I2810">
        <v>-216946530</v>
      </c>
      <c r="J2810">
        <v>-134454649</v>
      </c>
      <c r="K2810">
        <v>143176317</v>
      </c>
      <c r="L2810">
        <v>-96253786</v>
      </c>
      <c r="M2810">
        <v>-73605810</v>
      </c>
      <c r="N2810">
        <v>-123233415</v>
      </c>
      <c r="O2810">
        <v>-16755726</v>
      </c>
      <c r="P2810">
        <v>450</v>
      </c>
      <c r="Q2810" t="s">
        <v>5664</v>
      </c>
    </row>
    <row r="2811" spans="1:17" x14ac:dyDescent="0.3">
      <c r="A2811" t="s">
        <v>4382</v>
      </c>
      <c r="B2811" t="str">
        <f>"002127"</f>
        <v>002127</v>
      </c>
      <c r="C2811" t="s">
        <v>5665</v>
      </c>
      <c r="D2811" t="s">
        <v>120</v>
      </c>
      <c r="F2811">
        <v>-289120942</v>
      </c>
      <c r="G2811">
        <v>69295973</v>
      </c>
      <c r="H2811">
        <v>288047183</v>
      </c>
      <c r="I2811">
        <v>203742221</v>
      </c>
      <c r="J2811">
        <v>185884286</v>
      </c>
      <c r="K2811">
        <v>46459370</v>
      </c>
      <c r="L2811">
        <v>-30222821</v>
      </c>
      <c r="M2811">
        <v>45255418</v>
      </c>
      <c r="N2811">
        <v>416677633</v>
      </c>
      <c r="O2811">
        <v>-577921012</v>
      </c>
      <c r="P2811">
        <v>1745</v>
      </c>
      <c r="Q2811" t="s">
        <v>5666</v>
      </c>
    </row>
    <row r="2812" spans="1:17" x14ac:dyDescent="0.3">
      <c r="A2812" t="s">
        <v>4382</v>
      </c>
      <c r="B2812" t="str">
        <f>"002128"</f>
        <v>002128</v>
      </c>
      <c r="C2812" t="s">
        <v>5667</v>
      </c>
      <c r="D2812" t="s">
        <v>257</v>
      </c>
      <c r="F2812">
        <v>3471976595</v>
      </c>
      <c r="G2812">
        <v>2328031711</v>
      </c>
      <c r="H2812">
        <v>1641751778</v>
      </c>
      <c r="I2812">
        <v>82220278</v>
      </c>
      <c r="J2812">
        <v>1057869607</v>
      </c>
      <c r="K2812">
        <v>199293731</v>
      </c>
      <c r="L2812">
        <v>998270009</v>
      </c>
      <c r="M2812">
        <v>-8971791</v>
      </c>
      <c r="N2812">
        <v>357125455</v>
      </c>
      <c r="O2812">
        <v>383073281</v>
      </c>
      <c r="P2812">
        <v>1050</v>
      </c>
      <c r="Q2812" t="s">
        <v>5668</v>
      </c>
    </row>
    <row r="2813" spans="1:17" x14ac:dyDescent="0.3">
      <c r="A2813" t="s">
        <v>4382</v>
      </c>
      <c r="B2813" t="str">
        <f>"002129"</f>
        <v>002129</v>
      </c>
      <c r="C2813" t="s">
        <v>5669</v>
      </c>
      <c r="D2813" t="s">
        <v>188</v>
      </c>
      <c r="F2813">
        <v>-1330134613</v>
      </c>
      <c r="G2813">
        <v>-1271801890</v>
      </c>
      <c r="H2813">
        <v>-2487256460</v>
      </c>
      <c r="I2813">
        <v>-3707399827</v>
      </c>
      <c r="J2813">
        <v>-2322444020</v>
      </c>
      <c r="K2813">
        <v>-1355154467</v>
      </c>
      <c r="L2813">
        <v>-1293871174</v>
      </c>
      <c r="M2813">
        <v>-828982109</v>
      </c>
      <c r="N2813">
        <v>-1211059381</v>
      </c>
      <c r="O2813">
        <v>-922538933</v>
      </c>
      <c r="P2813">
        <v>1523</v>
      </c>
      <c r="Q2813" t="s">
        <v>5670</v>
      </c>
    </row>
    <row r="2814" spans="1:17" x14ac:dyDescent="0.3">
      <c r="A2814" t="s">
        <v>4382</v>
      </c>
      <c r="B2814" t="str">
        <f>"002130"</f>
        <v>002130</v>
      </c>
      <c r="C2814" t="s">
        <v>5671</v>
      </c>
      <c r="D2814" t="s">
        <v>150</v>
      </c>
      <c r="F2814">
        <v>281171938</v>
      </c>
      <c r="G2814">
        <v>348076771</v>
      </c>
      <c r="H2814">
        <v>209591655</v>
      </c>
      <c r="I2814">
        <v>-87177728</v>
      </c>
      <c r="J2814">
        <v>-87139423</v>
      </c>
      <c r="K2814">
        <v>-497036712</v>
      </c>
      <c r="L2814">
        <v>-65849964</v>
      </c>
      <c r="M2814">
        <v>-83336431</v>
      </c>
      <c r="N2814">
        <v>-9163256</v>
      </c>
      <c r="O2814">
        <v>-191510139</v>
      </c>
      <c r="P2814">
        <v>266</v>
      </c>
      <c r="Q2814" t="s">
        <v>5672</v>
      </c>
    </row>
    <row r="2815" spans="1:17" x14ac:dyDescent="0.3">
      <c r="A2815" t="s">
        <v>4382</v>
      </c>
      <c r="B2815" t="str">
        <f>"002131"</f>
        <v>002131</v>
      </c>
      <c r="C2815" t="s">
        <v>5673</v>
      </c>
      <c r="D2815" t="s">
        <v>89</v>
      </c>
      <c r="F2815">
        <v>-505595831</v>
      </c>
      <c r="G2815">
        <v>87763517</v>
      </c>
      <c r="H2815">
        <v>691080906</v>
      </c>
      <c r="I2815">
        <v>-727199281</v>
      </c>
      <c r="J2815">
        <v>-563892015</v>
      </c>
      <c r="K2815">
        <v>-344120025</v>
      </c>
      <c r="L2815">
        <v>3962605</v>
      </c>
      <c r="M2815">
        <v>-136266181</v>
      </c>
      <c r="N2815">
        <v>46736006</v>
      </c>
      <c r="O2815">
        <v>-41039186</v>
      </c>
      <c r="P2815">
        <v>417</v>
      </c>
      <c r="Q2815" t="s">
        <v>5674</v>
      </c>
    </row>
    <row r="2816" spans="1:17" x14ac:dyDescent="0.3">
      <c r="A2816" t="s">
        <v>4382</v>
      </c>
      <c r="B2816" t="str">
        <f>"002132"</f>
        <v>002132</v>
      </c>
      <c r="C2816" t="s">
        <v>5675</v>
      </c>
      <c r="D2816" t="s">
        <v>78</v>
      </c>
      <c r="F2816">
        <v>-558962903</v>
      </c>
      <c r="G2816">
        <v>238017844</v>
      </c>
      <c r="H2816">
        <v>206991658</v>
      </c>
      <c r="I2816">
        <v>-299617619</v>
      </c>
      <c r="J2816">
        <v>11901413</v>
      </c>
      <c r="K2816">
        <v>72274747</v>
      </c>
      <c r="L2816">
        <v>109366877</v>
      </c>
      <c r="M2816">
        <v>187545448</v>
      </c>
      <c r="N2816">
        <v>183044448</v>
      </c>
      <c r="O2816">
        <v>77470010</v>
      </c>
      <c r="P2816">
        <v>127</v>
      </c>
      <c r="Q2816" t="s">
        <v>5676</v>
      </c>
    </row>
    <row r="2817" spans="1:17" x14ac:dyDescent="0.3">
      <c r="A2817" t="s">
        <v>4382</v>
      </c>
      <c r="B2817" t="str">
        <f>"002133"</f>
        <v>002133</v>
      </c>
      <c r="C2817" t="s">
        <v>5677</v>
      </c>
      <c r="D2817" t="s">
        <v>30</v>
      </c>
      <c r="F2817">
        <v>672137635</v>
      </c>
      <c r="G2817">
        <v>693879526</v>
      </c>
      <c r="H2817">
        <v>461984918</v>
      </c>
      <c r="I2817">
        <v>-475610010</v>
      </c>
      <c r="J2817">
        <v>571127631</v>
      </c>
      <c r="K2817">
        <v>887016255</v>
      </c>
      <c r="L2817">
        <v>728349662</v>
      </c>
      <c r="M2817">
        <v>49998092</v>
      </c>
      <c r="N2817">
        <v>-656541449</v>
      </c>
      <c r="O2817">
        <v>-12251190</v>
      </c>
      <c r="P2817">
        <v>132</v>
      </c>
      <c r="Q2817" t="s">
        <v>5678</v>
      </c>
    </row>
    <row r="2818" spans="1:17" x14ac:dyDescent="0.3">
      <c r="A2818" t="s">
        <v>4382</v>
      </c>
      <c r="B2818" t="str">
        <f>"002134"</f>
        <v>002134</v>
      </c>
      <c r="C2818" t="s">
        <v>5679</v>
      </c>
      <c r="D2818" t="s">
        <v>150</v>
      </c>
      <c r="F2818">
        <v>39828586</v>
      </c>
      <c r="G2818">
        <v>26733446</v>
      </c>
      <c r="H2818">
        <v>-4392538</v>
      </c>
      <c r="I2818">
        <v>3848597</v>
      </c>
      <c r="J2818">
        <v>2684043</v>
      </c>
      <c r="K2818">
        <v>-9239501</v>
      </c>
      <c r="L2818">
        <v>-1449978</v>
      </c>
      <c r="M2818">
        <v>14201523</v>
      </c>
      <c r="N2818">
        <v>11596930</v>
      </c>
      <c r="O2818">
        <v>-41117842</v>
      </c>
      <c r="P2818">
        <v>119</v>
      </c>
      <c r="Q2818" t="s">
        <v>5680</v>
      </c>
    </row>
    <row r="2819" spans="1:17" x14ac:dyDescent="0.3">
      <c r="A2819" t="s">
        <v>4382</v>
      </c>
      <c r="B2819" t="str">
        <f>"002135"</f>
        <v>002135</v>
      </c>
      <c r="C2819" t="s">
        <v>5681</v>
      </c>
      <c r="D2819" t="s">
        <v>95</v>
      </c>
      <c r="F2819">
        <v>-880444982</v>
      </c>
      <c r="G2819">
        <v>-675559480</v>
      </c>
      <c r="H2819">
        <v>179786437</v>
      </c>
      <c r="I2819">
        <v>-101547282</v>
      </c>
      <c r="J2819">
        <v>206350383</v>
      </c>
      <c r="K2819">
        <v>8165704</v>
      </c>
      <c r="L2819">
        <v>-413365829</v>
      </c>
      <c r="M2819">
        <v>29674034</v>
      </c>
      <c r="N2819">
        <v>-288719832</v>
      </c>
      <c r="O2819">
        <v>-479744124</v>
      </c>
      <c r="P2819">
        <v>164</v>
      </c>
      <c r="Q2819" t="s">
        <v>5682</v>
      </c>
    </row>
    <row r="2820" spans="1:17" x14ac:dyDescent="0.3">
      <c r="A2820" t="s">
        <v>4382</v>
      </c>
      <c r="B2820" t="str">
        <f>"002136"</f>
        <v>002136</v>
      </c>
      <c r="C2820" t="s">
        <v>5683</v>
      </c>
      <c r="D2820" t="s">
        <v>133</v>
      </c>
      <c r="F2820">
        <v>3842212</v>
      </c>
      <c r="G2820">
        <v>2184252</v>
      </c>
      <c r="H2820">
        <v>72232300</v>
      </c>
      <c r="I2820">
        <v>31629174</v>
      </c>
      <c r="J2820">
        <v>135051330</v>
      </c>
      <c r="K2820">
        <v>1457189</v>
      </c>
      <c r="L2820">
        <v>-16757524</v>
      </c>
      <c r="M2820">
        <v>49409016</v>
      </c>
      <c r="N2820">
        <v>-178049376</v>
      </c>
      <c r="O2820">
        <v>-127538450</v>
      </c>
      <c r="P2820">
        <v>131</v>
      </c>
      <c r="Q2820" t="s">
        <v>5684</v>
      </c>
    </row>
    <row r="2821" spans="1:17" x14ac:dyDescent="0.3">
      <c r="A2821" t="s">
        <v>4382</v>
      </c>
      <c r="B2821" t="str">
        <f>"002137"</f>
        <v>002137</v>
      </c>
      <c r="C2821" t="s">
        <v>5685</v>
      </c>
      <c r="D2821" t="s">
        <v>89</v>
      </c>
      <c r="F2821">
        <v>-31468430</v>
      </c>
      <c r="G2821">
        <v>39834213</v>
      </c>
      <c r="H2821">
        <v>32697909</v>
      </c>
      <c r="I2821">
        <v>25750550</v>
      </c>
      <c r="J2821">
        <v>29980783</v>
      </c>
      <c r="K2821">
        <v>15589385</v>
      </c>
      <c r="L2821">
        <v>44176196</v>
      </c>
      <c r="M2821">
        <v>20227614</v>
      </c>
      <c r="N2821">
        <v>11384110</v>
      </c>
      <c r="O2821">
        <v>2694787</v>
      </c>
      <c r="P2821">
        <v>148</v>
      </c>
      <c r="Q2821" t="s">
        <v>5686</v>
      </c>
    </row>
    <row r="2822" spans="1:17" x14ac:dyDescent="0.3">
      <c r="A2822" t="s">
        <v>4382</v>
      </c>
      <c r="B2822" t="str">
        <f>"002138"</f>
        <v>002138</v>
      </c>
      <c r="C2822" t="s">
        <v>5687</v>
      </c>
      <c r="D2822" t="s">
        <v>150</v>
      </c>
      <c r="F2822">
        <v>-189793830</v>
      </c>
      <c r="G2822">
        <v>-223408996</v>
      </c>
      <c r="H2822">
        <v>-179730313</v>
      </c>
      <c r="I2822">
        <v>53559977</v>
      </c>
      <c r="J2822">
        <v>-12837123</v>
      </c>
      <c r="K2822">
        <v>-295941903</v>
      </c>
      <c r="L2822">
        <v>-90196865</v>
      </c>
      <c r="M2822">
        <v>-206434612</v>
      </c>
      <c r="N2822">
        <v>-266487780</v>
      </c>
      <c r="O2822">
        <v>-11481137</v>
      </c>
      <c r="P2822">
        <v>1066</v>
      </c>
      <c r="Q2822" t="s">
        <v>5688</v>
      </c>
    </row>
    <row r="2823" spans="1:17" x14ac:dyDescent="0.3">
      <c r="A2823" t="s">
        <v>4382</v>
      </c>
      <c r="B2823" t="str">
        <f>"002139"</f>
        <v>002139</v>
      </c>
      <c r="C2823" t="s">
        <v>5689</v>
      </c>
      <c r="D2823" t="s">
        <v>150</v>
      </c>
      <c r="F2823">
        <v>-832076354</v>
      </c>
      <c r="G2823">
        <v>-218816717</v>
      </c>
      <c r="H2823">
        <v>-12029041</v>
      </c>
      <c r="I2823">
        <v>-262604026</v>
      </c>
      <c r="J2823">
        <v>-92194858</v>
      </c>
      <c r="K2823">
        <v>-139562935</v>
      </c>
      <c r="L2823">
        <v>-148393408</v>
      </c>
      <c r="M2823">
        <v>21743844</v>
      </c>
      <c r="N2823">
        <v>45985213</v>
      </c>
      <c r="O2823">
        <v>14149468</v>
      </c>
      <c r="P2823">
        <v>920</v>
      </c>
      <c r="Q2823" t="s">
        <v>5690</v>
      </c>
    </row>
    <row r="2824" spans="1:17" x14ac:dyDescent="0.3">
      <c r="A2824" t="s">
        <v>4382</v>
      </c>
      <c r="B2824" t="str">
        <f>"002140"</f>
        <v>002140</v>
      </c>
      <c r="C2824" t="s">
        <v>5691</v>
      </c>
      <c r="D2824" t="s">
        <v>95</v>
      </c>
      <c r="F2824">
        <v>35582247</v>
      </c>
      <c r="G2824">
        <v>421968990</v>
      </c>
      <c r="H2824">
        <v>205832947</v>
      </c>
      <c r="I2824">
        <v>-650539297</v>
      </c>
      <c r="J2824">
        <v>-303025628</v>
      </c>
      <c r="K2824">
        <v>123556510</v>
      </c>
      <c r="L2824">
        <v>-189070166</v>
      </c>
      <c r="M2824">
        <v>-61620876</v>
      </c>
      <c r="N2824">
        <v>179820470</v>
      </c>
      <c r="O2824">
        <v>87304192</v>
      </c>
      <c r="P2824">
        <v>131</v>
      </c>
      <c r="Q2824" t="s">
        <v>5692</v>
      </c>
    </row>
    <row r="2825" spans="1:17" x14ac:dyDescent="0.3">
      <c r="A2825" t="s">
        <v>4382</v>
      </c>
      <c r="B2825" t="str">
        <f>"002141"</f>
        <v>002141</v>
      </c>
      <c r="C2825" t="s">
        <v>5693</v>
      </c>
      <c r="D2825" t="s">
        <v>150</v>
      </c>
      <c r="F2825">
        <v>-56355523</v>
      </c>
      <c r="G2825">
        <v>-65764394</v>
      </c>
      <c r="H2825">
        <v>-102144590</v>
      </c>
      <c r="I2825">
        <v>-113534015</v>
      </c>
      <c r="J2825">
        <v>-66211067</v>
      </c>
      <c r="K2825">
        <v>-21276266</v>
      </c>
      <c r="L2825">
        <v>50312546</v>
      </c>
      <c r="M2825">
        <v>53302170</v>
      </c>
      <c r="N2825">
        <v>17095100</v>
      </c>
      <c r="O2825">
        <v>45532048</v>
      </c>
      <c r="P2825">
        <v>74</v>
      </c>
      <c r="Q2825" t="s">
        <v>5694</v>
      </c>
    </row>
    <row r="2826" spans="1:17" x14ac:dyDescent="0.3">
      <c r="A2826" t="s">
        <v>4382</v>
      </c>
      <c r="B2826" t="str">
        <f>"002142"</f>
        <v>002142</v>
      </c>
      <c r="C2826" t="s">
        <v>5695</v>
      </c>
      <c r="D2826" t="s">
        <v>19</v>
      </c>
      <c r="F2826">
        <v>-25657000000</v>
      </c>
      <c r="G2826">
        <v>36761761000</v>
      </c>
      <c r="H2826">
        <v>23084121000</v>
      </c>
      <c r="I2826">
        <v>-68428271000</v>
      </c>
      <c r="J2826">
        <v>-20370552000</v>
      </c>
      <c r="K2826">
        <v>84897091000</v>
      </c>
      <c r="L2826">
        <v>-5608901000</v>
      </c>
      <c r="M2826">
        <v>53129944000</v>
      </c>
      <c r="N2826">
        <v>37527817000</v>
      </c>
      <c r="O2826">
        <v>15981648000</v>
      </c>
      <c r="P2826">
        <v>59330</v>
      </c>
      <c r="Q2826" t="s">
        <v>5696</v>
      </c>
    </row>
    <row r="2827" spans="1:17" x14ac:dyDescent="0.3">
      <c r="A2827" t="s">
        <v>4382</v>
      </c>
      <c r="B2827" t="str">
        <f>"002143"</f>
        <v>002143</v>
      </c>
      <c r="C2827" t="s">
        <v>5697</v>
      </c>
      <c r="H2827">
        <v>-71993887</v>
      </c>
      <c r="I2827">
        <v>-345716427</v>
      </c>
      <c r="J2827">
        <v>-869045</v>
      </c>
      <c r="K2827">
        <v>-54012721</v>
      </c>
      <c r="L2827">
        <v>-107807147</v>
      </c>
      <c r="M2827">
        <v>-90102049</v>
      </c>
      <c r="N2827">
        <v>2049116</v>
      </c>
      <c r="O2827">
        <v>-410532052</v>
      </c>
      <c r="P2827">
        <v>59</v>
      </c>
      <c r="Q2827" t="s">
        <v>5698</v>
      </c>
    </row>
    <row r="2828" spans="1:17" x14ac:dyDescent="0.3">
      <c r="A2828" t="s">
        <v>4382</v>
      </c>
      <c r="B2828" t="str">
        <f>"002144"</f>
        <v>002144</v>
      </c>
      <c r="C2828" t="s">
        <v>5699</v>
      </c>
      <c r="D2828" t="s">
        <v>227</v>
      </c>
      <c r="F2828">
        <v>70239304</v>
      </c>
      <c r="G2828">
        <v>25617255</v>
      </c>
      <c r="H2828">
        <v>18952853</v>
      </c>
      <c r="I2828">
        <v>-12244509</v>
      </c>
      <c r="J2828">
        <v>65615110</v>
      </c>
      <c r="K2828">
        <v>53869854</v>
      </c>
      <c r="L2828">
        <v>-92546360</v>
      </c>
      <c r="M2828">
        <v>-74983262</v>
      </c>
      <c r="N2828">
        <v>29999420</v>
      </c>
      <c r="O2828">
        <v>51003385</v>
      </c>
      <c r="P2828">
        <v>115</v>
      </c>
      <c r="Q2828" t="s">
        <v>5700</v>
      </c>
    </row>
    <row r="2829" spans="1:17" x14ac:dyDescent="0.3">
      <c r="A2829" t="s">
        <v>4382</v>
      </c>
      <c r="B2829" t="str">
        <f>"002145"</f>
        <v>002145</v>
      </c>
      <c r="C2829" t="s">
        <v>5701</v>
      </c>
      <c r="D2829" t="s">
        <v>133</v>
      </c>
      <c r="F2829">
        <v>587372570</v>
      </c>
      <c r="G2829">
        <v>334483431</v>
      </c>
      <c r="H2829">
        <v>209840376</v>
      </c>
      <c r="I2829">
        <v>-47488987</v>
      </c>
      <c r="J2829">
        <v>128352120</v>
      </c>
      <c r="K2829">
        <v>68311744</v>
      </c>
      <c r="L2829">
        <v>-458803530</v>
      </c>
      <c r="M2829">
        <v>-300983937</v>
      </c>
      <c r="N2829">
        <v>-242146134</v>
      </c>
      <c r="O2829">
        <v>-67801101</v>
      </c>
      <c r="P2829">
        <v>283</v>
      </c>
      <c r="Q2829" t="s">
        <v>5702</v>
      </c>
    </row>
    <row r="2830" spans="1:17" x14ac:dyDescent="0.3">
      <c r="A2830" t="s">
        <v>4382</v>
      </c>
      <c r="B2830" t="str">
        <f>"002146"</f>
        <v>002146</v>
      </c>
      <c r="C2830" t="s">
        <v>5703</v>
      </c>
      <c r="D2830" t="s">
        <v>30</v>
      </c>
      <c r="F2830">
        <v>5964301120</v>
      </c>
      <c r="G2830">
        <v>-7851881791</v>
      </c>
      <c r="H2830">
        <v>-6027024070</v>
      </c>
      <c r="I2830">
        <v>7863136909</v>
      </c>
      <c r="J2830">
        <v>-7702579908</v>
      </c>
      <c r="K2830">
        <v>-7650618809</v>
      </c>
      <c r="L2830">
        <v>-2935399162</v>
      </c>
      <c r="M2830">
        <v>-3068868982</v>
      </c>
      <c r="N2830">
        <v>-5808589366</v>
      </c>
      <c r="O2830">
        <v>-1245676792</v>
      </c>
      <c r="P2830">
        <v>12586</v>
      </c>
      <c r="Q2830" t="s">
        <v>5704</v>
      </c>
    </row>
    <row r="2831" spans="1:17" x14ac:dyDescent="0.3">
      <c r="A2831" t="s">
        <v>4382</v>
      </c>
      <c r="B2831" t="str">
        <f>"002147"</f>
        <v>002147</v>
      </c>
      <c r="C2831" t="s">
        <v>5705</v>
      </c>
      <c r="D2831" t="s">
        <v>78</v>
      </c>
      <c r="F2831">
        <v>425177227</v>
      </c>
      <c r="G2831">
        <v>-62357840</v>
      </c>
      <c r="H2831">
        <v>-47200426</v>
      </c>
      <c r="I2831">
        <v>231479067</v>
      </c>
      <c r="J2831">
        <v>-4086722870</v>
      </c>
      <c r="K2831">
        <v>-1015910717</v>
      </c>
      <c r="L2831">
        <v>14693797</v>
      </c>
      <c r="M2831">
        <v>87014552</v>
      </c>
      <c r="N2831">
        <v>-35656828</v>
      </c>
      <c r="O2831">
        <v>-67742969</v>
      </c>
      <c r="P2831">
        <v>94</v>
      </c>
      <c r="Q2831" t="s">
        <v>5706</v>
      </c>
    </row>
    <row r="2832" spans="1:17" x14ac:dyDescent="0.3">
      <c r="A2832" t="s">
        <v>4382</v>
      </c>
      <c r="B2832" t="str">
        <f>"002148"</f>
        <v>002148</v>
      </c>
      <c r="C2832" t="s">
        <v>5707</v>
      </c>
      <c r="D2832" t="s">
        <v>100</v>
      </c>
      <c r="F2832">
        <v>24593621</v>
      </c>
      <c r="G2832">
        <v>-4301783</v>
      </c>
      <c r="H2832">
        <v>6695353</v>
      </c>
      <c r="I2832">
        <v>26893691</v>
      </c>
      <c r="J2832">
        <v>91776934</v>
      </c>
      <c r="K2832">
        <v>10082909</v>
      </c>
      <c r="L2832">
        <v>-85310323</v>
      </c>
      <c r="M2832">
        <v>-126703080</v>
      </c>
      <c r="N2832">
        <v>-42621675</v>
      </c>
      <c r="O2832">
        <v>-55644143</v>
      </c>
      <c r="P2832">
        <v>103</v>
      </c>
      <c r="Q2832" t="s">
        <v>5708</v>
      </c>
    </row>
    <row r="2833" spans="1:17" x14ac:dyDescent="0.3">
      <c r="A2833" t="s">
        <v>4382</v>
      </c>
      <c r="B2833" t="str">
        <f>"002149"</f>
        <v>002149</v>
      </c>
      <c r="C2833" t="s">
        <v>5709</v>
      </c>
      <c r="D2833" t="s">
        <v>234</v>
      </c>
      <c r="F2833">
        <v>-360712733</v>
      </c>
      <c r="G2833">
        <v>-255238184</v>
      </c>
      <c r="H2833">
        <v>-30259978</v>
      </c>
      <c r="I2833">
        <v>22903369</v>
      </c>
      <c r="J2833">
        <v>-250444311</v>
      </c>
      <c r="K2833">
        <v>-103114670</v>
      </c>
      <c r="L2833">
        <v>-55569852</v>
      </c>
      <c r="M2833">
        <v>-13165964</v>
      </c>
      <c r="N2833">
        <v>12373775</v>
      </c>
      <c r="O2833">
        <v>-11921480</v>
      </c>
      <c r="P2833">
        <v>259</v>
      </c>
      <c r="Q2833" t="s">
        <v>5710</v>
      </c>
    </row>
    <row r="2834" spans="1:17" x14ac:dyDescent="0.3">
      <c r="A2834" t="s">
        <v>4382</v>
      </c>
      <c r="B2834" t="str">
        <f>"002150"</f>
        <v>002150</v>
      </c>
      <c r="C2834" t="s">
        <v>5711</v>
      </c>
      <c r="D2834" t="s">
        <v>78</v>
      </c>
      <c r="F2834">
        <v>-181325306</v>
      </c>
      <c r="G2834">
        <v>98244198</v>
      </c>
      <c r="H2834">
        <v>97432050</v>
      </c>
      <c r="I2834">
        <v>-22504752</v>
      </c>
      <c r="J2834">
        <v>15086004</v>
      </c>
      <c r="K2834">
        <v>91611456</v>
      </c>
      <c r="L2834">
        <v>48067739</v>
      </c>
      <c r="M2834">
        <v>32489650</v>
      </c>
      <c r="N2834">
        <v>8403568</v>
      </c>
      <c r="O2834">
        <v>22825217</v>
      </c>
      <c r="P2834">
        <v>103</v>
      </c>
      <c r="Q2834" t="s">
        <v>5712</v>
      </c>
    </row>
    <row r="2835" spans="1:17" x14ac:dyDescent="0.3">
      <c r="A2835" t="s">
        <v>4382</v>
      </c>
      <c r="B2835" t="str">
        <f>"002151"</f>
        <v>002151</v>
      </c>
      <c r="C2835" t="s">
        <v>5713</v>
      </c>
      <c r="D2835" t="s">
        <v>92</v>
      </c>
      <c r="F2835">
        <v>-318480737</v>
      </c>
      <c r="G2835">
        <v>-155312112</v>
      </c>
      <c r="H2835">
        <v>-138354293</v>
      </c>
      <c r="I2835">
        <v>-247094814</v>
      </c>
      <c r="J2835">
        <v>-306366150</v>
      </c>
      <c r="K2835">
        <v>-233183110</v>
      </c>
      <c r="L2835">
        <v>-190673219</v>
      </c>
      <c r="M2835">
        <v>-108983423</v>
      </c>
      <c r="N2835">
        <v>-160184990</v>
      </c>
      <c r="O2835">
        <v>-138080002</v>
      </c>
      <c r="P2835">
        <v>3423</v>
      </c>
      <c r="Q2835" t="s">
        <v>5714</v>
      </c>
    </row>
    <row r="2836" spans="1:17" x14ac:dyDescent="0.3">
      <c r="A2836" t="s">
        <v>4382</v>
      </c>
      <c r="B2836" t="str">
        <f>"002152"</f>
        <v>002152</v>
      </c>
      <c r="C2836" t="s">
        <v>5715</v>
      </c>
      <c r="D2836" t="s">
        <v>212</v>
      </c>
      <c r="F2836">
        <v>-422048129</v>
      </c>
      <c r="G2836">
        <v>-834087190</v>
      </c>
      <c r="H2836">
        <v>-491676220</v>
      </c>
      <c r="I2836">
        <v>-341203963</v>
      </c>
      <c r="J2836">
        <v>-523675086</v>
      </c>
      <c r="K2836">
        <v>-360986804</v>
      </c>
      <c r="L2836">
        <v>-1016886779</v>
      </c>
      <c r="M2836">
        <v>-610468037</v>
      </c>
      <c r="N2836">
        <v>-403734254</v>
      </c>
      <c r="O2836">
        <v>-249765127</v>
      </c>
      <c r="P2836">
        <v>16880</v>
      </c>
      <c r="Q2836" t="s">
        <v>5716</v>
      </c>
    </row>
    <row r="2837" spans="1:17" x14ac:dyDescent="0.3">
      <c r="A2837" t="s">
        <v>4382</v>
      </c>
      <c r="B2837" t="str">
        <f>"002153"</f>
        <v>002153</v>
      </c>
      <c r="C2837" t="s">
        <v>5717</v>
      </c>
      <c r="D2837" t="s">
        <v>212</v>
      </c>
      <c r="F2837">
        <v>-309887360</v>
      </c>
      <c r="G2837">
        <v>-262973151</v>
      </c>
      <c r="H2837">
        <v>-154665388</v>
      </c>
      <c r="I2837">
        <v>128547506</v>
      </c>
      <c r="J2837">
        <v>-452839</v>
      </c>
      <c r="K2837">
        <v>198812850</v>
      </c>
      <c r="L2837">
        <v>138874631</v>
      </c>
      <c r="M2837">
        <v>297635370</v>
      </c>
      <c r="N2837">
        <v>86608454</v>
      </c>
      <c r="O2837">
        <v>135264395</v>
      </c>
      <c r="P2837">
        <v>679</v>
      </c>
      <c r="Q2837" t="s">
        <v>5718</v>
      </c>
    </row>
    <row r="2838" spans="1:17" x14ac:dyDescent="0.3">
      <c r="A2838" t="s">
        <v>4382</v>
      </c>
      <c r="B2838" t="str">
        <f>"002154"</f>
        <v>002154</v>
      </c>
      <c r="C2838" t="s">
        <v>5719</v>
      </c>
      <c r="D2838" t="s">
        <v>227</v>
      </c>
      <c r="F2838">
        <v>83158176</v>
      </c>
      <c r="G2838">
        <v>-7901151</v>
      </c>
      <c r="H2838">
        <v>-133745051</v>
      </c>
      <c r="I2838">
        <v>-73409670</v>
      </c>
      <c r="J2838">
        <v>-31099167</v>
      </c>
      <c r="K2838">
        <v>-92644230</v>
      </c>
      <c r="L2838">
        <v>-217933252</v>
      </c>
      <c r="M2838">
        <v>-34058811</v>
      </c>
      <c r="N2838">
        <v>-354367477</v>
      </c>
      <c r="O2838">
        <v>-6251228</v>
      </c>
      <c r="P2838">
        <v>204</v>
      </c>
      <c r="Q2838" t="s">
        <v>5720</v>
      </c>
    </row>
    <row r="2839" spans="1:17" x14ac:dyDescent="0.3">
      <c r="A2839" t="s">
        <v>4382</v>
      </c>
      <c r="B2839" t="str">
        <f>"002155"</f>
        <v>002155</v>
      </c>
      <c r="C2839" t="s">
        <v>5721</v>
      </c>
      <c r="D2839" t="s">
        <v>234</v>
      </c>
      <c r="F2839">
        <v>-244685108</v>
      </c>
      <c r="G2839">
        <v>239825881</v>
      </c>
      <c r="H2839">
        <v>87237050</v>
      </c>
      <c r="I2839">
        <v>9567406</v>
      </c>
      <c r="J2839">
        <v>16649813</v>
      </c>
      <c r="K2839">
        <v>64307556</v>
      </c>
      <c r="L2839">
        <v>-15348924</v>
      </c>
      <c r="M2839">
        <v>52033360</v>
      </c>
      <c r="N2839">
        <v>269525136</v>
      </c>
      <c r="O2839">
        <v>108330864</v>
      </c>
      <c r="P2839">
        <v>219</v>
      </c>
      <c r="Q2839" t="s">
        <v>5722</v>
      </c>
    </row>
    <row r="2840" spans="1:17" x14ac:dyDescent="0.3">
      <c r="A2840" t="s">
        <v>4382</v>
      </c>
      <c r="B2840" t="str">
        <f>"002156"</f>
        <v>002156</v>
      </c>
      <c r="C2840" t="s">
        <v>5723</v>
      </c>
      <c r="D2840" t="s">
        <v>150</v>
      </c>
      <c r="F2840">
        <v>-1825476590</v>
      </c>
      <c r="G2840">
        <v>-1452849543</v>
      </c>
      <c r="H2840">
        <v>-1011674215</v>
      </c>
      <c r="I2840">
        <v>-1196735763</v>
      </c>
      <c r="J2840">
        <v>-519088591</v>
      </c>
      <c r="K2840">
        <v>-621506552</v>
      </c>
      <c r="L2840">
        <v>-639120602</v>
      </c>
      <c r="M2840">
        <v>-189766253</v>
      </c>
      <c r="N2840">
        <v>21253265</v>
      </c>
      <c r="O2840">
        <v>-89822228</v>
      </c>
      <c r="P2840">
        <v>771</v>
      </c>
      <c r="Q2840" t="s">
        <v>5724</v>
      </c>
    </row>
    <row r="2841" spans="1:17" x14ac:dyDescent="0.3">
      <c r="A2841" t="s">
        <v>4382</v>
      </c>
      <c r="B2841" t="str">
        <f>"002157"</f>
        <v>002157</v>
      </c>
      <c r="C2841" t="s">
        <v>5725</v>
      </c>
      <c r="D2841" t="s">
        <v>205</v>
      </c>
      <c r="F2841">
        <v>-7433984486</v>
      </c>
      <c r="G2841">
        <v>-4794106959</v>
      </c>
      <c r="H2841">
        <v>-2157065301</v>
      </c>
      <c r="I2841">
        <v>-1851865279</v>
      </c>
      <c r="J2841">
        <v>-2367967024</v>
      </c>
      <c r="K2841">
        <v>-161362236</v>
      </c>
      <c r="L2841">
        <v>285205627</v>
      </c>
      <c r="M2841">
        <v>-618374901</v>
      </c>
      <c r="N2841">
        <v>-740722209</v>
      </c>
      <c r="O2841">
        <v>-340758373</v>
      </c>
      <c r="P2841">
        <v>1128</v>
      </c>
      <c r="Q2841" t="s">
        <v>5726</v>
      </c>
    </row>
    <row r="2842" spans="1:17" x14ac:dyDescent="0.3">
      <c r="A2842" t="s">
        <v>4382</v>
      </c>
      <c r="B2842" t="str">
        <f>"002158"</f>
        <v>002158</v>
      </c>
      <c r="C2842" t="s">
        <v>5727</v>
      </c>
      <c r="D2842" t="s">
        <v>78</v>
      </c>
      <c r="F2842">
        <v>219364946</v>
      </c>
      <c r="G2842">
        <v>76268715</v>
      </c>
      <c r="H2842">
        <v>99755227</v>
      </c>
      <c r="I2842">
        <v>-101891711</v>
      </c>
      <c r="J2842">
        <v>8336416</v>
      </c>
      <c r="K2842">
        <v>100791356</v>
      </c>
      <c r="L2842">
        <v>41554113</v>
      </c>
      <c r="M2842">
        <v>91262512</v>
      </c>
      <c r="N2842">
        <v>105374269</v>
      </c>
      <c r="O2842">
        <v>75342606</v>
      </c>
      <c r="P2842">
        <v>478</v>
      </c>
      <c r="Q2842" t="s">
        <v>5728</v>
      </c>
    </row>
    <row r="2843" spans="1:17" x14ac:dyDescent="0.3">
      <c r="A2843" t="s">
        <v>4382</v>
      </c>
      <c r="B2843" t="str">
        <f>"002159"</f>
        <v>002159</v>
      </c>
      <c r="C2843" t="s">
        <v>5729</v>
      </c>
      <c r="D2843" t="s">
        <v>110</v>
      </c>
      <c r="F2843">
        <v>-18693238</v>
      </c>
      <c r="G2843">
        <v>-26515223</v>
      </c>
      <c r="H2843">
        <v>158777198</v>
      </c>
      <c r="I2843">
        <v>133226644</v>
      </c>
      <c r="J2843">
        <v>-13961114</v>
      </c>
      <c r="K2843">
        <v>-137003217</v>
      </c>
      <c r="L2843">
        <v>-200748828</v>
      </c>
      <c r="M2843">
        <v>-79974956</v>
      </c>
      <c r="N2843">
        <v>-71045425</v>
      </c>
      <c r="O2843">
        <v>-56794697</v>
      </c>
      <c r="P2843">
        <v>119</v>
      </c>
      <c r="Q2843" t="s">
        <v>5730</v>
      </c>
    </row>
    <row r="2844" spans="1:17" x14ac:dyDescent="0.3">
      <c r="A2844" t="s">
        <v>4382</v>
      </c>
      <c r="B2844" t="str">
        <f>"002160"</f>
        <v>002160</v>
      </c>
      <c r="C2844" t="s">
        <v>5731</v>
      </c>
      <c r="D2844" t="s">
        <v>234</v>
      </c>
      <c r="F2844">
        <v>-61682838</v>
      </c>
      <c r="G2844">
        <v>-55544599</v>
      </c>
      <c r="H2844">
        <v>16402058</v>
      </c>
      <c r="I2844">
        <v>-10253648</v>
      </c>
      <c r="J2844">
        <v>-619680524</v>
      </c>
      <c r="K2844">
        <v>-454017505</v>
      </c>
      <c r="L2844">
        <v>361194766</v>
      </c>
      <c r="M2844">
        <v>-131559312</v>
      </c>
      <c r="N2844">
        <v>-239912075</v>
      </c>
      <c r="O2844">
        <v>-102632295</v>
      </c>
      <c r="P2844">
        <v>166</v>
      </c>
      <c r="Q2844" t="s">
        <v>5732</v>
      </c>
    </row>
    <row r="2845" spans="1:17" x14ac:dyDescent="0.3">
      <c r="A2845" t="s">
        <v>4382</v>
      </c>
      <c r="B2845" t="str">
        <f>"002161"</f>
        <v>002161</v>
      </c>
      <c r="C2845" t="s">
        <v>5733</v>
      </c>
      <c r="D2845" t="s">
        <v>150</v>
      </c>
      <c r="F2845">
        <v>18076623</v>
      </c>
      <c r="G2845">
        <v>-155817450</v>
      </c>
      <c r="H2845">
        <v>-80155329</v>
      </c>
      <c r="I2845">
        <v>-127679988</v>
      </c>
      <c r="J2845">
        <v>-49276060</v>
      </c>
      <c r="K2845">
        <v>-104221640</v>
      </c>
      <c r="L2845">
        <v>-31830112</v>
      </c>
      <c r="M2845">
        <v>-45662541</v>
      </c>
      <c r="N2845">
        <v>-26339375</v>
      </c>
      <c r="O2845">
        <v>-176686834</v>
      </c>
      <c r="P2845">
        <v>211</v>
      </c>
      <c r="Q2845" t="s">
        <v>5734</v>
      </c>
    </row>
    <row r="2846" spans="1:17" x14ac:dyDescent="0.3">
      <c r="A2846" t="s">
        <v>4382</v>
      </c>
      <c r="B2846" t="str">
        <f>"002162"</f>
        <v>002162</v>
      </c>
      <c r="C2846" t="s">
        <v>5735</v>
      </c>
      <c r="D2846" t="s">
        <v>161</v>
      </c>
      <c r="F2846">
        <v>-42032992</v>
      </c>
      <c r="G2846">
        <v>-21136827</v>
      </c>
      <c r="H2846">
        <v>55781777</v>
      </c>
      <c r="I2846">
        <v>7976678</v>
      </c>
      <c r="J2846">
        <v>45955870</v>
      </c>
      <c r="K2846">
        <v>23923803</v>
      </c>
      <c r="L2846">
        <v>-93803713</v>
      </c>
      <c r="M2846">
        <v>-30110449</v>
      </c>
      <c r="N2846">
        <v>-27981709</v>
      </c>
      <c r="O2846">
        <v>-77330537</v>
      </c>
      <c r="P2846">
        <v>137</v>
      </c>
      <c r="Q2846" t="s">
        <v>5736</v>
      </c>
    </row>
    <row r="2847" spans="1:17" x14ac:dyDescent="0.3">
      <c r="A2847" t="s">
        <v>4382</v>
      </c>
      <c r="B2847" t="str">
        <f>"002163"</f>
        <v>002163</v>
      </c>
      <c r="C2847" t="s">
        <v>5737</v>
      </c>
      <c r="D2847" t="s">
        <v>350</v>
      </c>
      <c r="F2847">
        <v>-323773070</v>
      </c>
      <c r="G2847">
        <v>35148772</v>
      </c>
      <c r="H2847">
        <v>-12006287</v>
      </c>
      <c r="I2847">
        <v>213928649</v>
      </c>
      <c r="J2847">
        <v>286254166</v>
      </c>
      <c r="K2847">
        <v>72777443</v>
      </c>
      <c r="L2847">
        <v>-293545270</v>
      </c>
      <c r="M2847">
        <v>176584590</v>
      </c>
      <c r="N2847">
        <v>-298685293</v>
      </c>
      <c r="O2847">
        <v>-458970029</v>
      </c>
      <c r="P2847">
        <v>170</v>
      </c>
      <c r="Q2847" t="s">
        <v>5738</v>
      </c>
    </row>
    <row r="2848" spans="1:17" x14ac:dyDescent="0.3">
      <c r="A2848" t="s">
        <v>4382</v>
      </c>
      <c r="B2848" t="str">
        <f>"002164"</f>
        <v>002164</v>
      </c>
      <c r="C2848" t="s">
        <v>5739</v>
      </c>
      <c r="D2848" t="s">
        <v>78</v>
      </c>
      <c r="F2848">
        <v>23221805</v>
      </c>
      <c r="G2848">
        <v>134478011</v>
      </c>
      <c r="H2848">
        <v>75091094</v>
      </c>
      <c r="I2848">
        <v>-118654332</v>
      </c>
      <c r="J2848">
        <v>276891144</v>
      </c>
      <c r="K2848">
        <v>51864624</v>
      </c>
      <c r="L2848">
        <v>21034913</v>
      </c>
      <c r="M2848">
        <v>-33979853</v>
      </c>
      <c r="N2848">
        <v>-63193021</v>
      </c>
      <c r="O2848">
        <v>51821952</v>
      </c>
      <c r="P2848">
        <v>187</v>
      </c>
      <c r="Q2848" t="s">
        <v>5740</v>
      </c>
    </row>
    <row r="2849" spans="1:17" x14ac:dyDescent="0.3">
      <c r="A2849" t="s">
        <v>4382</v>
      </c>
      <c r="B2849" t="str">
        <f>"002165"</f>
        <v>002165</v>
      </c>
      <c r="C2849" t="s">
        <v>5741</v>
      </c>
      <c r="D2849" t="s">
        <v>133</v>
      </c>
      <c r="F2849">
        <v>70632483</v>
      </c>
      <c r="G2849">
        <v>-205621887</v>
      </c>
      <c r="H2849">
        <v>-465083574</v>
      </c>
      <c r="I2849">
        <v>-280759471</v>
      </c>
      <c r="J2849">
        <v>-365799397</v>
      </c>
      <c r="K2849">
        <v>78865133</v>
      </c>
      <c r="L2849">
        <v>-35400825</v>
      </c>
      <c r="M2849">
        <v>142246956</v>
      </c>
      <c r="N2849">
        <v>-31980815</v>
      </c>
      <c r="O2849">
        <v>-3343491</v>
      </c>
      <c r="P2849">
        <v>100</v>
      </c>
      <c r="Q2849" t="s">
        <v>5742</v>
      </c>
    </row>
    <row r="2850" spans="1:17" x14ac:dyDescent="0.3">
      <c r="A2850" t="s">
        <v>4382</v>
      </c>
      <c r="B2850" t="str">
        <f>"002166"</f>
        <v>002166</v>
      </c>
      <c r="C2850" t="s">
        <v>5743</v>
      </c>
      <c r="D2850" t="s">
        <v>113</v>
      </c>
      <c r="F2850">
        <v>37740518</v>
      </c>
      <c r="G2850">
        <v>-13653492</v>
      </c>
      <c r="H2850">
        <v>-109610005</v>
      </c>
      <c r="I2850">
        <v>-65387747</v>
      </c>
      <c r="J2850">
        <v>245905075</v>
      </c>
      <c r="K2850">
        <v>-103257410</v>
      </c>
      <c r="L2850">
        <v>74327269</v>
      </c>
      <c r="M2850">
        <v>19976308</v>
      </c>
      <c r="N2850">
        <v>-120813321</v>
      </c>
      <c r="O2850">
        <v>-73929947</v>
      </c>
      <c r="P2850">
        <v>201</v>
      </c>
      <c r="Q2850" t="s">
        <v>5744</v>
      </c>
    </row>
    <row r="2851" spans="1:17" x14ac:dyDescent="0.3">
      <c r="A2851" t="s">
        <v>4382</v>
      </c>
      <c r="B2851" t="str">
        <f>"002167"</f>
        <v>002167</v>
      </c>
      <c r="C2851" t="s">
        <v>5745</v>
      </c>
      <c r="D2851" t="s">
        <v>234</v>
      </c>
      <c r="F2851">
        <v>425490759</v>
      </c>
      <c r="G2851">
        <v>94051549</v>
      </c>
      <c r="H2851">
        <v>52280322</v>
      </c>
      <c r="I2851">
        <v>147715646</v>
      </c>
      <c r="J2851">
        <v>-6436877</v>
      </c>
      <c r="K2851">
        <v>-111941334</v>
      </c>
      <c r="L2851">
        <v>-115770066</v>
      </c>
      <c r="M2851">
        <v>-132950309</v>
      </c>
      <c r="N2851">
        <v>-284489769</v>
      </c>
      <c r="O2851">
        <v>-265124843</v>
      </c>
      <c r="P2851">
        <v>112</v>
      </c>
      <c r="Q2851" t="s">
        <v>5746</v>
      </c>
    </row>
    <row r="2852" spans="1:17" x14ac:dyDescent="0.3">
      <c r="A2852" t="s">
        <v>4382</v>
      </c>
      <c r="B2852" t="str">
        <f>"002168"</f>
        <v>002168</v>
      </c>
      <c r="C2852" t="s">
        <v>5747</v>
      </c>
      <c r="D2852" t="s">
        <v>89</v>
      </c>
      <c r="F2852">
        <v>156120761</v>
      </c>
      <c r="G2852">
        <v>171243487</v>
      </c>
      <c r="H2852">
        <v>-241092495</v>
      </c>
      <c r="I2852">
        <v>169434373</v>
      </c>
      <c r="J2852">
        <v>-38883037</v>
      </c>
      <c r="K2852">
        <v>-71990219</v>
      </c>
      <c r="L2852">
        <v>-42745144</v>
      </c>
      <c r="M2852">
        <v>-13269646</v>
      </c>
      <c r="N2852">
        <v>-16730314</v>
      </c>
      <c r="O2852">
        <v>-132941354</v>
      </c>
      <c r="P2852">
        <v>158</v>
      </c>
      <c r="Q2852" t="s">
        <v>5748</v>
      </c>
    </row>
    <row r="2853" spans="1:17" x14ac:dyDescent="0.3">
      <c r="A2853" t="s">
        <v>4382</v>
      </c>
      <c r="B2853" t="str">
        <f>"002169"</f>
        <v>002169</v>
      </c>
      <c r="C2853" t="s">
        <v>5749</v>
      </c>
      <c r="D2853" t="s">
        <v>188</v>
      </c>
      <c r="F2853">
        <v>-111332942</v>
      </c>
      <c r="G2853">
        <v>-41716080</v>
      </c>
      <c r="H2853">
        <v>-85741667</v>
      </c>
      <c r="I2853">
        <v>-271342123</v>
      </c>
      <c r="J2853">
        <v>-158114719</v>
      </c>
      <c r="K2853">
        <v>-156224928</v>
      </c>
      <c r="L2853">
        <v>-42252968</v>
      </c>
      <c r="M2853">
        <v>-162749821</v>
      </c>
      <c r="N2853">
        <v>-110612693</v>
      </c>
      <c r="O2853">
        <v>-102015329</v>
      </c>
      <c r="P2853">
        <v>219</v>
      </c>
      <c r="Q2853" t="s">
        <v>5750</v>
      </c>
    </row>
    <row r="2854" spans="1:17" x14ac:dyDescent="0.3">
      <c r="A2854" t="s">
        <v>4382</v>
      </c>
      <c r="B2854" t="str">
        <f>"002170"</f>
        <v>002170</v>
      </c>
      <c r="C2854" t="s">
        <v>5751</v>
      </c>
      <c r="D2854" t="s">
        <v>133</v>
      </c>
      <c r="F2854">
        <v>-4329948</v>
      </c>
      <c r="G2854">
        <v>324638726</v>
      </c>
      <c r="H2854">
        <v>517786151</v>
      </c>
      <c r="I2854">
        <v>63604141</v>
      </c>
      <c r="J2854">
        <v>52943374</v>
      </c>
      <c r="K2854">
        <v>-195274656</v>
      </c>
      <c r="L2854">
        <v>-83208460</v>
      </c>
      <c r="M2854">
        <v>-424709223</v>
      </c>
      <c r="N2854">
        <v>36365283</v>
      </c>
      <c r="O2854">
        <v>99728799</v>
      </c>
      <c r="P2854">
        <v>103</v>
      </c>
      <c r="Q2854" t="s">
        <v>5752</v>
      </c>
    </row>
    <row r="2855" spans="1:17" x14ac:dyDescent="0.3">
      <c r="A2855" t="s">
        <v>4382</v>
      </c>
      <c r="B2855" t="str">
        <f>"002171"</f>
        <v>002171</v>
      </c>
      <c r="C2855" t="s">
        <v>5753</v>
      </c>
      <c r="D2855" t="s">
        <v>234</v>
      </c>
      <c r="F2855">
        <v>-1031660929</v>
      </c>
      <c r="G2855">
        <v>-1297428781</v>
      </c>
      <c r="H2855">
        <v>-848954648</v>
      </c>
      <c r="I2855">
        <v>-339615931</v>
      </c>
      <c r="J2855">
        <v>-330126646</v>
      </c>
      <c r="K2855">
        <v>-141186651</v>
      </c>
      <c r="L2855">
        <v>-162926611</v>
      </c>
      <c r="M2855">
        <v>-209707241</v>
      </c>
      <c r="N2855">
        <v>-37967842</v>
      </c>
      <c r="O2855">
        <v>-172162641</v>
      </c>
      <c r="P2855">
        <v>237</v>
      </c>
      <c r="Q2855" t="s">
        <v>5754</v>
      </c>
    </row>
    <row r="2856" spans="1:17" x14ac:dyDescent="0.3">
      <c r="A2856" t="s">
        <v>4382</v>
      </c>
      <c r="B2856" t="str">
        <f>"002172"</f>
        <v>002172</v>
      </c>
      <c r="C2856" t="s">
        <v>5755</v>
      </c>
      <c r="D2856" t="s">
        <v>133</v>
      </c>
      <c r="F2856">
        <v>-121860163</v>
      </c>
      <c r="G2856">
        <v>12063021</v>
      </c>
      <c r="H2856">
        <v>-104219024</v>
      </c>
      <c r="I2856">
        <v>-1230808670</v>
      </c>
      <c r="J2856">
        <v>-855103364</v>
      </c>
      <c r="K2856">
        <v>130871950</v>
      </c>
      <c r="L2856">
        <v>80716800</v>
      </c>
      <c r="M2856">
        <v>264468093</v>
      </c>
      <c r="N2856">
        <v>103616125</v>
      </c>
      <c r="O2856">
        <v>413648988</v>
      </c>
      <c r="P2856">
        <v>141</v>
      </c>
      <c r="Q2856" t="s">
        <v>5756</v>
      </c>
    </row>
    <row r="2857" spans="1:17" x14ac:dyDescent="0.3">
      <c r="A2857" t="s">
        <v>4382</v>
      </c>
      <c r="B2857" t="str">
        <f>"002173"</f>
        <v>002173</v>
      </c>
      <c r="C2857" t="s">
        <v>5757</v>
      </c>
      <c r="D2857" t="s">
        <v>113</v>
      </c>
      <c r="F2857">
        <v>-26110988</v>
      </c>
      <c r="G2857">
        <v>20217618</v>
      </c>
      <c r="H2857">
        <v>-76383917</v>
      </c>
      <c r="I2857">
        <v>-202180413</v>
      </c>
      <c r="J2857">
        <v>23776792</v>
      </c>
      <c r="K2857">
        <v>-98303743</v>
      </c>
      <c r="L2857">
        <v>26797432</v>
      </c>
      <c r="M2857">
        <v>-12829315</v>
      </c>
      <c r="N2857">
        <v>-6601987</v>
      </c>
      <c r="O2857">
        <v>-12997096</v>
      </c>
      <c r="P2857">
        <v>125</v>
      </c>
      <c r="Q2857" t="s">
        <v>5758</v>
      </c>
    </row>
    <row r="2858" spans="1:17" x14ac:dyDescent="0.3">
      <c r="A2858" t="s">
        <v>4382</v>
      </c>
      <c r="B2858" t="str">
        <f>"002174"</f>
        <v>002174</v>
      </c>
      <c r="C2858" t="s">
        <v>5759</v>
      </c>
      <c r="D2858" t="s">
        <v>89</v>
      </c>
      <c r="F2858">
        <v>147495175</v>
      </c>
      <c r="G2858">
        <v>529402092</v>
      </c>
      <c r="H2858">
        <v>-18516390</v>
      </c>
      <c r="I2858">
        <v>-81454014</v>
      </c>
      <c r="J2858">
        <v>308556816</v>
      </c>
      <c r="K2858">
        <v>296561591</v>
      </c>
      <c r="L2858">
        <v>-167296058</v>
      </c>
      <c r="M2858">
        <v>-70372810</v>
      </c>
      <c r="N2858">
        <v>-42176513</v>
      </c>
      <c r="O2858">
        <v>26767706</v>
      </c>
      <c r="P2858">
        <v>736</v>
      </c>
      <c r="Q2858" t="s">
        <v>5760</v>
      </c>
    </row>
    <row r="2859" spans="1:17" x14ac:dyDescent="0.3">
      <c r="A2859" t="s">
        <v>4382</v>
      </c>
      <c r="B2859" t="str">
        <f>"002175"</f>
        <v>002175</v>
      </c>
      <c r="C2859" t="s">
        <v>5761</v>
      </c>
      <c r="D2859" t="s">
        <v>103</v>
      </c>
      <c r="F2859">
        <v>-17773127</v>
      </c>
      <c r="G2859">
        <v>18566249</v>
      </c>
      <c r="H2859">
        <v>-26894546</v>
      </c>
      <c r="I2859">
        <v>-66861144</v>
      </c>
      <c r="J2859">
        <v>8344359</v>
      </c>
      <c r="K2859">
        <v>-336588783</v>
      </c>
      <c r="L2859">
        <v>-218045152</v>
      </c>
      <c r="M2859">
        <v>-46554996</v>
      </c>
      <c r="N2859">
        <v>-15496653</v>
      </c>
      <c r="O2859">
        <v>-76541</v>
      </c>
      <c r="P2859">
        <v>79</v>
      </c>
      <c r="Q2859" t="s">
        <v>5762</v>
      </c>
    </row>
    <row r="2860" spans="1:17" x14ac:dyDescent="0.3">
      <c r="A2860" t="s">
        <v>4382</v>
      </c>
      <c r="B2860" t="str">
        <f>"002176"</f>
        <v>002176</v>
      </c>
      <c r="C2860" t="s">
        <v>5763</v>
      </c>
      <c r="D2860" t="s">
        <v>188</v>
      </c>
      <c r="F2860">
        <v>76865659</v>
      </c>
      <c r="G2860">
        <v>-125228316</v>
      </c>
      <c r="H2860">
        <v>-58203766</v>
      </c>
      <c r="I2860">
        <v>-684613078</v>
      </c>
      <c r="J2860">
        <v>-663911834</v>
      </c>
      <c r="K2860">
        <v>-839950886</v>
      </c>
      <c r="L2860">
        <v>-139025081</v>
      </c>
      <c r="M2860">
        <v>-155737206</v>
      </c>
      <c r="N2860">
        <v>-104266153</v>
      </c>
      <c r="O2860">
        <v>-161756722</v>
      </c>
      <c r="P2860">
        <v>317</v>
      </c>
      <c r="Q2860" t="s">
        <v>5764</v>
      </c>
    </row>
    <row r="2861" spans="1:17" x14ac:dyDescent="0.3">
      <c r="A2861" t="s">
        <v>4382</v>
      </c>
      <c r="B2861" t="str">
        <f>"002177"</f>
        <v>002177</v>
      </c>
      <c r="C2861" t="s">
        <v>5765</v>
      </c>
      <c r="D2861" t="s">
        <v>212</v>
      </c>
      <c r="F2861">
        <v>-109786831</v>
      </c>
      <c r="G2861">
        <v>-35894449</v>
      </c>
      <c r="H2861">
        <v>-915369</v>
      </c>
      <c r="I2861">
        <v>18427679</v>
      </c>
      <c r="J2861">
        <v>-146217442</v>
      </c>
      <c r="K2861">
        <v>-79273038</v>
      </c>
      <c r="L2861">
        <v>-319986372</v>
      </c>
      <c r="M2861">
        <v>-157220736</v>
      </c>
      <c r="N2861">
        <v>-136538931</v>
      </c>
      <c r="O2861">
        <v>-122433413</v>
      </c>
      <c r="P2861">
        <v>3025</v>
      </c>
      <c r="Q2861" t="s">
        <v>5766</v>
      </c>
    </row>
    <row r="2862" spans="1:17" x14ac:dyDescent="0.3">
      <c r="A2862" t="s">
        <v>4382</v>
      </c>
      <c r="B2862" t="str">
        <f>"002178"</f>
        <v>002178</v>
      </c>
      <c r="C2862" t="s">
        <v>5767</v>
      </c>
      <c r="D2862" t="s">
        <v>212</v>
      </c>
      <c r="F2862">
        <v>-112632655</v>
      </c>
      <c r="G2862">
        <v>-112678613</v>
      </c>
      <c r="H2862">
        <v>-170973293</v>
      </c>
      <c r="I2862">
        <v>-140289606</v>
      </c>
      <c r="J2862">
        <v>-121582145</v>
      </c>
      <c r="K2862">
        <v>-161372562</v>
      </c>
      <c r="L2862">
        <v>-151098451</v>
      </c>
      <c r="M2862">
        <v>-98202737</v>
      </c>
      <c r="N2862">
        <v>-130877488</v>
      </c>
      <c r="O2862">
        <v>-90406975</v>
      </c>
      <c r="P2862">
        <v>89</v>
      </c>
      <c r="Q2862" t="s">
        <v>5768</v>
      </c>
    </row>
    <row r="2863" spans="1:17" x14ac:dyDescent="0.3">
      <c r="A2863" t="s">
        <v>4382</v>
      </c>
      <c r="B2863" t="str">
        <f>"002179"</f>
        <v>002179</v>
      </c>
      <c r="C2863" t="s">
        <v>5769</v>
      </c>
      <c r="D2863" t="s">
        <v>92</v>
      </c>
      <c r="F2863">
        <v>-89362935</v>
      </c>
      <c r="G2863">
        <v>-335274199</v>
      </c>
      <c r="H2863">
        <v>-60450825</v>
      </c>
      <c r="I2863">
        <v>-481712584</v>
      </c>
      <c r="J2863">
        <v>-194297799</v>
      </c>
      <c r="K2863">
        <v>-301885144</v>
      </c>
      <c r="L2863">
        <v>-271414749</v>
      </c>
      <c r="M2863">
        <v>-245226870</v>
      </c>
      <c r="N2863">
        <v>-161953719</v>
      </c>
      <c r="O2863">
        <v>-276033945</v>
      </c>
      <c r="P2863">
        <v>1743</v>
      </c>
      <c r="Q2863" t="s">
        <v>5770</v>
      </c>
    </row>
    <row r="2864" spans="1:17" x14ac:dyDescent="0.3">
      <c r="A2864" t="s">
        <v>4382</v>
      </c>
      <c r="B2864" t="str">
        <f>"002180"</f>
        <v>002180</v>
      </c>
      <c r="C2864" t="s">
        <v>5771</v>
      </c>
      <c r="D2864" t="s">
        <v>150</v>
      </c>
      <c r="F2864">
        <v>611364783</v>
      </c>
      <c r="G2864">
        <v>-320369366</v>
      </c>
      <c r="H2864">
        <v>659438168</v>
      </c>
      <c r="I2864">
        <v>715741257</v>
      </c>
      <c r="J2864">
        <v>-642727545</v>
      </c>
      <c r="K2864">
        <v>318755467</v>
      </c>
      <c r="L2864">
        <v>170896140</v>
      </c>
      <c r="M2864">
        <v>141254083</v>
      </c>
      <c r="N2864">
        <v>-7465818</v>
      </c>
      <c r="O2864">
        <v>-24361999</v>
      </c>
      <c r="P2864">
        <v>473</v>
      </c>
      <c r="Q2864" t="s">
        <v>5772</v>
      </c>
    </row>
    <row r="2865" spans="1:17" x14ac:dyDescent="0.3">
      <c r="A2865" t="s">
        <v>4382</v>
      </c>
      <c r="B2865" t="str">
        <f>"002181"</f>
        <v>002181</v>
      </c>
      <c r="C2865" t="s">
        <v>5773</v>
      </c>
      <c r="D2865" t="s">
        <v>89</v>
      </c>
      <c r="F2865">
        <v>-650979632</v>
      </c>
      <c r="G2865">
        <v>110742963</v>
      </c>
      <c r="H2865">
        <v>-200804936</v>
      </c>
      <c r="I2865">
        <v>-40790087</v>
      </c>
      <c r="J2865">
        <v>-208382846</v>
      </c>
      <c r="K2865">
        <v>-251348081</v>
      </c>
      <c r="L2865">
        <v>-162388050</v>
      </c>
      <c r="M2865">
        <v>-86669089</v>
      </c>
      <c r="N2865">
        <v>-114241336</v>
      </c>
      <c r="O2865">
        <v>90105042</v>
      </c>
      <c r="P2865">
        <v>107</v>
      </c>
      <c r="Q2865" t="s">
        <v>5774</v>
      </c>
    </row>
    <row r="2866" spans="1:17" x14ac:dyDescent="0.3">
      <c r="A2866" t="s">
        <v>4382</v>
      </c>
      <c r="B2866" t="str">
        <f>"002182"</f>
        <v>002182</v>
      </c>
      <c r="C2866" t="s">
        <v>5775</v>
      </c>
      <c r="D2866" t="s">
        <v>234</v>
      </c>
      <c r="F2866">
        <v>-320016779</v>
      </c>
      <c r="G2866">
        <v>118760753</v>
      </c>
      <c r="H2866">
        <v>556795403</v>
      </c>
      <c r="I2866">
        <v>704030</v>
      </c>
      <c r="J2866">
        <v>-36351661</v>
      </c>
      <c r="K2866">
        <v>-19600198</v>
      </c>
      <c r="L2866">
        <v>-34518751</v>
      </c>
      <c r="M2866">
        <v>120170219</v>
      </c>
      <c r="N2866">
        <v>-89710540</v>
      </c>
      <c r="O2866">
        <v>110879944</v>
      </c>
      <c r="P2866">
        <v>372</v>
      </c>
      <c r="Q2866" t="s">
        <v>5776</v>
      </c>
    </row>
    <row r="2867" spans="1:17" x14ac:dyDescent="0.3">
      <c r="A2867" t="s">
        <v>4382</v>
      </c>
      <c r="B2867" t="str">
        <f>"002183"</f>
        <v>002183</v>
      </c>
      <c r="C2867" t="s">
        <v>5777</v>
      </c>
      <c r="D2867" t="s">
        <v>22</v>
      </c>
      <c r="F2867">
        <v>862692137</v>
      </c>
      <c r="G2867">
        <v>825586341</v>
      </c>
      <c r="H2867">
        <v>1895113878</v>
      </c>
      <c r="I2867">
        <v>984790923</v>
      </c>
      <c r="J2867">
        <v>-2624656374</v>
      </c>
      <c r="K2867">
        <v>-3599140445</v>
      </c>
      <c r="L2867">
        <v>-2943619140</v>
      </c>
      <c r="M2867">
        <v>-2271996192</v>
      </c>
      <c r="N2867">
        <v>-2296332705</v>
      </c>
      <c r="O2867">
        <v>-697948103</v>
      </c>
      <c r="P2867">
        <v>261</v>
      </c>
      <c r="Q2867" t="s">
        <v>5778</v>
      </c>
    </row>
    <row r="2868" spans="1:17" x14ac:dyDescent="0.3">
      <c r="A2868" t="s">
        <v>4382</v>
      </c>
      <c r="B2868" t="str">
        <f>"002184"</f>
        <v>002184</v>
      </c>
      <c r="C2868" t="s">
        <v>5779</v>
      </c>
      <c r="D2868" t="s">
        <v>78</v>
      </c>
      <c r="F2868">
        <v>-17402261</v>
      </c>
      <c r="G2868">
        <v>54834686</v>
      </c>
      <c r="H2868">
        <v>105499212</v>
      </c>
      <c r="I2868">
        <v>-80097187</v>
      </c>
      <c r="J2868">
        <v>-234669465</v>
      </c>
      <c r="K2868">
        <v>-103654089</v>
      </c>
      <c r="L2868">
        <v>-50470048</v>
      </c>
      <c r="M2868">
        <v>-80742214</v>
      </c>
      <c r="N2868">
        <v>-12882845</v>
      </c>
      <c r="O2868">
        <v>-52280777</v>
      </c>
      <c r="P2868">
        <v>186</v>
      </c>
      <c r="Q2868" t="s">
        <v>5780</v>
      </c>
    </row>
    <row r="2869" spans="1:17" x14ac:dyDescent="0.3">
      <c r="A2869" t="s">
        <v>4382</v>
      </c>
      <c r="B2869" t="str">
        <f>"002185"</f>
        <v>002185</v>
      </c>
      <c r="C2869" t="s">
        <v>5781</v>
      </c>
      <c r="D2869" t="s">
        <v>150</v>
      </c>
      <c r="F2869">
        <v>-1539955565</v>
      </c>
      <c r="G2869">
        <v>-743341669</v>
      </c>
      <c r="H2869">
        <v>-329387970</v>
      </c>
      <c r="I2869">
        <v>-745149284</v>
      </c>
      <c r="J2869">
        <v>-685219769</v>
      </c>
      <c r="K2869">
        <v>-491959367</v>
      </c>
      <c r="L2869">
        <v>-117706311</v>
      </c>
      <c r="M2869">
        <v>-104129695</v>
      </c>
      <c r="N2869">
        <v>-170956934</v>
      </c>
      <c r="O2869">
        <v>-84066642</v>
      </c>
      <c r="P2869">
        <v>1176</v>
      </c>
      <c r="Q2869" t="s">
        <v>5782</v>
      </c>
    </row>
    <row r="2870" spans="1:17" x14ac:dyDescent="0.3">
      <c r="A2870" t="s">
        <v>4382</v>
      </c>
      <c r="B2870" t="str">
        <f>"002186"</f>
        <v>002186</v>
      </c>
      <c r="C2870" t="s">
        <v>5783</v>
      </c>
      <c r="D2870" t="s">
        <v>110</v>
      </c>
      <c r="F2870">
        <v>-54520040</v>
      </c>
      <c r="G2870">
        <v>-114980675</v>
      </c>
      <c r="H2870">
        <v>54707072</v>
      </c>
      <c r="I2870">
        <v>86355318</v>
      </c>
      <c r="J2870">
        <v>186681994</v>
      </c>
      <c r="K2870">
        <v>181374234</v>
      </c>
      <c r="L2870">
        <v>213523188</v>
      </c>
      <c r="M2870">
        <v>173420124</v>
      </c>
      <c r="N2870">
        <v>223559771</v>
      </c>
      <c r="O2870">
        <v>204990525</v>
      </c>
      <c r="P2870">
        <v>179</v>
      </c>
      <c r="Q2870" t="s">
        <v>5784</v>
      </c>
    </row>
    <row r="2871" spans="1:17" x14ac:dyDescent="0.3">
      <c r="A2871" t="s">
        <v>4382</v>
      </c>
      <c r="B2871" t="str">
        <f>"002187"</f>
        <v>002187</v>
      </c>
      <c r="C2871" t="s">
        <v>5785</v>
      </c>
      <c r="D2871" t="s">
        <v>120</v>
      </c>
      <c r="F2871">
        <v>206298652</v>
      </c>
      <c r="G2871">
        <v>-71117039</v>
      </c>
      <c r="H2871">
        <v>34412565</v>
      </c>
      <c r="I2871">
        <v>68319644</v>
      </c>
      <c r="J2871">
        <v>-30664212</v>
      </c>
      <c r="K2871">
        <v>-177257599</v>
      </c>
      <c r="L2871">
        <v>-50884472</v>
      </c>
      <c r="M2871">
        <v>-101287357</v>
      </c>
      <c r="N2871">
        <v>105702892</v>
      </c>
      <c r="O2871">
        <v>318696450</v>
      </c>
      <c r="P2871">
        <v>147</v>
      </c>
      <c r="Q2871" t="s">
        <v>5786</v>
      </c>
    </row>
    <row r="2872" spans="1:17" x14ac:dyDescent="0.3">
      <c r="A2872" t="s">
        <v>4382</v>
      </c>
      <c r="B2872" t="str">
        <f>"002188"</f>
        <v>002188</v>
      </c>
      <c r="C2872" t="s">
        <v>5787</v>
      </c>
      <c r="D2872" t="s">
        <v>89</v>
      </c>
      <c r="F2872">
        <v>100175290</v>
      </c>
      <c r="G2872">
        <v>-10563692</v>
      </c>
      <c r="H2872">
        <v>-6242722</v>
      </c>
      <c r="I2872">
        <v>-71857600</v>
      </c>
      <c r="J2872">
        <v>-28957444</v>
      </c>
      <c r="K2872">
        <v>-57480219</v>
      </c>
      <c r="L2872">
        <v>-30662161</v>
      </c>
      <c r="M2872">
        <v>-13282266</v>
      </c>
      <c r="N2872">
        <v>-17369950</v>
      </c>
      <c r="O2872">
        <v>40632070</v>
      </c>
      <c r="P2872">
        <v>69</v>
      </c>
      <c r="Q2872" t="s">
        <v>5788</v>
      </c>
    </row>
    <row r="2873" spans="1:17" x14ac:dyDescent="0.3">
      <c r="A2873" t="s">
        <v>4382</v>
      </c>
      <c r="B2873" t="str">
        <f>"002189"</f>
        <v>002189</v>
      </c>
      <c r="C2873" t="s">
        <v>5789</v>
      </c>
      <c r="D2873" t="s">
        <v>92</v>
      </c>
      <c r="F2873">
        <v>-489254641</v>
      </c>
      <c r="G2873">
        <v>-245025897</v>
      </c>
      <c r="H2873">
        <v>4064582</v>
      </c>
      <c r="I2873">
        <v>-16400105</v>
      </c>
      <c r="J2873">
        <v>55696324</v>
      </c>
      <c r="K2873">
        <v>-20181660</v>
      </c>
      <c r="L2873">
        <v>744906</v>
      </c>
      <c r="M2873">
        <v>26306954</v>
      </c>
      <c r="N2873">
        <v>-23655649</v>
      </c>
      <c r="O2873">
        <v>-22816719</v>
      </c>
      <c r="P2873">
        <v>221</v>
      </c>
      <c r="Q2873" t="s">
        <v>5790</v>
      </c>
    </row>
    <row r="2874" spans="1:17" x14ac:dyDescent="0.3">
      <c r="A2874" t="s">
        <v>4382</v>
      </c>
      <c r="B2874" t="str">
        <f>"002190"</f>
        <v>002190</v>
      </c>
      <c r="C2874" t="s">
        <v>5791</v>
      </c>
      <c r="D2874" t="s">
        <v>92</v>
      </c>
      <c r="F2874">
        <v>-22898483</v>
      </c>
      <c r="G2874">
        <v>-27985838</v>
      </c>
      <c r="H2874">
        <v>-733522536</v>
      </c>
      <c r="I2874">
        <v>-625223865</v>
      </c>
      <c r="J2874">
        <v>-474315217</v>
      </c>
      <c r="K2874">
        <v>-1640465022</v>
      </c>
      <c r="L2874">
        <v>-207966055</v>
      </c>
      <c r="M2874">
        <v>-178696658</v>
      </c>
      <c r="N2874">
        <v>-132541588</v>
      </c>
      <c r="O2874">
        <v>-305353999</v>
      </c>
      <c r="P2874">
        <v>184</v>
      </c>
      <c r="Q2874" t="s">
        <v>5792</v>
      </c>
    </row>
    <row r="2875" spans="1:17" x14ac:dyDescent="0.3">
      <c r="A2875" t="s">
        <v>4382</v>
      </c>
      <c r="B2875" t="str">
        <f>"002191"</f>
        <v>002191</v>
      </c>
      <c r="C2875" t="s">
        <v>5793</v>
      </c>
      <c r="D2875" t="s">
        <v>161</v>
      </c>
      <c r="F2875">
        <v>585071624</v>
      </c>
      <c r="G2875">
        <v>508921488</v>
      </c>
      <c r="H2875">
        <v>351475734</v>
      </c>
      <c r="I2875">
        <v>357464052</v>
      </c>
      <c r="J2875">
        <v>357583562</v>
      </c>
      <c r="K2875">
        <v>248333392</v>
      </c>
      <c r="L2875">
        <v>419412748</v>
      </c>
      <c r="M2875">
        <v>303925623</v>
      </c>
      <c r="N2875">
        <v>206021580</v>
      </c>
      <c r="O2875">
        <v>259414925</v>
      </c>
      <c r="P2875">
        <v>6346</v>
      </c>
      <c r="Q2875" t="s">
        <v>5794</v>
      </c>
    </row>
    <row r="2876" spans="1:17" x14ac:dyDescent="0.3">
      <c r="A2876" t="s">
        <v>4382</v>
      </c>
      <c r="B2876" t="str">
        <f>"002192"</f>
        <v>002192</v>
      </c>
      <c r="C2876" t="s">
        <v>5795</v>
      </c>
      <c r="D2876" t="s">
        <v>188</v>
      </c>
      <c r="F2876">
        <v>-53463912</v>
      </c>
      <c r="G2876">
        <v>-101332928</v>
      </c>
      <c r="H2876">
        <v>-75572011</v>
      </c>
      <c r="I2876">
        <v>-38221413</v>
      </c>
      <c r="J2876">
        <v>-30620116</v>
      </c>
      <c r="K2876">
        <v>-71610271</v>
      </c>
      <c r="L2876">
        <v>-34886323</v>
      </c>
      <c r="M2876">
        <v>-68534515</v>
      </c>
      <c r="N2876">
        <v>23249653</v>
      </c>
      <c r="O2876">
        <v>31637217</v>
      </c>
      <c r="P2876">
        <v>230</v>
      </c>
      <c r="Q2876" t="s">
        <v>5796</v>
      </c>
    </row>
    <row r="2877" spans="1:17" x14ac:dyDescent="0.3">
      <c r="A2877" t="s">
        <v>4382</v>
      </c>
      <c r="B2877" t="str">
        <f>"002193"</f>
        <v>002193</v>
      </c>
      <c r="C2877" t="s">
        <v>5797</v>
      </c>
      <c r="D2877" t="s">
        <v>227</v>
      </c>
      <c r="F2877">
        <v>-379219627</v>
      </c>
      <c r="G2877">
        <v>98167008</v>
      </c>
      <c r="H2877">
        <v>-165692372</v>
      </c>
      <c r="I2877">
        <v>-123292587</v>
      </c>
      <c r="J2877">
        <v>-523589479</v>
      </c>
      <c r="K2877">
        <v>-377365592</v>
      </c>
      <c r="L2877">
        <v>32933007</v>
      </c>
      <c r="M2877">
        <v>-2128806</v>
      </c>
      <c r="N2877">
        <v>23743473</v>
      </c>
      <c r="O2877">
        <v>98554925</v>
      </c>
      <c r="P2877">
        <v>93</v>
      </c>
      <c r="Q2877" t="s">
        <v>5798</v>
      </c>
    </row>
    <row r="2878" spans="1:17" x14ac:dyDescent="0.3">
      <c r="A2878" t="s">
        <v>4382</v>
      </c>
      <c r="B2878" t="str">
        <f>"002194"</f>
        <v>002194</v>
      </c>
      <c r="C2878" t="s">
        <v>5799</v>
      </c>
      <c r="D2878" t="s">
        <v>100</v>
      </c>
      <c r="F2878">
        <v>214163240</v>
      </c>
      <c r="G2878">
        <v>273018268</v>
      </c>
      <c r="H2878">
        <v>211184455</v>
      </c>
      <c r="I2878">
        <v>-41283968</v>
      </c>
      <c r="J2878">
        <v>-357058945</v>
      </c>
      <c r="K2878">
        <v>-28179378</v>
      </c>
      <c r="L2878">
        <v>-316158384</v>
      </c>
      <c r="M2878">
        <v>-364812095</v>
      </c>
      <c r="N2878">
        <v>99756084</v>
      </c>
      <c r="O2878">
        <v>-305618779</v>
      </c>
      <c r="P2878">
        <v>906</v>
      </c>
      <c r="Q2878" t="s">
        <v>5800</v>
      </c>
    </row>
    <row r="2879" spans="1:17" x14ac:dyDescent="0.3">
      <c r="A2879" t="s">
        <v>4382</v>
      </c>
      <c r="B2879" t="str">
        <f>"002195"</f>
        <v>002195</v>
      </c>
      <c r="C2879" t="s">
        <v>5801</v>
      </c>
      <c r="D2879" t="s">
        <v>212</v>
      </c>
      <c r="F2879">
        <v>638691886</v>
      </c>
      <c r="G2879">
        <v>965684627</v>
      </c>
      <c r="H2879">
        <v>1765864199</v>
      </c>
      <c r="I2879">
        <v>-777977118</v>
      </c>
      <c r="J2879">
        <v>-869614683</v>
      </c>
      <c r="K2879">
        <v>88213632</v>
      </c>
      <c r="L2879">
        <v>347562202</v>
      </c>
      <c r="M2879">
        <v>35163430</v>
      </c>
      <c r="N2879">
        <v>30099807</v>
      </c>
      <c r="O2879">
        <v>25626203</v>
      </c>
      <c r="P2879">
        <v>558</v>
      </c>
      <c r="Q2879" t="s">
        <v>5802</v>
      </c>
    </row>
    <row r="2880" spans="1:17" x14ac:dyDescent="0.3">
      <c r="A2880" t="s">
        <v>4382</v>
      </c>
      <c r="B2880" t="str">
        <f>"002196"</f>
        <v>002196</v>
      </c>
      <c r="C2880" t="s">
        <v>5803</v>
      </c>
      <c r="D2880" t="s">
        <v>188</v>
      </c>
      <c r="F2880">
        <v>116526708</v>
      </c>
      <c r="G2880">
        <v>-39263878</v>
      </c>
      <c r="H2880">
        <v>-39069666</v>
      </c>
      <c r="I2880">
        <v>-164733693</v>
      </c>
      <c r="J2880">
        <v>-89795062</v>
      </c>
      <c r="K2880">
        <v>-120590950</v>
      </c>
      <c r="L2880">
        <v>-13503128</v>
      </c>
      <c r="M2880">
        <v>-6603770</v>
      </c>
      <c r="N2880">
        <v>6517447</v>
      </c>
      <c r="O2880">
        <v>-2157561</v>
      </c>
      <c r="P2880">
        <v>163</v>
      </c>
      <c r="Q2880" t="s">
        <v>5804</v>
      </c>
    </row>
    <row r="2881" spans="1:17" x14ac:dyDescent="0.3">
      <c r="A2881" t="s">
        <v>4382</v>
      </c>
      <c r="B2881" t="str">
        <f>"002197"</f>
        <v>002197</v>
      </c>
      <c r="C2881" t="s">
        <v>5805</v>
      </c>
      <c r="D2881" t="s">
        <v>212</v>
      </c>
      <c r="F2881">
        <v>-102375456</v>
      </c>
      <c r="G2881">
        <v>-258261207</v>
      </c>
      <c r="H2881">
        <v>-271837292</v>
      </c>
      <c r="I2881">
        <v>-388765409</v>
      </c>
      <c r="J2881">
        <v>-967865430</v>
      </c>
      <c r="K2881">
        <v>-681752677</v>
      </c>
      <c r="L2881">
        <v>-507394333</v>
      </c>
      <c r="M2881">
        <v>-95746556</v>
      </c>
      <c r="N2881">
        <v>-123913481</v>
      </c>
      <c r="O2881">
        <v>-79203561</v>
      </c>
      <c r="P2881">
        <v>230</v>
      </c>
      <c r="Q2881" t="s">
        <v>5806</v>
      </c>
    </row>
    <row r="2882" spans="1:17" x14ac:dyDescent="0.3">
      <c r="A2882" t="s">
        <v>4382</v>
      </c>
      <c r="B2882" t="str">
        <f>"002198"</f>
        <v>002198</v>
      </c>
      <c r="C2882" t="s">
        <v>5807</v>
      </c>
      <c r="D2882" t="s">
        <v>113</v>
      </c>
      <c r="F2882">
        <v>22385780</v>
      </c>
      <c r="G2882">
        <v>24891785</v>
      </c>
      <c r="H2882">
        <v>-94363530</v>
      </c>
      <c r="I2882">
        <v>11403655</v>
      </c>
      <c r="J2882">
        <v>-21338827</v>
      </c>
      <c r="K2882">
        <v>-3124831</v>
      </c>
      <c r="L2882">
        <v>-90140</v>
      </c>
      <c r="M2882">
        <v>10435820</v>
      </c>
      <c r="N2882">
        <v>-1657140</v>
      </c>
      <c r="O2882">
        <v>-8114854</v>
      </c>
      <c r="P2882">
        <v>120</v>
      </c>
      <c r="Q2882" t="s">
        <v>5808</v>
      </c>
    </row>
    <row r="2883" spans="1:17" x14ac:dyDescent="0.3">
      <c r="A2883" t="s">
        <v>4382</v>
      </c>
      <c r="B2883" t="str">
        <f>"002199"</f>
        <v>002199</v>
      </c>
      <c r="C2883" t="s">
        <v>5809</v>
      </c>
      <c r="D2883" t="s">
        <v>150</v>
      </c>
      <c r="F2883">
        <v>-9616991</v>
      </c>
      <c r="G2883">
        <v>-5685140</v>
      </c>
      <c r="H2883">
        <v>95732182</v>
      </c>
      <c r="I2883">
        <v>-532966</v>
      </c>
      <c r="J2883">
        <v>21669807</v>
      </c>
      <c r="K2883">
        <v>-54966132</v>
      </c>
      <c r="L2883">
        <v>-103506768</v>
      </c>
      <c r="M2883">
        <v>-236366025</v>
      </c>
      <c r="N2883">
        <v>-98179990</v>
      </c>
      <c r="O2883">
        <v>-163708729</v>
      </c>
      <c r="P2883">
        <v>111</v>
      </c>
      <c r="Q2883" t="s">
        <v>5810</v>
      </c>
    </row>
    <row r="2884" spans="1:17" x14ac:dyDescent="0.3">
      <c r="A2884" t="s">
        <v>4382</v>
      </c>
      <c r="B2884" t="str">
        <f>"002200"</f>
        <v>002200</v>
      </c>
      <c r="C2884" t="s">
        <v>5811</v>
      </c>
      <c r="D2884" t="s">
        <v>95</v>
      </c>
      <c r="F2884">
        <v>-124512000</v>
      </c>
      <c r="G2884">
        <v>49738158</v>
      </c>
      <c r="H2884">
        <v>75900710</v>
      </c>
      <c r="I2884">
        <v>-219017910</v>
      </c>
      <c r="J2884">
        <v>42121030</v>
      </c>
      <c r="K2884">
        <v>-357652113</v>
      </c>
      <c r="L2884">
        <v>-204190958</v>
      </c>
      <c r="M2884">
        <v>-197631263</v>
      </c>
      <c r="N2884">
        <v>-207530609</v>
      </c>
      <c r="O2884">
        <v>-37568747</v>
      </c>
      <c r="P2884">
        <v>53</v>
      </c>
      <c r="Q2884" t="s">
        <v>5812</v>
      </c>
    </row>
    <row r="2885" spans="1:17" x14ac:dyDescent="0.3">
      <c r="A2885" t="s">
        <v>4382</v>
      </c>
      <c r="B2885" t="str">
        <f>"002201"</f>
        <v>002201</v>
      </c>
      <c r="C2885" t="s">
        <v>5813</v>
      </c>
      <c r="D2885" t="s">
        <v>350</v>
      </c>
      <c r="F2885">
        <v>115185186</v>
      </c>
      <c r="G2885">
        <v>182882648</v>
      </c>
      <c r="H2885">
        <v>93296001</v>
      </c>
      <c r="I2885">
        <v>202033363</v>
      </c>
      <c r="J2885">
        <v>86483380</v>
      </c>
      <c r="K2885">
        <v>90272793</v>
      </c>
      <c r="L2885">
        <v>-237170913</v>
      </c>
      <c r="M2885">
        <v>-157907190</v>
      </c>
      <c r="N2885">
        <v>-55636670</v>
      </c>
      <c r="O2885">
        <v>23244402</v>
      </c>
      <c r="P2885">
        <v>132</v>
      </c>
      <c r="Q2885" t="s">
        <v>5814</v>
      </c>
    </row>
    <row r="2886" spans="1:17" x14ac:dyDescent="0.3">
      <c r="A2886" t="s">
        <v>4382</v>
      </c>
      <c r="B2886" t="str">
        <f>"002202"</f>
        <v>002202</v>
      </c>
      <c r="C2886" t="s">
        <v>5815</v>
      </c>
      <c r="D2886" t="s">
        <v>188</v>
      </c>
      <c r="F2886">
        <v>-7608336934</v>
      </c>
      <c r="G2886">
        <v>-1621359733</v>
      </c>
      <c r="H2886">
        <v>-7421774632</v>
      </c>
      <c r="I2886">
        <v>-5290650402</v>
      </c>
      <c r="J2886">
        <v>-4839670894</v>
      </c>
      <c r="K2886">
        <v>-4917999610</v>
      </c>
      <c r="L2886">
        <v>-2831610396</v>
      </c>
      <c r="M2886">
        <v>-1021773301</v>
      </c>
      <c r="N2886">
        <v>-2798583011</v>
      </c>
      <c r="O2886">
        <v>-511625351</v>
      </c>
      <c r="P2886">
        <v>1283</v>
      </c>
      <c r="Q2886" t="s">
        <v>5816</v>
      </c>
    </row>
    <row r="2887" spans="1:17" x14ac:dyDescent="0.3">
      <c r="A2887" t="s">
        <v>4382</v>
      </c>
      <c r="B2887" t="str">
        <f>"002203"</f>
        <v>002203</v>
      </c>
      <c r="C2887" t="s">
        <v>5817</v>
      </c>
      <c r="D2887" t="s">
        <v>234</v>
      </c>
      <c r="F2887">
        <v>-2679187344</v>
      </c>
      <c r="G2887">
        <v>304134728</v>
      </c>
      <c r="H2887">
        <v>1259222863</v>
      </c>
      <c r="I2887">
        <v>1761294191</v>
      </c>
      <c r="J2887">
        <v>-2484284526</v>
      </c>
      <c r="K2887">
        <v>686690281</v>
      </c>
      <c r="L2887">
        <v>278373183</v>
      </c>
      <c r="M2887">
        <v>743780927</v>
      </c>
      <c r="N2887">
        <v>392049430</v>
      </c>
      <c r="O2887">
        <v>424242926</v>
      </c>
      <c r="P2887">
        <v>239</v>
      </c>
      <c r="Q2887" t="s">
        <v>5818</v>
      </c>
    </row>
    <row r="2888" spans="1:17" x14ac:dyDescent="0.3">
      <c r="A2888" t="s">
        <v>4382</v>
      </c>
      <c r="B2888" t="str">
        <f>"002204"</f>
        <v>002204</v>
      </c>
      <c r="C2888" t="s">
        <v>5819</v>
      </c>
      <c r="D2888" t="s">
        <v>78</v>
      </c>
      <c r="F2888">
        <v>1074422268</v>
      </c>
      <c r="G2888">
        <v>345788744</v>
      </c>
      <c r="H2888">
        <v>415487361</v>
      </c>
      <c r="I2888">
        <v>-499922035</v>
      </c>
      <c r="J2888">
        <v>58363656</v>
      </c>
      <c r="K2888">
        <v>-147670289</v>
      </c>
      <c r="L2888">
        <v>-90083800</v>
      </c>
      <c r="M2888">
        <v>-400419759</v>
      </c>
      <c r="N2888">
        <v>796873614</v>
      </c>
      <c r="O2888">
        <v>603127826</v>
      </c>
      <c r="P2888">
        <v>137</v>
      </c>
      <c r="Q2888" t="s">
        <v>5820</v>
      </c>
    </row>
    <row r="2889" spans="1:17" x14ac:dyDescent="0.3">
      <c r="A2889" t="s">
        <v>4382</v>
      </c>
      <c r="B2889" t="str">
        <f>"002205"</f>
        <v>002205</v>
      </c>
      <c r="C2889" t="s">
        <v>5821</v>
      </c>
      <c r="D2889" t="s">
        <v>33</v>
      </c>
      <c r="F2889">
        <v>-121649865</v>
      </c>
      <c r="G2889">
        <v>-90960564</v>
      </c>
      <c r="H2889">
        <v>70492818</v>
      </c>
      <c r="I2889">
        <v>-146942125</v>
      </c>
      <c r="J2889">
        <v>-99872544</v>
      </c>
      <c r="K2889">
        <v>185605457</v>
      </c>
      <c r="L2889">
        <v>-63388996</v>
      </c>
      <c r="M2889">
        <v>-130620990</v>
      </c>
      <c r="N2889">
        <v>-1256849</v>
      </c>
      <c r="O2889">
        <v>-26895495</v>
      </c>
      <c r="P2889">
        <v>86</v>
      </c>
      <c r="Q2889" t="s">
        <v>5822</v>
      </c>
    </row>
    <row r="2890" spans="1:17" x14ac:dyDescent="0.3">
      <c r="A2890" t="s">
        <v>4382</v>
      </c>
      <c r="B2890" t="str">
        <f>"002206"</f>
        <v>002206</v>
      </c>
      <c r="C2890" t="s">
        <v>5823</v>
      </c>
      <c r="D2890" t="s">
        <v>133</v>
      </c>
      <c r="F2890">
        <v>-469266360</v>
      </c>
      <c r="G2890">
        <v>-216920251</v>
      </c>
      <c r="H2890">
        <v>111856503</v>
      </c>
      <c r="I2890">
        <v>-9255692</v>
      </c>
      <c r="J2890">
        <v>96828937</v>
      </c>
      <c r="K2890">
        <v>83553701</v>
      </c>
      <c r="L2890">
        <v>-118691127</v>
      </c>
      <c r="M2890">
        <v>19271803</v>
      </c>
      <c r="N2890">
        <v>-20543365</v>
      </c>
      <c r="O2890">
        <v>-19113245</v>
      </c>
      <c r="P2890">
        <v>369</v>
      </c>
      <c r="Q2890" t="s">
        <v>5824</v>
      </c>
    </row>
    <row r="2891" spans="1:17" x14ac:dyDescent="0.3">
      <c r="A2891" t="s">
        <v>4382</v>
      </c>
      <c r="B2891" t="str">
        <f>"002207"</f>
        <v>002207</v>
      </c>
      <c r="C2891" t="s">
        <v>5825</v>
      </c>
      <c r="D2891" t="s">
        <v>70</v>
      </c>
      <c r="F2891">
        <v>26517508</v>
      </c>
      <c r="G2891">
        <v>-30780111</v>
      </c>
      <c r="H2891">
        <v>3019612</v>
      </c>
      <c r="I2891">
        <v>-71235452</v>
      </c>
      <c r="J2891">
        <v>-82335880</v>
      </c>
      <c r="K2891">
        <v>-42104070</v>
      </c>
      <c r="L2891">
        <v>-32924860</v>
      </c>
      <c r="M2891">
        <v>-155176952</v>
      </c>
      <c r="N2891">
        <v>-70389734</v>
      </c>
      <c r="O2891">
        <v>-97987248</v>
      </c>
      <c r="P2891">
        <v>73</v>
      </c>
      <c r="Q2891" t="s">
        <v>5826</v>
      </c>
    </row>
    <row r="2892" spans="1:17" x14ac:dyDescent="0.3">
      <c r="A2892" t="s">
        <v>4382</v>
      </c>
      <c r="B2892" t="str">
        <f>"002208"</f>
        <v>002208</v>
      </c>
      <c r="C2892" t="s">
        <v>5827</v>
      </c>
      <c r="D2892" t="s">
        <v>30</v>
      </c>
      <c r="F2892">
        <v>-38658593</v>
      </c>
      <c r="G2892">
        <v>-829352286</v>
      </c>
      <c r="H2892">
        <v>222101343</v>
      </c>
      <c r="I2892">
        <v>664969049</v>
      </c>
      <c r="J2892">
        <v>-456026132</v>
      </c>
      <c r="K2892">
        <v>-472757652</v>
      </c>
      <c r="L2892">
        <v>-97045456</v>
      </c>
      <c r="M2892">
        <v>-39363349</v>
      </c>
      <c r="N2892">
        <v>504602531</v>
      </c>
      <c r="O2892">
        <v>-145969424</v>
      </c>
      <c r="P2892">
        <v>198</v>
      </c>
      <c r="Q2892" t="s">
        <v>5828</v>
      </c>
    </row>
    <row r="2893" spans="1:17" x14ac:dyDescent="0.3">
      <c r="A2893" t="s">
        <v>4382</v>
      </c>
      <c r="B2893" t="str">
        <f>"002209"</f>
        <v>002209</v>
      </c>
      <c r="C2893" t="s">
        <v>5829</v>
      </c>
      <c r="D2893" t="s">
        <v>78</v>
      </c>
      <c r="F2893">
        <v>28211951</v>
      </c>
      <c r="G2893">
        <v>-20998938</v>
      </c>
      <c r="H2893">
        <v>-77690142</v>
      </c>
      <c r="I2893">
        <v>-68084083</v>
      </c>
      <c r="J2893">
        <v>27471665</v>
      </c>
      <c r="K2893">
        <v>-84714652</v>
      </c>
      <c r="L2893">
        <v>88178773</v>
      </c>
      <c r="M2893">
        <v>-48712376</v>
      </c>
      <c r="N2893">
        <v>20698322</v>
      </c>
      <c r="O2893">
        <v>-8838459</v>
      </c>
      <c r="P2893">
        <v>75</v>
      </c>
      <c r="Q2893" t="s">
        <v>5830</v>
      </c>
    </row>
    <row r="2894" spans="1:17" x14ac:dyDescent="0.3">
      <c r="A2894" t="s">
        <v>4382</v>
      </c>
      <c r="B2894" t="str">
        <f>"002210"</f>
        <v>002210</v>
      </c>
      <c r="C2894" t="s">
        <v>5831</v>
      </c>
      <c r="D2894" t="s">
        <v>22</v>
      </c>
      <c r="F2894">
        <v>-87630063</v>
      </c>
      <c r="G2894">
        <v>31388624</v>
      </c>
      <c r="H2894">
        <v>27930257</v>
      </c>
      <c r="I2894">
        <v>-2241109837</v>
      </c>
      <c r="J2894">
        <v>99212542</v>
      </c>
      <c r="K2894">
        <v>188196395</v>
      </c>
      <c r="L2894">
        <v>3628513819</v>
      </c>
      <c r="M2894">
        <v>2041532027</v>
      </c>
      <c r="N2894">
        <v>1309079230</v>
      </c>
      <c r="O2894">
        <v>210864879</v>
      </c>
      <c r="P2894">
        <v>83</v>
      </c>
      <c r="Q2894" t="s">
        <v>5832</v>
      </c>
    </row>
    <row r="2895" spans="1:17" x14ac:dyDescent="0.3">
      <c r="A2895" t="s">
        <v>4382</v>
      </c>
      <c r="B2895" t="str">
        <f>"002211"</f>
        <v>002211</v>
      </c>
      <c r="C2895" t="s">
        <v>5833</v>
      </c>
      <c r="D2895" t="s">
        <v>133</v>
      </c>
      <c r="F2895">
        <v>-34985677</v>
      </c>
      <c r="G2895">
        <v>-340513327</v>
      </c>
      <c r="H2895">
        <v>-271370694</v>
      </c>
      <c r="I2895">
        <v>118787569</v>
      </c>
      <c r="J2895">
        <v>62135509</v>
      </c>
      <c r="K2895">
        <v>188505826</v>
      </c>
      <c r="L2895">
        <v>93736379</v>
      </c>
      <c r="M2895">
        <v>541712013</v>
      </c>
      <c r="N2895">
        <v>37437199</v>
      </c>
      <c r="O2895">
        <v>-31785116</v>
      </c>
      <c r="P2895">
        <v>85</v>
      </c>
      <c r="Q2895" t="s">
        <v>5834</v>
      </c>
    </row>
    <row r="2896" spans="1:17" x14ac:dyDescent="0.3">
      <c r="A2896" t="s">
        <v>4382</v>
      </c>
      <c r="B2896" t="str">
        <f>"002212"</f>
        <v>002212</v>
      </c>
      <c r="C2896" t="s">
        <v>5835</v>
      </c>
      <c r="D2896" t="s">
        <v>212</v>
      </c>
      <c r="F2896">
        <v>-787093445</v>
      </c>
      <c r="G2896">
        <v>-419261042</v>
      </c>
      <c r="H2896">
        <v>-201604020</v>
      </c>
      <c r="I2896">
        <v>-221013794</v>
      </c>
      <c r="J2896">
        <v>-455987764</v>
      </c>
      <c r="K2896">
        <v>-194148947</v>
      </c>
      <c r="L2896">
        <v>33014058</v>
      </c>
      <c r="M2896">
        <v>-290406800</v>
      </c>
      <c r="N2896">
        <v>53662745</v>
      </c>
      <c r="O2896">
        <v>-262673926</v>
      </c>
      <c r="P2896">
        <v>249</v>
      </c>
      <c r="Q2896" t="s">
        <v>5836</v>
      </c>
    </row>
    <row r="2897" spans="1:17" x14ac:dyDescent="0.3">
      <c r="A2897" t="s">
        <v>4382</v>
      </c>
      <c r="B2897" t="str">
        <f>"002213"</f>
        <v>002213</v>
      </c>
      <c r="C2897" t="s">
        <v>5837</v>
      </c>
      <c r="D2897" t="s">
        <v>27</v>
      </c>
      <c r="F2897">
        <v>-86279294</v>
      </c>
      <c r="G2897">
        <v>-53240892</v>
      </c>
      <c r="H2897">
        <v>-9331202</v>
      </c>
      <c r="I2897">
        <v>-106445506</v>
      </c>
      <c r="J2897">
        <v>37112994</v>
      </c>
      <c r="K2897">
        <v>24777731</v>
      </c>
      <c r="L2897">
        <v>22168160</v>
      </c>
      <c r="M2897">
        <v>-23064420</v>
      </c>
      <c r="N2897">
        <v>-6536745</v>
      </c>
      <c r="O2897">
        <v>-23004286</v>
      </c>
      <c r="P2897">
        <v>90</v>
      </c>
      <c r="Q2897" t="s">
        <v>5838</v>
      </c>
    </row>
    <row r="2898" spans="1:17" x14ac:dyDescent="0.3">
      <c r="A2898" t="s">
        <v>4382</v>
      </c>
      <c r="B2898" t="str">
        <f>"002214"</f>
        <v>002214</v>
      </c>
      <c r="C2898" t="s">
        <v>5839</v>
      </c>
      <c r="D2898" t="s">
        <v>92</v>
      </c>
      <c r="F2898">
        <v>-161151050</v>
      </c>
      <c r="G2898">
        <v>219600999</v>
      </c>
      <c r="H2898">
        <v>-51601672</v>
      </c>
      <c r="I2898">
        <v>-12135608</v>
      </c>
      <c r="J2898">
        <v>-54235477</v>
      </c>
      <c r="K2898">
        <v>-27667076</v>
      </c>
      <c r="L2898">
        <v>-106214534</v>
      </c>
      <c r="M2898">
        <v>-82894685</v>
      </c>
      <c r="N2898">
        <v>-43282494</v>
      </c>
      <c r="O2898">
        <v>9130514</v>
      </c>
      <c r="P2898">
        <v>511</v>
      </c>
      <c r="Q2898" t="s">
        <v>5840</v>
      </c>
    </row>
    <row r="2899" spans="1:17" x14ac:dyDescent="0.3">
      <c r="A2899" t="s">
        <v>4382</v>
      </c>
      <c r="B2899" t="str">
        <f>"002215"</f>
        <v>002215</v>
      </c>
      <c r="C2899" t="s">
        <v>5841</v>
      </c>
      <c r="D2899" t="s">
        <v>133</v>
      </c>
      <c r="F2899">
        <v>-949320646</v>
      </c>
      <c r="G2899">
        <v>-464244446</v>
      </c>
      <c r="H2899">
        <v>-455490884</v>
      </c>
      <c r="I2899">
        <v>-821760836</v>
      </c>
      <c r="J2899">
        <v>-974439049</v>
      </c>
      <c r="K2899">
        <v>-500168352</v>
      </c>
      <c r="L2899">
        <v>132332142</v>
      </c>
      <c r="M2899">
        <v>-89477501</v>
      </c>
      <c r="N2899">
        <v>-118664750</v>
      </c>
      <c r="O2899">
        <v>114156829</v>
      </c>
      <c r="P2899">
        <v>175</v>
      </c>
      <c r="Q2899" t="s">
        <v>5842</v>
      </c>
    </row>
    <row r="2900" spans="1:17" x14ac:dyDescent="0.3">
      <c r="A2900" t="s">
        <v>4382</v>
      </c>
      <c r="B2900" t="str">
        <f>"002216"</f>
        <v>002216</v>
      </c>
      <c r="C2900" t="s">
        <v>5843</v>
      </c>
      <c r="D2900" t="s">
        <v>123</v>
      </c>
      <c r="F2900">
        <v>210722549</v>
      </c>
      <c r="G2900">
        <v>801768732</v>
      </c>
      <c r="H2900">
        <v>-330064909</v>
      </c>
      <c r="I2900">
        <v>-165531985</v>
      </c>
      <c r="J2900">
        <v>41485698</v>
      </c>
      <c r="K2900">
        <v>113426544</v>
      </c>
      <c r="L2900">
        <v>-359143608</v>
      </c>
      <c r="M2900">
        <v>-133187740</v>
      </c>
      <c r="N2900">
        <v>-53282946</v>
      </c>
      <c r="O2900">
        <v>51166162</v>
      </c>
      <c r="P2900">
        <v>1276</v>
      </c>
      <c r="Q2900" t="s">
        <v>5844</v>
      </c>
    </row>
    <row r="2901" spans="1:17" x14ac:dyDescent="0.3">
      <c r="A2901" t="s">
        <v>4382</v>
      </c>
      <c r="B2901" t="str">
        <f>"002217"</f>
        <v>002217</v>
      </c>
      <c r="C2901" t="s">
        <v>5845</v>
      </c>
      <c r="D2901" t="s">
        <v>150</v>
      </c>
      <c r="F2901">
        <v>-22546519</v>
      </c>
      <c r="G2901">
        <v>-777757973</v>
      </c>
      <c r="H2901">
        <v>-556672466</v>
      </c>
      <c r="I2901">
        <v>-3036662281</v>
      </c>
      <c r="J2901">
        <v>-1852035549</v>
      </c>
      <c r="K2901">
        <v>-840403562</v>
      </c>
      <c r="L2901">
        <v>90735497</v>
      </c>
      <c r="M2901">
        <v>-344562674</v>
      </c>
      <c r="N2901">
        <v>-2661952</v>
      </c>
      <c r="O2901">
        <v>-58107734</v>
      </c>
      <c r="P2901">
        <v>490</v>
      </c>
      <c r="Q2901" t="s">
        <v>5846</v>
      </c>
    </row>
    <row r="2902" spans="1:17" x14ac:dyDescent="0.3">
      <c r="A2902" t="s">
        <v>4382</v>
      </c>
      <c r="B2902" t="str">
        <f>"002218"</f>
        <v>002218</v>
      </c>
      <c r="C2902" t="s">
        <v>5847</v>
      </c>
      <c r="D2902" t="s">
        <v>188</v>
      </c>
      <c r="F2902">
        <v>-117995407</v>
      </c>
      <c r="G2902">
        <v>-1795203</v>
      </c>
      <c r="H2902">
        <v>398643683</v>
      </c>
      <c r="I2902">
        <v>-411541970</v>
      </c>
      <c r="J2902">
        <v>-161492894</v>
      </c>
      <c r="K2902">
        <v>-104606505</v>
      </c>
      <c r="L2902">
        <v>-651384390</v>
      </c>
      <c r="M2902">
        <v>-86952654</v>
      </c>
      <c r="N2902">
        <v>-28146669</v>
      </c>
      <c r="O2902">
        <v>-106467672</v>
      </c>
      <c r="P2902">
        <v>218</v>
      </c>
      <c r="Q2902" t="s">
        <v>5848</v>
      </c>
    </row>
    <row r="2903" spans="1:17" x14ac:dyDescent="0.3">
      <c r="A2903" t="s">
        <v>4382</v>
      </c>
      <c r="B2903" t="str">
        <f>"002219"</f>
        <v>002219</v>
      </c>
      <c r="C2903" t="s">
        <v>5849</v>
      </c>
      <c r="D2903" t="s">
        <v>113</v>
      </c>
      <c r="F2903">
        <v>72752685</v>
      </c>
      <c r="G2903">
        <v>39244371</v>
      </c>
      <c r="H2903">
        <v>260942313</v>
      </c>
      <c r="I2903">
        <v>123358729</v>
      </c>
      <c r="J2903">
        <v>-350098803</v>
      </c>
      <c r="K2903">
        <v>-513396518</v>
      </c>
      <c r="L2903">
        <v>-39705961</v>
      </c>
      <c r="M2903">
        <v>110650137</v>
      </c>
      <c r="N2903">
        <v>-42381726</v>
      </c>
      <c r="O2903">
        <v>36053086</v>
      </c>
      <c r="P2903">
        <v>94</v>
      </c>
      <c r="Q2903" t="s">
        <v>5850</v>
      </c>
    </row>
    <row r="2904" spans="1:17" x14ac:dyDescent="0.3">
      <c r="A2904" t="s">
        <v>4382</v>
      </c>
      <c r="B2904" t="str">
        <f>"002220"</f>
        <v>002220</v>
      </c>
      <c r="C2904" t="s">
        <v>5851</v>
      </c>
      <c r="H2904">
        <v>14204980</v>
      </c>
      <c r="I2904">
        <v>90025254</v>
      </c>
      <c r="J2904">
        <v>111187924</v>
      </c>
      <c r="K2904">
        <v>149044434</v>
      </c>
      <c r="L2904">
        <v>164990104</v>
      </c>
      <c r="M2904">
        <v>-194336882</v>
      </c>
      <c r="N2904">
        <v>-379625503</v>
      </c>
      <c r="O2904">
        <v>-81282827</v>
      </c>
      <c r="P2904">
        <v>51</v>
      </c>
      <c r="Q2904" t="s">
        <v>5852</v>
      </c>
    </row>
    <row r="2905" spans="1:17" x14ac:dyDescent="0.3">
      <c r="A2905" t="s">
        <v>4382</v>
      </c>
      <c r="B2905" t="str">
        <f>"002221"</f>
        <v>002221</v>
      </c>
      <c r="C2905" t="s">
        <v>5853</v>
      </c>
      <c r="D2905" t="s">
        <v>70</v>
      </c>
      <c r="F2905">
        <v>-1779496463</v>
      </c>
      <c r="G2905">
        <v>-1837454440</v>
      </c>
      <c r="H2905">
        <v>324094559</v>
      </c>
      <c r="I2905">
        <v>1812194954</v>
      </c>
      <c r="J2905">
        <v>197853036</v>
      </c>
      <c r="K2905">
        <v>-1743392663</v>
      </c>
      <c r="L2905">
        <v>-2098464811</v>
      </c>
      <c r="M2905">
        <v>-2400578739</v>
      </c>
      <c r="N2905">
        <v>-696230908</v>
      </c>
      <c r="O2905">
        <v>994221758</v>
      </c>
      <c r="P2905">
        <v>391</v>
      </c>
      <c r="Q2905" t="s">
        <v>5854</v>
      </c>
    </row>
    <row r="2906" spans="1:17" x14ac:dyDescent="0.3">
      <c r="A2906" t="s">
        <v>4382</v>
      </c>
      <c r="B2906" t="str">
        <f>"002222"</f>
        <v>002222</v>
      </c>
      <c r="C2906" t="s">
        <v>5855</v>
      </c>
      <c r="D2906" t="s">
        <v>150</v>
      </c>
      <c r="F2906">
        <v>55227431</v>
      </c>
      <c r="G2906">
        <v>75651960</v>
      </c>
      <c r="H2906">
        <v>61594747</v>
      </c>
      <c r="I2906">
        <v>24728895</v>
      </c>
      <c r="J2906">
        <v>18770594</v>
      </c>
      <c r="K2906">
        <v>48521099</v>
      </c>
      <c r="L2906">
        <v>27416672</v>
      </c>
      <c r="M2906">
        <v>25869950</v>
      </c>
      <c r="N2906">
        <v>19170029</v>
      </c>
      <c r="O2906">
        <v>4346031</v>
      </c>
      <c r="P2906">
        <v>517</v>
      </c>
      <c r="Q2906" t="s">
        <v>5856</v>
      </c>
    </row>
    <row r="2907" spans="1:17" x14ac:dyDescent="0.3">
      <c r="A2907" t="s">
        <v>4382</v>
      </c>
      <c r="B2907" t="str">
        <f>"002223"</f>
        <v>002223</v>
      </c>
      <c r="C2907" t="s">
        <v>5857</v>
      </c>
      <c r="D2907" t="s">
        <v>113</v>
      </c>
      <c r="F2907">
        <v>768154424</v>
      </c>
      <c r="G2907">
        <v>2341607715</v>
      </c>
      <c r="H2907">
        <v>-255426756</v>
      </c>
      <c r="I2907">
        <v>28590787</v>
      </c>
      <c r="J2907">
        <v>-291775976</v>
      </c>
      <c r="K2907">
        <v>281198213</v>
      </c>
      <c r="L2907">
        <v>138141466</v>
      </c>
      <c r="M2907">
        <v>-15015579</v>
      </c>
      <c r="N2907">
        <v>-9243956</v>
      </c>
      <c r="O2907">
        <v>-16653722</v>
      </c>
      <c r="P2907">
        <v>17494</v>
      </c>
      <c r="Q2907" t="s">
        <v>5858</v>
      </c>
    </row>
    <row r="2908" spans="1:17" x14ac:dyDescent="0.3">
      <c r="A2908" t="s">
        <v>4382</v>
      </c>
      <c r="B2908" t="str">
        <f>"002224"</f>
        <v>002224</v>
      </c>
      <c r="C2908" t="s">
        <v>5859</v>
      </c>
      <c r="D2908" t="s">
        <v>133</v>
      </c>
      <c r="F2908">
        <v>11837769</v>
      </c>
      <c r="G2908">
        <v>-73085244</v>
      </c>
      <c r="H2908">
        <v>-38141063</v>
      </c>
      <c r="I2908">
        <v>-80132934</v>
      </c>
      <c r="J2908">
        <v>-16748585</v>
      </c>
      <c r="K2908">
        <v>-21795400</v>
      </c>
      <c r="L2908">
        <v>186516070</v>
      </c>
      <c r="M2908">
        <v>91055529</v>
      </c>
      <c r="N2908">
        <v>-81455731</v>
      </c>
      <c r="O2908">
        <v>1575806</v>
      </c>
      <c r="P2908">
        <v>186</v>
      </c>
      <c r="Q2908" t="s">
        <v>5860</v>
      </c>
    </row>
    <row r="2909" spans="1:17" x14ac:dyDescent="0.3">
      <c r="A2909" t="s">
        <v>4382</v>
      </c>
      <c r="B2909" t="str">
        <f>"002225"</f>
        <v>002225</v>
      </c>
      <c r="C2909" t="s">
        <v>5861</v>
      </c>
      <c r="D2909" t="s">
        <v>350</v>
      </c>
      <c r="F2909">
        <v>-478951541</v>
      </c>
      <c r="G2909">
        <v>254972546</v>
      </c>
      <c r="H2909">
        <v>95382980</v>
      </c>
      <c r="I2909">
        <v>444565995</v>
      </c>
      <c r="J2909">
        <v>10506740</v>
      </c>
      <c r="K2909">
        <v>123452738</v>
      </c>
      <c r="L2909">
        <v>11385197</v>
      </c>
      <c r="M2909">
        <v>136298883</v>
      </c>
      <c r="N2909">
        <v>59764244</v>
      </c>
      <c r="O2909">
        <v>19149407</v>
      </c>
      <c r="P2909">
        <v>142</v>
      </c>
      <c r="Q2909" t="s">
        <v>5862</v>
      </c>
    </row>
    <row r="2910" spans="1:17" x14ac:dyDescent="0.3">
      <c r="A2910" t="s">
        <v>4382</v>
      </c>
      <c r="B2910" t="str">
        <f>"002226"</f>
        <v>002226</v>
      </c>
      <c r="C2910" t="s">
        <v>5863</v>
      </c>
      <c r="D2910" t="s">
        <v>133</v>
      </c>
      <c r="F2910">
        <v>177030307</v>
      </c>
      <c r="G2910">
        <v>398224923</v>
      </c>
      <c r="H2910">
        <v>232830543</v>
      </c>
      <c r="I2910">
        <v>-101759189</v>
      </c>
      <c r="J2910">
        <v>78263123</v>
      </c>
      <c r="K2910">
        <v>27025583</v>
      </c>
      <c r="L2910">
        <v>125586797</v>
      </c>
      <c r="M2910">
        <v>115382199</v>
      </c>
      <c r="N2910">
        <v>-97809737</v>
      </c>
      <c r="O2910">
        <v>80308799</v>
      </c>
      <c r="P2910">
        <v>172</v>
      </c>
      <c r="Q2910" t="s">
        <v>5864</v>
      </c>
    </row>
    <row r="2911" spans="1:17" x14ac:dyDescent="0.3">
      <c r="A2911" t="s">
        <v>4382</v>
      </c>
      <c r="B2911" t="str">
        <f>"002227"</f>
        <v>002227</v>
      </c>
      <c r="C2911" t="s">
        <v>5865</v>
      </c>
      <c r="D2911" t="s">
        <v>188</v>
      </c>
      <c r="F2911">
        <v>-36546692</v>
      </c>
      <c r="G2911">
        <v>-53614605</v>
      </c>
      <c r="H2911">
        <v>-138129786</v>
      </c>
      <c r="I2911">
        <v>-128120680</v>
      </c>
      <c r="J2911">
        <v>-103241199</v>
      </c>
      <c r="K2911">
        <v>-136343338</v>
      </c>
      <c r="L2911">
        <v>-41347108</v>
      </c>
      <c r="M2911">
        <v>-92126626</v>
      </c>
      <c r="N2911">
        <v>-15434547</v>
      </c>
      <c r="O2911">
        <v>-51601719</v>
      </c>
      <c r="P2911">
        <v>162</v>
      </c>
      <c r="Q2911" t="s">
        <v>5866</v>
      </c>
    </row>
    <row r="2912" spans="1:17" x14ac:dyDescent="0.3">
      <c r="A2912" t="s">
        <v>4382</v>
      </c>
      <c r="B2912" t="str">
        <f>"002228"</f>
        <v>002228</v>
      </c>
      <c r="C2912" t="s">
        <v>5867</v>
      </c>
      <c r="D2912" t="s">
        <v>161</v>
      </c>
      <c r="F2912">
        <v>-223341095</v>
      </c>
      <c r="G2912">
        <v>-244772667</v>
      </c>
      <c r="H2912">
        <v>251072561</v>
      </c>
      <c r="I2912">
        <v>-86056781</v>
      </c>
      <c r="J2912">
        <v>-548495773</v>
      </c>
      <c r="K2912">
        <v>192169520</v>
      </c>
      <c r="L2912">
        <v>-90364863</v>
      </c>
      <c r="M2912">
        <v>32558669</v>
      </c>
      <c r="N2912">
        <v>20645216</v>
      </c>
      <c r="O2912">
        <v>-76238335</v>
      </c>
      <c r="P2912">
        <v>291</v>
      </c>
      <c r="Q2912" t="s">
        <v>5868</v>
      </c>
    </row>
    <row r="2913" spans="1:17" x14ac:dyDescent="0.3">
      <c r="A2913" t="s">
        <v>4382</v>
      </c>
      <c r="B2913" t="str">
        <f>"002229"</f>
        <v>002229</v>
      </c>
      <c r="C2913" t="s">
        <v>5869</v>
      </c>
      <c r="D2913" t="s">
        <v>161</v>
      </c>
      <c r="F2913">
        <v>-33259134</v>
      </c>
      <c r="G2913">
        <v>28049799</v>
      </c>
      <c r="H2913">
        <v>-92760111</v>
      </c>
      <c r="I2913">
        <v>-28140352</v>
      </c>
      <c r="J2913">
        <v>-71316174</v>
      </c>
      <c r="K2913">
        <v>15498442</v>
      </c>
      <c r="L2913">
        <v>-69289069</v>
      </c>
      <c r="M2913">
        <v>-119768256</v>
      </c>
      <c r="N2913">
        <v>-63462575</v>
      </c>
      <c r="O2913">
        <v>-267712189</v>
      </c>
      <c r="P2913">
        <v>118</v>
      </c>
      <c r="Q2913" t="s">
        <v>5870</v>
      </c>
    </row>
    <row r="2914" spans="1:17" x14ac:dyDescent="0.3">
      <c r="A2914" t="s">
        <v>4382</v>
      </c>
      <c r="B2914" t="str">
        <f>"002230"</f>
        <v>002230</v>
      </c>
      <c r="C2914" t="s">
        <v>5871</v>
      </c>
      <c r="D2914" t="s">
        <v>212</v>
      </c>
      <c r="F2914">
        <v>-3130790034</v>
      </c>
      <c r="G2914">
        <v>-1008072470</v>
      </c>
      <c r="H2914">
        <v>-1552734086</v>
      </c>
      <c r="I2914">
        <v>-1865716482</v>
      </c>
      <c r="J2914">
        <v>-1377607597</v>
      </c>
      <c r="K2914">
        <v>-984603746</v>
      </c>
      <c r="L2914">
        <v>-538068164</v>
      </c>
      <c r="M2914">
        <v>-298511581</v>
      </c>
      <c r="N2914">
        <v>-129171300</v>
      </c>
      <c r="O2914">
        <v>-116822496</v>
      </c>
      <c r="P2914">
        <v>3021</v>
      </c>
      <c r="Q2914" t="s">
        <v>5872</v>
      </c>
    </row>
    <row r="2915" spans="1:17" x14ac:dyDescent="0.3">
      <c r="A2915" t="s">
        <v>4382</v>
      </c>
      <c r="B2915" t="str">
        <f>"002231"</f>
        <v>002231</v>
      </c>
      <c r="C2915" t="s">
        <v>5873</v>
      </c>
      <c r="D2915" t="s">
        <v>92</v>
      </c>
      <c r="F2915">
        <v>7847977</v>
      </c>
      <c r="G2915">
        <v>-158251527</v>
      </c>
      <c r="H2915">
        <v>-61095275</v>
      </c>
      <c r="I2915">
        <v>5855134</v>
      </c>
      <c r="J2915">
        <v>-93169487</v>
      </c>
      <c r="K2915">
        <v>-57486692</v>
      </c>
      <c r="L2915">
        <v>-11070238</v>
      </c>
      <c r="M2915">
        <v>-58521296</v>
      </c>
      <c r="N2915">
        <v>-151517542</v>
      </c>
      <c r="O2915">
        <v>-151794500</v>
      </c>
      <c r="P2915">
        <v>155</v>
      </c>
      <c r="Q2915" t="s">
        <v>5874</v>
      </c>
    </row>
    <row r="2916" spans="1:17" x14ac:dyDescent="0.3">
      <c r="A2916" t="s">
        <v>4382</v>
      </c>
      <c r="B2916" t="str">
        <f>"002232"</f>
        <v>002232</v>
      </c>
      <c r="C2916" t="s">
        <v>5875</v>
      </c>
      <c r="D2916" t="s">
        <v>212</v>
      </c>
      <c r="F2916">
        <v>-247345147</v>
      </c>
      <c r="G2916">
        <v>-160244546</v>
      </c>
      <c r="H2916">
        <v>-146040694</v>
      </c>
      <c r="I2916">
        <v>-187356839</v>
      </c>
      <c r="J2916">
        <v>-167542202</v>
      </c>
      <c r="K2916">
        <v>-135602117</v>
      </c>
      <c r="L2916">
        <v>-28391838</v>
      </c>
      <c r="M2916">
        <v>-76554358</v>
      </c>
      <c r="N2916">
        <v>-107361782</v>
      </c>
      <c r="O2916">
        <v>-131092172</v>
      </c>
      <c r="P2916">
        <v>247</v>
      </c>
      <c r="Q2916" t="s">
        <v>5876</v>
      </c>
    </row>
    <row r="2917" spans="1:17" x14ac:dyDescent="0.3">
      <c r="A2917" t="s">
        <v>4382</v>
      </c>
      <c r="B2917" t="str">
        <f>"002233"</f>
        <v>002233</v>
      </c>
      <c r="C2917" t="s">
        <v>5877</v>
      </c>
      <c r="D2917" t="s">
        <v>350</v>
      </c>
      <c r="F2917">
        <v>398315720</v>
      </c>
      <c r="G2917">
        <v>759730871</v>
      </c>
      <c r="H2917">
        <v>-321833576</v>
      </c>
      <c r="I2917">
        <v>1080484259</v>
      </c>
      <c r="J2917">
        <v>-80966554</v>
      </c>
      <c r="K2917">
        <v>50494682</v>
      </c>
      <c r="L2917">
        <v>424090111</v>
      </c>
      <c r="M2917">
        <v>626095181</v>
      </c>
      <c r="N2917">
        <v>59786279</v>
      </c>
      <c r="O2917">
        <v>68844170</v>
      </c>
      <c r="P2917">
        <v>1388</v>
      </c>
      <c r="Q2917" t="s">
        <v>5878</v>
      </c>
    </row>
    <row r="2918" spans="1:17" x14ac:dyDescent="0.3">
      <c r="A2918" t="s">
        <v>4382</v>
      </c>
      <c r="B2918" t="str">
        <f>"002234"</f>
        <v>002234</v>
      </c>
      <c r="C2918" t="s">
        <v>5879</v>
      </c>
      <c r="D2918" t="s">
        <v>205</v>
      </c>
      <c r="F2918">
        <v>-15200952</v>
      </c>
      <c r="G2918">
        <v>-26344929</v>
      </c>
      <c r="H2918">
        <v>1112736422</v>
      </c>
      <c r="I2918">
        <v>34106638</v>
      </c>
      <c r="J2918">
        <v>-338449909</v>
      </c>
      <c r="K2918">
        <v>60897753</v>
      </c>
      <c r="L2918">
        <v>98790815</v>
      </c>
      <c r="M2918">
        <v>-38418297</v>
      </c>
      <c r="N2918">
        <v>-164835863</v>
      </c>
      <c r="O2918">
        <v>-140260400</v>
      </c>
      <c r="P2918">
        <v>577</v>
      </c>
      <c r="Q2918" t="s">
        <v>5880</v>
      </c>
    </row>
    <row r="2919" spans="1:17" x14ac:dyDescent="0.3">
      <c r="A2919" t="s">
        <v>4382</v>
      </c>
      <c r="B2919" t="str">
        <f>"002235"</f>
        <v>002235</v>
      </c>
      <c r="C2919" t="s">
        <v>5881</v>
      </c>
      <c r="D2919" t="s">
        <v>161</v>
      </c>
      <c r="F2919">
        <v>12807241</v>
      </c>
      <c r="G2919">
        <v>-93289272</v>
      </c>
      <c r="H2919">
        <v>32926769</v>
      </c>
      <c r="I2919">
        <v>-167825902</v>
      </c>
      <c r="J2919">
        <v>-87365528</v>
      </c>
      <c r="K2919">
        <v>-20903305</v>
      </c>
      <c r="L2919">
        <v>15518448</v>
      </c>
      <c r="M2919">
        <v>11425628</v>
      </c>
      <c r="N2919">
        <v>-13251576</v>
      </c>
      <c r="O2919">
        <v>1249319</v>
      </c>
      <c r="P2919">
        <v>142</v>
      </c>
      <c r="Q2919" t="s">
        <v>5882</v>
      </c>
    </row>
    <row r="2920" spans="1:17" x14ac:dyDescent="0.3">
      <c r="A2920" t="s">
        <v>4382</v>
      </c>
      <c r="B2920" t="str">
        <f>"002236"</f>
        <v>002236</v>
      </c>
      <c r="C2920" t="s">
        <v>5883</v>
      </c>
      <c r="D2920" t="s">
        <v>212</v>
      </c>
      <c r="F2920">
        <v>-2037897401</v>
      </c>
      <c r="G2920">
        <v>850932650</v>
      </c>
      <c r="H2920">
        <v>-916161565</v>
      </c>
      <c r="I2920">
        <v>-2056055096</v>
      </c>
      <c r="J2920">
        <v>-1382981972</v>
      </c>
      <c r="K2920">
        <v>-1153708070</v>
      </c>
      <c r="L2920">
        <v>-971291890</v>
      </c>
      <c r="M2920">
        <v>-980431464</v>
      </c>
      <c r="N2920">
        <v>-141482231</v>
      </c>
      <c r="O2920">
        <v>-90002433</v>
      </c>
      <c r="P2920">
        <v>32898</v>
      </c>
      <c r="Q2920" t="s">
        <v>5884</v>
      </c>
    </row>
    <row r="2921" spans="1:17" x14ac:dyDescent="0.3">
      <c r="A2921" t="s">
        <v>4382</v>
      </c>
      <c r="B2921" t="str">
        <f>"002237"</f>
        <v>002237</v>
      </c>
      <c r="C2921" t="s">
        <v>5885</v>
      </c>
      <c r="D2921" t="s">
        <v>234</v>
      </c>
      <c r="F2921">
        <v>621235625</v>
      </c>
      <c r="G2921">
        <v>544060582</v>
      </c>
      <c r="H2921">
        <v>-438317517</v>
      </c>
      <c r="I2921">
        <v>67773467</v>
      </c>
      <c r="J2921">
        <v>-485501542</v>
      </c>
      <c r="K2921">
        <v>103994171</v>
      </c>
      <c r="L2921">
        <v>-122890538</v>
      </c>
      <c r="M2921">
        <v>535512839</v>
      </c>
      <c r="N2921">
        <v>-154237281</v>
      </c>
      <c r="O2921">
        <v>-420537823</v>
      </c>
      <c r="P2921">
        <v>193</v>
      </c>
      <c r="Q2921" t="s">
        <v>5886</v>
      </c>
    </row>
    <row r="2922" spans="1:17" x14ac:dyDescent="0.3">
      <c r="A2922" t="s">
        <v>4382</v>
      </c>
      <c r="B2922" t="str">
        <f>"002238"</f>
        <v>002238</v>
      </c>
      <c r="C2922" t="s">
        <v>5887</v>
      </c>
      <c r="D2922" t="s">
        <v>89</v>
      </c>
      <c r="F2922">
        <v>73613803</v>
      </c>
      <c r="G2922">
        <v>134774640</v>
      </c>
      <c r="H2922">
        <v>57445315</v>
      </c>
      <c r="I2922">
        <v>25738637</v>
      </c>
      <c r="J2922">
        <v>73049155</v>
      </c>
      <c r="K2922">
        <v>131616588</v>
      </c>
      <c r="L2922">
        <v>284754123</v>
      </c>
      <c r="M2922">
        <v>133218084</v>
      </c>
      <c r="N2922">
        <v>71584366</v>
      </c>
      <c r="O2922">
        <v>108975791</v>
      </c>
      <c r="P2922">
        <v>205</v>
      </c>
      <c r="Q2922" t="s">
        <v>5888</v>
      </c>
    </row>
    <row r="2923" spans="1:17" x14ac:dyDescent="0.3">
      <c r="A2923" t="s">
        <v>4382</v>
      </c>
      <c r="B2923" t="str">
        <f>"002239"</f>
        <v>002239</v>
      </c>
      <c r="C2923" t="s">
        <v>5889</v>
      </c>
      <c r="D2923" t="s">
        <v>27</v>
      </c>
      <c r="F2923">
        <v>-277326032</v>
      </c>
      <c r="G2923">
        <v>156576326</v>
      </c>
      <c r="H2923">
        <v>32083785</v>
      </c>
      <c r="I2923">
        <v>184366807</v>
      </c>
      <c r="J2923">
        <v>84140747</v>
      </c>
      <c r="K2923">
        <v>321824953</v>
      </c>
      <c r="L2923">
        <v>189692274</v>
      </c>
      <c r="M2923">
        <v>-1341445</v>
      </c>
      <c r="N2923">
        <v>5409961</v>
      </c>
      <c r="O2923">
        <v>35086067</v>
      </c>
      <c r="P2923">
        <v>242</v>
      </c>
      <c r="Q2923" t="s">
        <v>5890</v>
      </c>
    </row>
    <row r="2924" spans="1:17" x14ac:dyDescent="0.3">
      <c r="A2924" t="s">
        <v>4382</v>
      </c>
      <c r="B2924" t="str">
        <f>"002240"</f>
        <v>002240</v>
      </c>
      <c r="C2924" t="s">
        <v>5891</v>
      </c>
      <c r="D2924" t="s">
        <v>234</v>
      </c>
      <c r="F2924">
        <v>-297101986</v>
      </c>
      <c r="G2924">
        <v>-651194633</v>
      </c>
      <c r="H2924">
        <v>-147992610</v>
      </c>
      <c r="I2924">
        <v>-476880557</v>
      </c>
      <c r="J2924">
        <v>-32988830</v>
      </c>
      <c r="K2924">
        <v>33831490</v>
      </c>
      <c r="L2924">
        <v>11574036</v>
      </c>
      <c r="M2924">
        <v>34892133</v>
      </c>
      <c r="N2924">
        <v>112753874</v>
      </c>
      <c r="O2924">
        <v>255100554</v>
      </c>
      <c r="P2924">
        <v>390</v>
      </c>
      <c r="Q2924" t="s">
        <v>5892</v>
      </c>
    </row>
    <row r="2925" spans="1:17" x14ac:dyDescent="0.3">
      <c r="A2925" t="s">
        <v>4382</v>
      </c>
      <c r="B2925" t="str">
        <f>"002241"</f>
        <v>002241</v>
      </c>
      <c r="C2925" t="s">
        <v>5893</v>
      </c>
      <c r="D2925" t="s">
        <v>150</v>
      </c>
      <c r="F2925">
        <v>623502944</v>
      </c>
      <c r="G2925">
        <v>-1179075876</v>
      </c>
      <c r="H2925">
        <v>1389607843</v>
      </c>
      <c r="I2925">
        <v>-2196636540</v>
      </c>
      <c r="J2925">
        <v>-1037395474</v>
      </c>
      <c r="K2925">
        <v>-2392893937</v>
      </c>
      <c r="L2925">
        <v>-530012370</v>
      </c>
      <c r="M2925">
        <v>-552982247</v>
      </c>
      <c r="N2925">
        <v>-524264083</v>
      </c>
      <c r="O2925">
        <v>-1345735781</v>
      </c>
      <c r="P2925">
        <v>3529</v>
      </c>
      <c r="Q2925" t="s">
        <v>5894</v>
      </c>
    </row>
    <row r="2926" spans="1:17" x14ac:dyDescent="0.3">
      <c r="A2926" t="s">
        <v>4382</v>
      </c>
      <c r="B2926" t="str">
        <f>"002242"</f>
        <v>002242</v>
      </c>
      <c r="C2926" t="s">
        <v>5895</v>
      </c>
      <c r="D2926" t="s">
        <v>126</v>
      </c>
      <c r="F2926">
        <v>-378051870</v>
      </c>
      <c r="G2926">
        <v>812759756</v>
      </c>
      <c r="H2926">
        <v>887123899</v>
      </c>
      <c r="I2926">
        <v>337130655</v>
      </c>
      <c r="J2926">
        <v>98954683</v>
      </c>
      <c r="K2926">
        <v>205668426</v>
      </c>
      <c r="L2926">
        <v>789352013</v>
      </c>
      <c r="M2926">
        <v>415044758</v>
      </c>
      <c r="N2926">
        <v>112871715</v>
      </c>
      <c r="O2926">
        <v>30737245</v>
      </c>
      <c r="P2926">
        <v>54901</v>
      </c>
      <c r="Q2926" t="s">
        <v>5896</v>
      </c>
    </row>
    <row r="2927" spans="1:17" x14ac:dyDescent="0.3">
      <c r="A2927" t="s">
        <v>4382</v>
      </c>
      <c r="B2927" t="str">
        <f>"002243"</f>
        <v>002243</v>
      </c>
      <c r="C2927" t="s">
        <v>5897</v>
      </c>
      <c r="D2927" t="s">
        <v>481</v>
      </c>
      <c r="F2927">
        <v>-1257523738</v>
      </c>
      <c r="G2927">
        <v>-459530921</v>
      </c>
      <c r="H2927">
        <v>132429510</v>
      </c>
      <c r="I2927">
        <v>-62367753</v>
      </c>
      <c r="J2927">
        <v>-8843159</v>
      </c>
      <c r="K2927">
        <v>87588721</v>
      </c>
      <c r="L2927">
        <v>8269545</v>
      </c>
      <c r="M2927">
        <v>-98958952</v>
      </c>
      <c r="N2927">
        <v>-155620986</v>
      </c>
      <c r="O2927">
        <v>-147346260</v>
      </c>
      <c r="P2927">
        <v>155</v>
      </c>
      <c r="Q2927" t="s">
        <v>5898</v>
      </c>
    </row>
    <row r="2928" spans="1:17" x14ac:dyDescent="0.3">
      <c r="A2928" t="s">
        <v>4382</v>
      </c>
      <c r="B2928" t="str">
        <f>"002244"</f>
        <v>002244</v>
      </c>
      <c r="C2928" t="s">
        <v>5899</v>
      </c>
      <c r="D2928" t="s">
        <v>30</v>
      </c>
      <c r="F2928">
        <v>447310324</v>
      </c>
      <c r="G2928">
        <v>-4744824326</v>
      </c>
      <c r="H2928">
        <v>6147027335</v>
      </c>
      <c r="I2928">
        <v>-10307374796</v>
      </c>
      <c r="J2928">
        <v>5936413463</v>
      </c>
      <c r="K2928">
        <v>10644288860</v>
      </c>
      <c r="L2928">
        <v>6116775708</v>
      </c>
      <c r="M2928">
        <v>-2672653954</v>
      </c>
      <c r="N2928">
        <v>2192336842</v>
      </c>
      <c r="O2928">
        <v>2132551664</v>
      </c>
      <c r="P2928">
        <v>403</v>
      </c>
      <c r="Q2928" t="s">
        <v>5900</v>
      </c>
    </row>
    <row r="2929" spans="1:17" x14ac:dyDescent="0.3">
      <c r="A2929" t="s">
        <v>4382</v>
      </c>
      <c r="B2929" t="str">
        <f>"002245"</f>
        <v>002245</v>
      </c>
      <c r="C2929" t="s">
        <v>5901</v>
      </c>
      <c r="D2929" t="s">
        <v>188</v>
      </c>
      <c r="F2929">
        <v>-391981715</v>
      </c>
      <c r="G2929">
        <v>334802384</v>
      </c>
      <c r="H2929">
        <v>588195085</v>
      </c>
      <c r="I2929">
        <v>-402980988</v>
      </c>
      <c r="J2929">
        <v>-923471400</v>
      </c>
      <c r="K2929">
        <v>-5451826</v>
      </c>
      <c r="L2929">
        <v>270712172</v>
      </c>
      <c r="M2929">
        <v>-196924238</v>
      </c>
      <c r="N2929">
        <v>15980120</v>
      </c>
      <c r="O2929">
        <v>146869465</v>
      </c>
      <c r="P2929">
        <v>378</v>
      </c>
      <c r="Q2929" t="s">
        <v>5902</v>
      </c>
    </row>
    <row r="2930" spans="1:17" x14ac:dyDescent="0.3">
      <c r="A2930" t="s">
        <v>4382</v>
      </c>
      <c r="B2930" t="str">
        <f>"002246"</f>
        <v>002246</v>
      </c>
      <c r="C2930" t="s">
        <v>5903</v>
      </c>
      <c r="D2930" t="s">
        <v>133</v>
      </c>
      <c r="F2930">
        <v>-109027432</v>
      </c>
      <c r="G2930">
        <v>-81379450</v>
      </c>
      <c r="H2930">
        <v>160159536</v>
      </c>
      <c r="I2930">
        <v>-130289524</v>
      </c>
      <c r="J2930">
        <v>-147052178</v>
      </c>
      <c r="K2930">
        <v>98475175</v>
      </c>
      <c r="L2930">
        <v>19955415</v>
      </c>
      <c r="M2930">
        <v>77801386</v>
      </c>
      <c r="N2930">
        <v>-45171641</v>
      </c>
      <c r="O2930">
        <v>-11567502</v>
      </c>
      <c r="P2930">
        <v>117</v>
      </c>
      <c r="Q2930" t="s">
        <v>5904</v>
      </c>
    </row>
    <row r="2931" spans="1:17" x14ac:dyDescent="0.3">
      <c r="A2931" t="s">
        <v>4382</v>
      </c>
      <c r="B2931" t="str">
        <f>"002247"</f>
        <v>002247</v>
      </c>
      <c r="C2931" t="s">
        <v>5905</v>
      </c>
      <c r="D2931" t="s">
        <v>89</v>
      </c>
      <c r="F2931">
        <v>-37717615</v>
      </c>
      <c r="G2931">
        <v>25721322</v>
      </c>
      <c r="H2931">
        <v>32485663</v>
      </c>
      <c r="I2931">
        <v>-654967996</v>
      </c>
      <c r="J2931">
        <v>-193576008</v>
      </c>
      <c r="K2931">
        <v>66888461</v>
      </c>
      <c r="L2931">
        <v>12389000</v>
      </c>
      <c r="M2931">
        <v>-17278617</v>
      </c>
      <c r="N2931">
        <v>-32411008</v>
      </c>
      <c r="O2931">
        <v>-22824459</v>
      </c>
      <c r="P2931">
        <v>90</v>
      </c>
      <c r="Q2931" t="s">
        <v>5906</v>
      </c>
    </row>
    <row r="2932" spans="1:17" x14ac:dyDescent="0.3">
      <c r="A2932" t="s">
        <v>4382</v>
      </c>
      <c r="B2932" t="str">
        <f>"002248"</f>
        <v>002248</v>
      </c>
      <c r="C2932" t="s">
        <v>5907</v>
      </c>
      <c r="D2932" t="s">
        <v>78</v>
      </c>
      <c r="F2932">
        <v>22201454</v>
      </c>
      <c r="G2932">
        <v>1716003</v>
      </c>
      <c r="H2932">
        <v>202837666</v>
      </c>
      <c r="I2932">
        <v>13310102</v>
      </c>
      <c r="J2932">
        <v>-5572970</v>
      </c>
      <c r="K2932">
        <v>-35057437</v>
      </c>
      <c r="L2932">
        <v>-37076490</v>
      </c>
      <c r="M2932">
        <v>-53516076</v>
      </c>
      <c r="N2932">
        <v>208764461</v>
      </c>
      <c r="O2932">
        <v>-187838014</v>
      </c>
      <c r="P2932">
        <v>109</v>
      </c>
      <c r="Q2932" t="s">
        <v>5908</v>
      </c>
    </row>
    <row r="2933" spans="1:17" x14ac:dyDescent="0.3">
      <c r="A2933" t="s">
        <v>4382</v>
      </c>
      <c r="B2933" t="str">
        <f>"002249"</f>
        <v>002249</v>
      </c>
      <c r="C2933" t="s">
        <v>5909</v>
      </c>
      <c r="D2933" t="s">
        <v>188</v>
      </c>
      <c r="F2933">
        <v>394925718</v>
      </c>
      <c r="G2933">
        <v>42200752</v>
      </c>
      <c r="H2933">
        <v>-227583033</v>
      </c>
      <c r="I2933">
        <v>131643800</v>
      </c>
      <c r="J2933">
        <v>-567777809</v>
      </c>
      <c r="K2933">
        <v>-113036733</v>
      </c>
      <c r="L2933">
        <v>-195547095</v>
      </c>
      <c r="M2933">
        <v>168924360</v>
      </c>
      <c r="N2933">
        <v>241217322</v>
      </c>
      <c r="O2933">
        <v>117184095</v>
      </c>
      <c r="P2933">
        <v>338</v>
      </c>
      <c r="Q2933" t="s">
        <v>5910</v>
      </c>
    </row>
    <row r="2934" spans="1:17" x14ac:dyDescent="0.3">
      <c r="A2934" t="s">
        <v>4382</v>
      </c>
      <c r="B2934" t="str">
        <f>"002250"</f>
        <v>002250</v>
      </c>
      <c r="C2934" t="s">
        <v>5911</v>
      </c>
      <c r="D2934" t="s">
        <v>133</v>
      </c>
      <c r="F2934">
        <v>-1029055252</v>
      </c>
      <c r="G2934">
        <v>341116431</v>
      </c>
      <c r="H2934">
        <v>132181187</v>
      </c>
      <c r="I2934">
        <v>-275547372</v>
      </c>
      <c r="J2934">
        <v>243333948</v>
      </c>
      <c r="K2934">
        <v>415817355</v>
      </c>
      <c r="L2934">
        <v>150892479</v>
      </c>
      <c r="M2934">
        <v>-82672911</v>
      </c>
      <c r="N2934">
        <v>-188323096</v>
      </c>
      <c r="O2934">
        <v>-153321283</v>
      </c>
      <c r="P2934">
        <v>348</v>
      </c>
      <c r="Q2934" t="s">
        <v>5912</v>
      </c>
    </row>
    <row r="2935" spans="1:17" x14ac:dyDescent="0.3">
      <c r="A2935" t="s">
        <v>4382</v>
      </c>
      <c r="B2935" t="str">
        <f>"002251"</f>
        <v>002251</v>
      </c>
      <c r="C2935" t="s">
        <v>5913</v>
      </c>
      <c r="D2935" t="s">
        <v>120</v>
      </c>
      <c r="F2935">
        <v>263252338</v>
      </c>
      <c r="G2935">
        <v>75652500</v>
      </c>
      <c r="H2935">
        <v>-781301647</v>
      </c>
      <c r="I2935">
        <v>-935005708</v>
      </c>
      <c r="J2935">
        <v>-356503796</v>
      </c>
      <c r="K2935">
        <v>-95234019</v>
      </c>
      <c r="L2935">
        <v>-144071106</v>
      </c>
      <c r="M2935">
        <v>-254723844</v>
      </c>
      <c r="N2935">
        <v>-76392578</v>
      </c>
      <c r="O2935">
        <v>-7917382</v>
      </c>
      <c r="P2935">
        <v>196</v>
      </c>
      <c r="Q2935" t="s">
        <v>5914</v>
      </c>
    </row>
    <row r="2936" spans="1:17" x14ac:dyDescent="0.3">
      <c r="A2936" t="s">
        <v>4382</v>
      </c>
      <c r="B2936" t="str">
        <f>"002252"</f>
        <v>002252</v>
      </c>
      <c r="C2936" t="s">
        <v>5915</v>
      </c>
      <c r="D2936" t="s">
        <v>113</v>
      </c>
      <c r="F2936">
        <v>1052542259</v>
      </c>
      <c r="G2936">
        <v>577271943</v>
      </c>
      <c r="H2936">
        <v>563886970</v>
      </c>
      <c r="I2936">
        <v>114976618</v>
      </c>
      <c r="J2936">
        <v>109052989</v>
      </c>
      <c r="K2936">
        <v>367044398</v>
      </c>
      <c r="L2936">
        <v>432931286</v>
      </c>
      <c r="M2936">
        <v>334676904</v>
      </c>
      <c r="N2936">
        <v>-115789321</v>
      </c>
      <c r="O2936">
        <v>26743124</v>
      </c>
      <c r="P2936">
        <v>602</v>
      </c>
      <c r="Q2936" t="s">
        <v>5916</v>
      </c>
    </row>
    <row r="2937" spans="1:17" x14ac:dyDescent="0.3">
      <c r="A2937" t="s">
        <v>4382</v>
      </c>
      <c r="B2937" t="str">
        <f>"002253"</f>
        <v>002253</v>
      </c>
      <c r="C2937" t="s">
        <v>5917</v>
      </c>
      <c r="D2937" t="s">
        <v>212</v>
      </c>
      <c r="F2937">
        <v>-107286429</v>
      </c>
      <c r="G2937">
        <v>-131268574</v>
      </c>
      <c r="H2937">
        <v>-38675975</v>
      </c>
      <c r="I2937">
        <v>-54170682</v>
      </c>
      <c r="J2937">
        <v>-32117573</v>
      </c>
      <c r="K2937">
        <v>-115628585</v>
      </c>
      <c r="L2937">
        <v>-55573514</v>
      </c>
      <c r="M2937">
        <v>-95086381</v>
      </c>
      <c r="N2937">
        <v>-85727772</v>
      </c>
      <c r="O2937">
        <v>-96293695</v>
      </c>
      <c r="P2937">
        <v>151</v>
      </c>
      <c r="Q2937" t="s">
        <v>5918</v>
      </c>
    </row>
    <row r="2938" spans="1:17" x14ac:dyDescent="0.3">
      <c r="A2938" t="s">
        <v>4382</v>
      </c>
      <c r="B2938" t="str">
        <f>"002254"</f>
        <v>002254</v>
      </c>
      <c r="C2938" t="s">
        <v>5919</v>
      </c>
      <c r="D2938" t="s">
        <v>133</v>
      </c>
      <c r="F2938">
        <v>305425606</v>
      </c>
      <c r="G2938">
        <v>-8668644</v>
      </c>
      <c r="H2938">
        <v>-126213107</v>
      </c>
      <c r="I2938">
        <v>-156061809</v>
      </c>
      <c r="J2938">
        <v>166698428</v>
      </c>
      <c r="K2938">
        <v>218875823</v>
      </c>
      <c r="L2938">
        <v>-82604662</v>
      </c>
      <c r="M2938">
        <v>93742445</v>
      </c>
      <c r="N2938">
        <v>18941626</v>
      </c>
      <c r="O2938">
        <v>103420975</v>
      </c>
      <c r="P2938">
        <v>215</v>
      </c>
      <c r="Q2938" t="s">
        <v>5920</v>
      </c>
    </row>
    <row r="2939" spans="1:17" x14ac:dyDescent="0.3">
      <c r="A2939" t="s">
        <v>4382</v>
      </c>
      <c r="B2939" t="str">
        <f>"002255"</f>
        <v>002255</v>
      </c>
      <c r="C2939" t="s">
        <v>5921</v>
      </c>
      <c r="D2939" t="s">
        <v>188</v>
      </c>
      <c r="F2939">
        <v>38066461</v>
      </c>
      <c r="G2939">
        <v>316156619</v>
      </c>
      <c r="H2939">
        <v>-385235561</v>
      </c>
      <c r="I2939">
        <v>-334014135</v>
      </c>
      <c r="J2939">
        <v>119798716</v>
      </c>
      <c r="K2939">
        <v>-32854701</v>
      </c>
      <c r="L2939">
        <v>175488055</v>
      </c>
      <c r="M2939">
        <v>-45997346</v>
      </c>
      <c r="N2939">
        <v>-30513473</v>
      </c>
      <c r="O2939">
        <v>-58389261</v>
      </c>
      <c r="P2939">
        <v>107</v>
      </c>
      <c r="Q2939" t="s">
        <v>5922</v>
      </c>
    </row>
    <row r="2940" spans="1:17" x14ac:dyDescent="0.3">
      <c r="A2940" t="s">
        <v>4382</v>
      </c>
      <c r="B2940" t="str">
        <f>"002256"</f>
        <v>002256</v>
      </c>
      <c r="C2940" t="s">
        <v>5923</v>
      </c>
      <c r="D2940" t="s">
        <v>41</v>
      </c>
      <c r="F2940">
        <v>-32569409</v>
      </c>
      <c r="G2940">
        <v>69005664</v>
      </c>
      <c r="H2940">
        <v>101580838</v>
      </c>
      <c r="I2940">
        <v>-62611118</v>
      </c>
      <c r="J2940">
        <v>-164845655</v>
      </c>
      <c r="K2940">
        <v>-311567963</v>
      </c>
      <c r="L2940">
        <v>-488431580</v>
      </c>
      <c r="M2940">
        <v>-49057995</v>
      </c>
      <c r="N2940">
        <v>45567355</v>
      </c>
      <c r="O2940">
        <v>35473502</v>
      </c>
      <c r="P2940">
        <v>151</v>
      </c>
      <c r="Q2940" t="s">
        <v>5924</v>
      </c>
    </row>
    <row r="2941" spans="1:17" x14ac:dyDescent="0.3">
      <c r="A2941" t="s">
        <v>4382</v>
      </c>
      <c r="B2941" t="str">
        <f>"002258"</f>
        <v>002258</v>
      </c>
      <c r="C2941" t="s">
        <v>5925</v>
      </c>
      <c r="D2941" t="s">
        <v>133</v>
      </c>
      <c r="F2941">
        <v>-44378096</v>
      </c>
      <c r="G2941">
        <v>-25207755</v>
      </c>
      <c r="H2941">
        <v>-10233252</v>
      </c>
      <c r="I2941">
        <v>-409077170</v>
      </c>
      <c r="J2941">
        <v>-230568476</v>
      </c>
      <c r="K2941">
        <v>-220335355</v>
      </c>
      <c r="L2941">
        <v>-161304489</v>
      </c>
      <c r="M2941">
        <v>-70415881</v>
      </c>
      <c r="N2941">
        <v>-118825462</v>
      </c>
      <c r="O2941">
        <v>-16730738</v>
      </c>
      <c r="P2941">
        <v>646</v>
      </c>
      <c r="Q2941" t="s">
        <v>5926</v>
      </c>
    </row>
    <row r="2942" spans="1:17" x14ac:dyDescent="0.3">
      <c r="A2942" t="s">
        <v>4382</v>
      </c>
      <c r="B2942" t="str">
        <f>"002259"</f>
        <v>002259</v>
      </c>
      <c r="C2942" t="s">
        <v>5927</v>
      </c>
      <c r="D2942" t="s">
        <v>41</v>
      </c>
      <c r="F2942">
        <v>78828532</v>
      </c>
      <c r="G2942">
        <v>53502768</v>
      </c>
      <c r="H2942">
        <v>10580931</v>
      </c>
      <c r="I2942">
        <v>-775903372</v>
      </c>
      <c r="J2942">
        <v>15900933</v>
      </c>
      <c r="K2942">
        <v>-42640441</v>
      </c>
      <c r="L2942">
        <v>-9709567</v>
      </c>
      <c r="M2942">
        <v>28386975</v>
      </c>
      <c r="N2942">
        <v>6860177</v>
      </c>
      <c r="O2942">
        <v>-105744427</v>
      </c>
      <c r="P2942">
        <v>59</v>
      </c>
      <c r="Q2942" t="s">
        <v>5928</v>
      </c>
    </row>
    <row r="2943" spans="1:17" x14ac:dyDescent="0.3">
      <c r="A2943" t="s">
        <v>4382</v>
      </c>
      <c r="B2943" t="str">
        <f>"002260"</f>
        <v>002260</v>
      </c>
      <c r="C2943" t="s">
        <v>5929</v>
      </c>
      <c r="D2943" t="s">
        <v>126</v>
      </c>
      <c r="F2943">
        <v>-109774124</v>
      </c>
      <c r="G2943">
        <v>-91063551</v>
      </c>
      <c r="H2943">
        <v>-7287151</v>
      </c>
      <c r="I2943">
        <v>30792246</v>
      </c>
      <c r="J2943">
        <v>-167837347</v>
      </c>
      <c r="K2943">
        <v>-84191920</v>
      </c>
      <c r="L2943">
        <v>-1742788</v>
      </c>
      <c r="M2943">
        <v>-61810564</v>
      </c>
      <c r="N2943">
        <v>4877197</v>
      </c>
      <c r="O2943">
        <v>-83763399</v>
      </c>
      <c r="P2943">
        <v>57</v>
      </c>
      <c r="Q2943" t="s">
        <v>5930</v>
      </c>
    </row>
    <row r="2944" spans="1:17" x14ac:dyDescent="0.3">
      <c r="A2944" t="s">
        <v>4382</v>
      </c>
      <c r="B2944" t="str">
        <f>"002261"</f>
        <v>002261</v>
      </c>
      <c r="C2944" t="s">
        <v>5931</v>
      </c>
      <c r="D2944" t="s">
        <v>110</v>
      </c>
      <c r="F2944">
        <v>-290146558</v>
      </c>
      <c r="G2944">
        <v>-136867185</v>
      </c>
      <c r="H2944">
        <v>-99912788</v>
      </c>
      <c r="I2944">
        <v>-205000048</v>
      </c>
      <c r="J2944">
        <v>-89240130</v>
      </c>
      <c r="K2944">
        <v>-104616394</v>
      </c>
      <c r="L2944">
        <v>-24182722</v>
      </c>
      <c r="M2944">
        <v>41368140</v>
      </c>
      <c r="N2944">
        <v>-26899591</v>
      </c>
      <c r="O2944">
        <v>-125934142</v>
      </c>
      <c r="P2944">
        <v>299</v>
      </c>
      <c r="Q2944" t="s">
        <v>5932</v>
      </c>
    </row>
    <row r="2945" spans="1:17" x14ac:dyDescent="0.3">
      <c r="A2945" t="s">
        <v>4382</v>
      </c>
      <c r="B2945" t="str">
        <f>"002262"</f>
        <v>002262</v>
      </c>
      <c r="C2945" t="s">
        <v>5933</v>
      </c>
      <c r="D2945" t="s">
        <v>113</v>
      </c>
      <c r="F2945">
        <v>382128806</v>
      </c>
      <c r="G2945">
        <v>447333750</v>
      </c>
      <c r="H2945">
        <v>444042815</v>
      </c>
      <c r="I2945">
        <v>111522673</v>
      </c>
      <c r="J2945">
        <v>234854935</v>
      </c>
      <c r="K2945">
        <v>85750791</v>
      </c>
      <c r="L2945">
        <v>-68481835</v>
      </c>
      <c r="M2945">
        <v>-65478068</v>
      </c>
      <c r="N2945">
        <v>49369841</v>
      </c>
      <c r="O2945">
        <v>39326134</v>
      </c>
      <c r="P2945">
        <v>51369</v>
      </c>
      <c r="Q2945" t="s">
        <v>5934</v>
      </c>
    </row>
    <row r="2946" spans="1:17" x14ac:dyDescent="0.3">
      <c r="A2946" t="s">
        <v>4382</v>
      </c>
      <c r="B2946" t="str">
        <f>"002263"</f>
        <v>002263</v>
      </c>
      <c r="C2946" t="s">
        <v>5935</v>
      </c>
      <c r="D2946" t="s">
        <v>133</v>
      </c>
      <c r="F2946">
        <v>124541580</v>
      </c>
      <c r="G2946">
        <v>168694526</v>
      </c>
      <c r="H2946">
        <v>133611157</v>
      </c>
      <c r="I2946">
        <v>82986675</v>
      </c>
      <c r="J2946">
        <v>-56700919</v>
      </c>
      <c r="K2946">
        <v>-92970732</v>
      </c>
      <c r="L2946">
        <v>182320145</v>
      </c>
      <c r="M2946">
        <v>-87595757</v>
      </c>
      <c r="N2946">
        <v>-296293092</v>
      </c>
      <c r="O2946">
        <v>-336119359</v>
      </c>
      <c r="P2946">
        <v>126</v>
      </c>
      <c r="Q2946" t="s">
        <v>5936</v>
      </c>
    </row>
    <row r="2947" spans="1:17" x14ac:dyDescent="0.3">
      <c r="A2947" t="s">
        <v>4382</v>
      </c>
      <c r="B2947" t="str">
        <f>"002264"</f>
        <v>002264</v>
      </c>
      <c r="C2947" t="s">
        <v>5937</v>
      </c>
      <c r="D2947" t="s">
        <v>120</v>
      </c>
      <c r="F2947">
        <v>109129186</v>
      </c>
      <c r="G2947">
        <v>177320852</v>
      </c>
      <c r="H2947">
        <v>93950953</v>
      </c>
      <c r="I2947">
        <v>-51969712</v>
      </c>
      <c r="J2947">
        <v>21854059</v>
      </c>
      <c r="K2947">
        <v>-146688833</v>
      </c>
      <c r="L2947">
        <v>-202262042</v>
      </c>
      <c r="M2947">
        <v>-499622557</v>
      </c>
      <c r="N2947">
        <v>-229139315</v>
      </c>
      <c r="O2947">
        <v>-65483762</v>
      </c>
      <c r="P2947">
        <v>96</v>
      </c>
      <c r="Q2947" t="s">
        <v>5938</v>
      </c>
    </row>
    <row r="2948" spans="1:17" x14ac:dyDescent="0.3">
      <c r="A2948" t="s">
        <v>4382</v>
      </c>
      <c r="B2948" t="str">
        <f>"002265"</f>
        <v>002265</v>
      </c>
      <c r="C2948" t="s">
        <v>5939</v>
      </c>
      <c r="D2948" t="s">
        <v>27</v>
      </c>
      <c r="F2948">
        <v>6661348</v>
      </c>
      <c r="G2948">
        <v>-51755783</v>
      </c>
      <c r="H2948">
        <v>-135250337</v>
      </c>
      <c r="I2948">
        <v>7696591</v>
      </c>
      <c r="J2948">
        <v>11180748</v>
      </c>
      <c r="K2948">
        <v>10948527</v>
      </c>
      <c r="L2948">
        <v>14952918</v>
      </c>
      <c r="M2948">
        <v>5964797</v>
      </c>
      <c r="N2948">
        <v>-2238593</v>
      </c>
      <c r="O2948">
        <v>-45265759</v>
      </c>
      <c r="P2948">
        <v>86</v>
      </c>
      <c r="Q2948" t="s">
        <v>5940</v>
      </c>
    </row>
    <row r="2949" spans="1:17" x14ac:dyDescent="0.3">
      <c r="A2949" t="s">
        <v>4382</v>
      </c>
      <c r="B2949" t="str">
        <f>"002266"</f>
        <v>002266</v>
      </c>
      <c r="C2949" t="s">
        <v>5941</v>
      </c>
      <c r="D2949" t="s">
        <v>33</v>
      </c>
      <c r="F2949">
        <v>-805200806</v>
      </c>
      <c r="G2949">
        <v>-1178975813</v>
      </c>
      <c r="H2949">
        <v>-300766803</v>
      </c>
      <c r="I2949">
        <v>-589396639</v>
      </c>
      <c r="J2949">
        <v>-150226544</v>
      </c>
      <c r="K2949">
        <v>69833045</v>
      </c>
      <c r="L2949">
        <v>-88180067</v>
      </c>
      <c r="M2949">
        <v>-247789850</v>
      </c>
      <c r="N2949">
        <v>-269577776</v>
      </c>
      <c r="O2949">
        <v>-166723847</v>
      </c>
      <c r="P2949">
        <v>297</v>
      </c>
      <c r="Q2949" t="s">
        <v>5942</v>
      </c>
    </row>
    <row r="2950" spans="1:17" x14ac:dyDescent="0.3">
      <c r="A2950" t="s">
        <v>4382</v>
      </c>
      <c r="B2950" t="str">
        <f>"002267"</f>
        <v>002267</v>
      </c>
      <c r="C2950" t="s">
        <v>5943</v>
      </c>
      <c r="D2950" t="s">
        <v>41</v>
      </c>
      <c r="F2950">
        <v>533752173</v>
      </c>
      <c r="G2950">
        <v>261113300</v>
      </c>
      <c r="H2950">
        <v>1154230720</v>
      </c>
      <c r="I2950">
        <v>457542716</v>
      </c>
      <c r="J2950">
        <v>37497414</v>
      </c>
      <c r="K2950">
        <v>178238124</v>
      </c>
      <c r="L2950">
        <v>782295157</v>
      </c>
      <c r="M2950">
        <v>325604491</v>
      </c>
      <c r="N2950">
        <v>-458926037</v>
      </c>
      <c r="O2950">
        <v>-198982864</v>
      </c>
      <c r="P2950">
        <v>202</v>
      </c>
      <c r="Q2950" t="s">
        <v>5944</v>
      </c>
    </row>
    <row r="2951" spans="1:17" x14ac:dyDescent="0.3">
      <c r="A2951" t="s">
        <v>4382</v>
      </c>
      <c r="B2951" t="str">
        <f>"002268"</f>
        <v>002268</v>
      </c>
      <c r="C2951" t="s">
        <v>5945</v>
      </c>
      <c r="D2951" t="s">
        <v>212</v>
      </c>
      <c r="F2951">
        <v>-1013877478</v>
      </c>
      <c r="G2951">
        <v>-436910877</v>
      </c>
      <c r="H2951">
        <v>-664741673</v>
      </c>
      <c r="I2951">
        <v>-740621932</v>
      </c>
      <c r="J2951">
        <v>-504403590</v>
      </c>
      <c r="K2951">
        <v>-1119047476</v>
      </c>
      <c r="L2951">
        <v>-388122560</v>
      </c>
      <c r="M2951">
        <v>-95366438</v>
      </c>
      <c r="N2951">
        <v>-81953107</v>
      </c>
      <c r="O2951">
        <v>-85774775</v>
      </c>
      <c r="P2951">
        <v>525</v>
      </c>
      <c r="Q2951" t="s">
        <v>5946</v>
      </c>
    </row>
    <row r="2952" spans="1:17" x14ac:dyDescent="0.3">
      <c r="A2952" t="s">
        <v>4382</v>
      </c>
      <c r="B2952" t="str">
        <f>"002269"</f>
        <v>002269</v>
      </c>
      <c r="C2952" t="s">
        <v>5947</v>
      </c>
      <c r="D2952" t="s">
        <v>227</v>
      </c>
      <c r="F2952">
        <v>-106025532</v>
      </c>
      <c r="G2952">
        <v>-199156260</v>
      </c>
      <c r="H2952">
        <v>-72335421</v>
      </c>
      <c r="I2952">
        <v>-76001285</v>
      </c>
      <c r="J2952">
        <v>-581684234</v>
      </c>
      <c r="K2952">
        <v>-234500087</v>
      </c>
      <c r="L2952">
        <v>-83707170</v>
      </c>
      <c r="M2952">
        <v>783504565</v>
      </c>
      <c r="N2952">
        <v>592420804</v>
      </c>
      <c r="O2952">
        <v>1854291125</v>
      </c>
      <c r="P2952">
        <v>143</v>
      </c>
      <c r="Q2952" t="s">
        <v>5948</v>
      </c>
    </row>
    <row r="2953" spans="1:17" x14ac:dyDescent="0.3">
      <c r="A2953" t="s">
        <v>4382</v>
      </c>
      <c r="B2953" t="str">
        <f>"002270"</f>
        <v>002270</v>
      </c>
      <c r="C2953" t="s">
        <v>5949</v>
      </c>
      <c r="D2953" t="s">
        <v>188</v>
      </c>
      <c r="F2953">
        <v>177929318</v>
      </c>
      <c r="G2953">
        <v>637635571</v>
      </c>
      <c r="H2953">
        <v>-44801271</v>
      </c>
      <c r="I2953">
        <v>76587973</v>
      </c>
      <c r="J2953">
        <v>-496312959</v>
      </c>
      <c r="K2953">
        <v>35634780</v>
      </c>
      <c r="L2953">
        <v>10630472</v>
      </c>
      <c r="M2953">
        <v>12545832</v>
      </c>
      <c r="N2953">
        <v>28349441</v>
      </c>
      <c r="O2953">
        <v>12784254</v>
      </c>
      <c r="P2953">
        <v>160</v>
      </c>
      <c r="Q2953" t="s">
        <v>5950</v>
      </c>
    </row>
    <row r="2954" spans="1:17" x14ac:dyDescent="0.3">
      <c r="A2954" t="s">
        <v>4382</v>
      </c>
      <c r="B2954" t="str">
        <f>"002271"</f>
        <v>002271</v>
      </c>
      <c r="C2954" t="s">
        <v>5951</v>
      </c>
      <c r="D2954" t="s">
        <v>350</v>
      </c>
      <c r="F2954">
        <v>-9402308637</v>
      </c>
      <c r="G2954">
        <v>-1928958302</v>
      </c>
      <c r="H2954">
        <v>-3091145701</v>
      </c>
      <c r="I2954">
        <v>-1810322074</v>
      </c>
      <c r="J2954">
        <v>-1462468527</v>
      </c>
      <c r="K2954">
        <v>-469710711</v>
      </c>
      <c r="L2954">
        <v>-362675867</v>
      </c>
      <c r="M2954">
        <v>-279075340</v>
      </c>
      <c r="N2954">
        <v>-95862035</v>
      </c>
      <c r="O2954">
        <v>-67498514</v>
      </c>
      <c r="P2954">
        <v>22869</v>
      </c>
      <c r="Q2954" t="s">
        <v>5952</v>
      </c>
    </row>
    <row r="2955" spans="1:17" x14ac:dyDescent="0.3">
      <c r="A2955" t="s">
        <v>4382</v>
      </c>
      <c r="B2955" t="str">
        <f>"002272"</f>
        <v>002272</v>
      </c>
      <c r="C2955" t="s">
        <v>5953</v>
      </c>
      <c r="D2955" t="s">
        <v>78</v>
      </c>
      <c r="F2955">
        <v>-152843407</v>
      </c>
      <c r="G2955">
        <v>-93186097</v>
      </c>
      <c r="H2955">
        <v>-49895227</v>
      </c>
      <c r="I2955">
        <v>-37029550</v>
      </c>
      <c r="J2955">
        <v>-43543783</v>
      </c>
      <c r="K2955">
        <v>-45930289</v>
      </c>
      <c r="L2955">
        <v>1996375</v>
      </c>
      <c r="M2955">
        <v>-59312075</v>
      </c>
      <c r="N2955">
        <v>-152417848</v>
      </c>
      <c r="O2955">
        <v>-167676869</v>
      </c>
      <c r="P2955">
        <v>107</v>
      </c>
      <c r="Q2955" t="s">
        <v>5954</v>
      </c>
    </row>
    <row r="2956" spans="1:17" x14ac:dyDescent="0.3">
      <c r="A2956" t="s">
        <v>4382</v>
      </c>
      <c r="B2956" t="str">
        <f>"002273"</f>
        <v>002273</v>
      </c>
      <c r="C2956" t="s">
        <v>5955</v>
      </c>
      <c r="D2956" t="s">
        <v>150</v>
      </c>
      <c r="F2956">
        <v>-127874642</v>
      </c>
      <c r="G2956">
        <v>39217479</v>
      </c>
      <c r="H2956">
        <v>-314704206</v>
      </c>
      <c r="I2956">
        <v>-295644642</v>
      </c>
      <c r="J2956">
        <v>-83594733</v>
      </c>
      <c r="K2956">
        <v>-98904670</v>
      </c>
      <c r="L2956">
        <v>8442555</v>
      </c>
      <c r="M2956">
        <v>-155484394</v>
      </c>
      <c r="N2956">
        <v>-99773318</v>
      </c>
      <c r="O2956">
        <v>-105117852</v>
      </c>
      <c r="P2956">
        <v>949</v>
      </c>
      <c r="Q2956" t="s">
        <v>5956</v>
      </c>
    </row>
    <row r="2957" spans="1:17" x14ac:dyDescent="0.3">
      <c r="A2957" t="s">
        <v>4382</v>
      </c>
      <c r="B2957" t="str">
        <f>"002274"</f>
        <v>002274</v>
      </c>
      <c r="C2957" t="s">
        <v>5957</v>
      </c>
      <c r="D2957" t="s">
        <v>133</v>
      </c>
      <c r="F2957">
        <v>1454525121</v>
      </c>
      <c r="G2957">
        <v>164933584</v>
      </c>
      <c r="H2957">
        <v>236649984</v>
      </c>
      <c r="I2957">
        <v>-61699461</v>
      </c>
      <c r="J2957">
        <v>-190590698</v>
      </c>
      <c r="K2957">
        <v>-89179459</v>
      </c>
      <c r="L2957">
        <v>-45423353</v>
      </c>
      <c r="M2957">
        <v>-545721730</v>
      </c>
      <c r="N2957">
        <v>-295147609</v>
      </c>
      <c r="O2957">
        <v>-233471583</v>
      </c>
      <c r="P2957">
        <v>217</v>
      </c>
      <c r="Q2957" t="s">
        <v>5958</v>
      </c>
    </row>
    <row r="2958" spans="1:17" x14ac:dyDescent="0.3">
      <c r="A2958" t="s">
        <v>4382</v>
      </c>
      <c r="B2958" t="str">
        <f>"002275"</f>
        <v>002275</v>
      </c>
      <c r="C2958" t="s">
        <v>5959</v>
      </c>
      <c r="D2958" t="s">
        <v>113</v>
      </c>
      <c r="F2958">
        <v>167231220</v>
      </c>
      <c r="G2958">
        <v>356442297</v>
      </c>
      <c r="H2958">
        <v>240973716</v>
      </c>
      <c r="I2958">
        <v>340987787</v>
      </c>
      <c r="J2958">
        <v>183530744</v>
      </c>
      <c r="K2958">
        <v>404700496</v>
      </c>
      <c r="L2958">
        <v>177286676</v>
      </c>
      <c r="M2958">
        <v>136035435</v>
      </c>
      <c r="N2958">
        <v>-66962580</v>
      </c>
      <c r="O2958">
        <v>56393251</v>
      </c>
      <c r="P2958">
        <v>11978</v>
      </c>
      <c r="Q2958" t="s">
        <v>5960</v>
      </c>
    </row>
    <row r="2959" spans="1:17" x14ac:dyDescent="0.3">
      <c r="A2959" t="s">
        <v>4382</v>
      </c>
      <c r="B2959" t="str">
        <f>"002276"</f>
        <v>002276</v>
      </c>
      <c r="C2959" t="s">
        <v>5961</v>
      </c>
      <c r="D2959" t="s">
        <v>188</v>
      </c>
      <c r="F2959">
        <v>313393882</v>
      </c>
      <c r="G2959">
        <v>237343499</v>
      </c>
      <c r="H2959">
        <v>293874644</v>
      </c>
      <c r="I2959">
        <v>328532885</v>
      </c>
      <c r="J2959">
        <v>-1142252120</v>
      </c>
      <c r="K2959">
        <v>-146290146</v>
      </c>
      <c r="L2959">
        <v>-47291476</v>
      </c>
      <c r="M2959">
        <v>-361723503</v>
      </c>
      <c r="N2959">
        <v>-276008468</v>
      </c>
      <c r="O2959">
        <v>-285828012</v>
      </c>
      <c r="P2959">
        <v>255</v>
      </c>
      <c r="Q2959" t="s">
        <v>5962</v>
      </c>
    </row>
    <row r="2960" spans="1:17" x14ac:dyDescent="0.3">
      <c r="A2960" t="s">
        <v>4382</v>
      </c>
      <c r="B2960" t="str">
        <f>"002277"</f>
        <v>002277</v>
      </c>
      <c r="C2960" t="s">
        <v>5963</v>
      </c>
      <c r="D2960" t="s">
        <v>120</v>
      </c>
      <c r="F2960">
        <v>271479120</v>
      </c>
      <c r="G2960">
        <v>-273240914</v>
      </c>
      <c r="H2960">
        <v>-566131217</v>
      </c>
      <c r="I2960">
        <v>-498540011</v>
      </c>
      <c r="J2960">
        <v>-153324782</v>
      </c>
      <c r="K2960">
        <v>-633029161</v>
      </c>
      <c r="L2960">
        <v>-1891244018</v>
      </c>
      <c r="M2960">
        <v>-1414809328</v>
      </c>
      <c r="N2960">
        <v>-217176247</v>
      </c>
      <c r="O2960">
        <v>92536309</v>
      </c>
      <c r="P2960">
        <v>145</v>
      </c>
      <c r="Q2960" t="s">
        <v>5964</v>
      </c>
    </row>
    <row r="2961" spans="1:17" x14ac:dyDescent="0.3">
      <c r="A2961" t="s">
        <v>4382</v>
      </c>
      <c r="B2961" t="str">
        <f>"002278"</f>
        <v>002278</v>
      </c>
      <c r="C2961" t="s">
        <v>5965</v>
      </c>
      <c r="D2961" t="s">
        <v>78</v>
      </c>
      <c r="F2961">
        <v>-82389050</v>
      </c>
      <c r="G2961">
        <v>-58048038</v>
      </c>
      <c r="H2961">
        <v>-84262124</v>
      </c>
      <c r="I2961">
        <v>-101716883</v>
      </c>
      <c r="J2961">
        <v>-4550005</v>
      </c>
      <c r="K2961">
        <v>-58865686</v>
      </c>
      <c r="L2961">
        <v>-110485868</v>
      </c>
      <c r="M2961">
        <v>-35309201</v>
      </c>
      <c r="N2961">
        <v>-19035518</v>
      </c>
      <c r="O2961">
        <v>12616574</v>
      </c>
      <c r="P2961">
        <v>57</v>
      </c>
      <c r="Q2961" t="s">
        <v>5966</v>
      </c>
    </row>
    <row r="2962" spans="1:17" x14ac:dyDescent="0.3">
      <c r="A2962" t="s">
        <v>4382</v>
      </c>
      <c r="B2962" t="str">
        <f>"002279"</f>
        <v>002279</v>
      </c>
      <c r="C2962" t="s">
        <v>5967</v>
      </c>
      <c r="D2962" t="s">
        <v>212</v>
      </c>
      <c r="F2962">
        <v>-221175316</v>
      </c>
      <c r="G2962">
        <v>-209551011</v>
      </c>
      <c r="H2962">
        <v>-307276825</v>
      </c>
      <c r="I2962">
        <v>-260113804</v>
      </c>
      <c r="J2962">
        <v>-169628404</v>
      </c>
      <c r="K2962">
        <v>-235902599</v>
      </c>
      <c r="L2962">
        <v>-81905634</v>
      </c>
      <c r="M2962">
        <v>-72544581</v>
      </c>
      <c r="N2962">
        <v>-45730138</v>
      </c>
      <c r="O2962">
        <v>-81213725</v>
      </c>
      <c r="P2962">
        <v>323</v>
      </c>
      <c r="Q2962" t="s">
        <v>5968</v>
      </c>
    </row>
    <row r="2963" spans="1:17" x14ac:dyDescent="0.3">
      <c r="A2963" t="s">
        <v>4382</v>
      </c>
      <c r="B2963" t="str">
        <f>"002280"</f>
        <v>002280</v>
      </c>
      <c r="C2963" t="s">
        <v>5969</v>
      </c>
      <c r="D2963" t="s">
        <v>120</v>
      </c>
      <c r="F2963">
        <v>-304951799</v>
      </c>
      <c r="G2963">
        <v>239695103</v>
      </c>
      <c r="H2963">
        <v>-408473776</v>
      </c>
      <c r="I2963">
        <v>-475905098</v>
      </c>
      <c r="J2963">
        <v>-1752889895</v>
      </c>
      <c r="K2963">
        <v>-1651997153</v>
      </c>
      <c r="L2963">
        <v>-247336842</v>
      </c>
      <c r="M2963">
        <v>-63710640</v>
      </c>
      <c r="N2963">
        <v>-76502022</v>
      </c>
      <c r="O2963">
        <v>-67833250</v>
      </c>
      <c r="P2963">
        <v>179</v>
      </c>
      <c r="Q2963" t="s">
        <v>5970</v>
      </c>
    </row>
    <row r="2964" spans="1:17" x14ac:dyDescent="0.3">
      <c r="A2964" t="s">
        <v>4382</v>
      </c>
      <c r="B2964" t="str">
        <f>"002281"</f>
        <v>002281</v>
      </c>
      <c r="C2964" t="s">
        <v>5971</v>
      </c>
      <c r="D2964" t="s">
        <v>100</v>
      </c>
      <c r="F2964">
        <v>235378449</v>
      </c>
      <c r="G2964">
        <v>276195091</v>
      </c>
      <c r="H2964">
        <v>-214661498</v>
      </c>
      <c r="I2964">
        <v>-223285984</v>
      </c>
      <c r="J2964">
        <v>-213422699</v>
      </c>
      <c r="K2964">
        <v>-248695631</v>
      </c>
      <c r="L2964">
        <v>-107341133</v>
      </c>
      <c r="M2964">
        <v>-152839248</v>
      </c>
      <c r="N2964">
        <v>-53438686</v>
      </c>
      <c r="O2964">
        <v>-16795455</v>
      </c>
      <c r="P2964">
        <v>893</v>
      </c>
      <c r="Q2964" t="s">
        <v>5972</v>
      </c>
    </row>
    <row r="2965" spans="1:17" x14ac:dyDescent="0.3">
      <c r="A2965" t="s">
        <v>4382</v>
      </c>
      <c r="B2965" t="str">
        <f>"002282"</f>
        <v>002282</v>
      </c>
      <c r="C2965" t="s">
        <v>5973</v>
      </c>
      <c r="D2965" t="s">
        <v>78</v>
      </c>
      <c r="F2965">
        <v>31413660</v>
      </c>
      <c r="G2965">
        <v>69512604</v>
      </c>
      <c r="H2965">
        <v>39927579</v>
      </c>
      <c r="I2965">
        <v>-187988305</v>
      </c>
      <c r="J2965">
        <v>6723134</v>
      </c>
      <c r="K2965">
        <v>45536119</v>
      </c>
      <c r="L2965">
        <v>42196082</v>
      </c>
      <c r="M2965">
        <v>70457561</v>
      </c>
      <c r="N2965">
        <v>5764282</v>
      </c>
      <c r="O2965">
        <v>-134137548</v>
      </c>
      <c r="P2965">
        <v>97</v>
      </c>
      <c r="Q2965" t="s">
        <v>5974</v>
      </c>
    </row>
    <row r="2966" spans="1:17" x14ac:dyDescent="0.3">
      <c r="A2966" t="s">
        <v>4382</v>
      </c>
      <c r="B2966" t="str">
        <f>"002283"</f>
        <v>002283</v>
      </c>
      <c r="C2966" t="s">
        <v>5975</v>
      </c>
      <c r="D2966" t="s">
        <v>27</v>
      </c>
      <c r="F2966">
        <v>124568805</v>
      </c>
      <c r="G2966">
        <v>-69169310</v>
      </c>
      <c r="H2966">
        <v>354395049</v>
      </c>
      <c r="I2966">
        <v>292189761</v>
      </c>
      <c r="J2966">
        <v>-258602415</v>
      </c>
      <c r="K2966">
        <v>37211801</v>
      </c>
      <c r="L2966">
        <v>306309360</v>
      </c>
      <c r="M2966">
        <v>-6895603</v>
      </c>
      <c r="N2966">
        <v>-8473571</v>
      </c>
      <c r="O2966">
        <v>-347912147</v>
      </c>
      <c r="P2966">
        <v>202</v>
      </c>
      <c r="Q2966" t="s">
        <v>5976</v>
      </c>
    </row>
    <row r="2967" spans="1:17" x14ac:dyDescent="0.3">
      <c r="A2967" t="s">
        <v>4382</v>
      </c>
      <c r="B2967" t="str">
        <f>"002284"</f>
        <v>002284</v>
      </c>
      <c r="C2967" t="s">
        <v>5977</v>
      </c>
      <c r="D2967" t="s">
        <v>27</v>
      </c>
      <c r="F2967">
        <v>344488418</v>
      </c>
      <c r="G2967">
        <v>277089777</v>
      </c>
      <c r="H2967">
        <v>33539559</v>
      </c>
      <c r="I2967">
        <v>58109947</v>
      </c>
      <c r="J2967">
        <v>-354972024</v>
      </c>
      <c r="K2967">
        <v>-190279021</v>
      </c>
      <c r="L2967">
        <v>-206651376</v>
      </c>
      <c r="M2967">
        <v>-19784496</v>
      </c>
      <c r="N2967">
        <v>39407839</v>
      </c>
      <c r="O2967">
        <v>-121073085</v>
      </c>
      <c r="P2967">
        <v>197</v>
      </c>
      <c r="Q2967" t="s">
        <v>5978</v>
      </c>
    </row>
    <row r="2968" spans="1:17" x14ac:dyDescent="0.3">
      <c r="A2968" t="s">
        <v>4382</v>
      </c>
      <c r="B2968" t="str">
        <f>"002285"</f>
        <v>002285</v>
      </c>
      <c r="C2968" t="s">
        <v>5979</v>
      </c>
      <c r="D2968" t="s">
        <v>30</v>
      </c>
      <c r="F2968">
        <v>547694688</v>
      </c>
      <c r="G2968">
        <v>411738776</v>
      </c>
      <c r="H2968">
        <v>736156132</v>
      </c>
      <c r="I2968">
        <v>277545360</v>
      </c>
      <c r="J2968">
        <v>-2973724769</v>
      </c>
      <c r="K2968">
        <v>1345725801</v>
      </c>
      <c r="L2968">
        <v>342751815</v>
      </c>
      <c r="M2968">
        <v>-707017487</v>
      </c>
      <c r="N2968">
        <v>243149431</v>
      </c>
      <c r="O2968">
        <v>-47586830</v>
      </c>
      <c r="P2968">
        <v>477</v>
      </c>
      <c r="Q2968" t="s">
        <v>5980</v>
      </c>
    </row>
    <row r="2969" spans="1:17" x14ac:dyDescent="0.3">
      <c r="A2969" t="s">
        <v>4382</v>
      </c>
      <c r="B2969" t="str">
        <f>"002286"</f>
        <v>002286</v>
      </c>
      <c r="C2969" t="s">
        <v>5981</v>
      </c>
      <c r="D2969" t="s">
        <v>205</v>
      </c>
      <c r="F2969">
        <v>200905645</v>
      </c>
      <c r="G2969">
        <v>462494883</v>
      </c>
      <c r="H2969">
        <v>13164657</v>
      </c>
      <c r="I2969">
        <v>35043598</v>
      </c>
      <c r="J2969">
        <v>-83167661</v>
      </c>
      <c r="K2969">
        <v>-25213879</v>
      </c>
      <c r="L2969">
        <v>-135106576</v>
      </c>
      <c r="M2969">
        <v>-135391782</v>
      </c>
      <c r="N2969">
        <v>1902578</v>
      </c>
      <c r="O2969">
        <v>49936430</v>
      </c>
      <c r="P2969">
        <v>179</v>
      </c>
      <c r="Q2969" t="s">
        <v>5982</v>
      </c>
    </row>
    <row r="2970" spans="1:17" x14ac:dyDescent="0.3">
      <c r="A2970" t="s">
        <v>4382</v>
      </c>
      <c r="B2970" t="str">
        <f>"002287"</f>
        <v>002287</v>
      </c>
      <c r="C2970" t="s">
        <v>5983</v>
      </c>
      <c r="D2970" t="s">
        <v>113</v>
      </c>
      <c r="F2970">
        <v>497216288</v>
      </c>
      <c r="G2970">
        <v>92503260</v>
      </c>
      <c r="H2970">
        <v>233551970</v>
      </c>
      <c r="I2970">
        <v>331989312</v>
      </c>
      <c r="J2970">
        <v>217361519</v>
      </c>
      <c r="K2970">
        <v>165856308</v>
      </c>
      <c r="L2970">
        <v>192399931</v>
      </c>
      <c r="M2970">
        <v>106371346</v>
      </c>
      <c r="N2970">
        <v>115549610</v>
      </c>
      <c r="O2970">
        <v>54690332</v>
      </c>
      <c r="P2970">
        <v>13300</v>
      </c>
      <c r="Q2970" t="s">
        <v>5984</v>
      </c>
    </row>
    <row r="2971" spans="1:17" x14ac:dyDescent="0.3">
      <c r="A2971" t="s">
        <v>4382</v>
      </c>
      <c r="B2971" t="str">
        <f>"002288"</f>
        <v>002288</v>
      </c>
      <c r="C2971" t="s">
        <v>5985</v>
      </c>
      <c r="D2971" t="s">
        <v>150</v>
      </c>
      <c r="F2971">
        <v>82821435</v>
      </c>
      <c r="G2971">
        <v>-90158071</v>
      </c>
      <c r="H2971">
        <v>-147709879</v>
      </c>
      <c r="I2971">
        <v>9511131</v>
      </c>
      <c r="J2971">
        <v>-155913309</v>
      </c>
      <c r="K2971">
        <v>-6705684</v>
      </c>
      <c r="L2971">
        <v>-63502065</v>
      </c>
      <c r="M2971">
        <v>-44332816</v>
      </c>
      <c r="N2971">
        <v>-112974792</v>
      </c>
      <c r="O2971">
        <v>-107197040</v>
      </c>
      <c r="P2971">
        <v>176</v>
      </c>
      <c r="Q2971" t="s">
        <v>5986</v>
      </c>
    </row>
    <row r="2972" spans="1:17" x14ac:dyDescent="0.3">
      <c r="A2972" t="s">
        <v>4382</v>
      </c>
      <c r="B2972" t="str">
        <f>"002289"</f>
        <v>002289</v>
      </c>
      <c r="C2972" t="s">
        <v>5987</v>
      </c>
      <c r="D2972" t="s">
        <v>150</v>
      </c>
      <c r="F2972">
        <v>-38281750</v>
      </c>
      <c r="G2972">
        <v>167843559</v>
      </c>
      <c r="H2972">
        <v>-19604532</v>
      </c>
      <c r="I2972">
        <v>-32657054</v>
      </c>
      <c r="J2972">
        <v>349749262</v>
      </c>
      <c r="K2972">
        <v>-292998036</v>
      </c>
      <c r="L2972">
        <v>-272293769</v>
      </c>
      <c r="M2972">
        <v>-296534085</v>
      </c>
      <c r="N2972">
        <v>-10683255</v>
      </c>
      <c r="O2972">
        <v>-218240252</v>
      </c>
      <c r="P2972">
        <v>70</v>
      </c>
      <c r="Q2972" t="s">
        <v>5988</v>
      </c>
    </row>
    <row r="2973" spans="1:17" x14ac:dyDescent="0.3">
      <c r="A2973" t="s">
        <v>4382</v>
      </c>
      <c r="B2973" t="str">
        <f>"002290"</f>
        <v>002290</v>
      </c>
      <c r="C2973" t="s">
        <v>5989</v>
      </c>
      <c r="D2973" t="s">
        <v>126</v>
      </c>
      <c r="F2973">
        <v>79940141</v>
      </c>
      <c r="G2973">
        <v>38669016</v>
      </c>
      <c r="H2973">
        <v>110357856</v>
      </c>
      <c r="I2973">
        <v>-62434231</v>
      </c>
      <c r="J2973">
        <v>-1245254020</v>
      </c>
      <c r="K2973">
        <v>-37318312</v>
      </c>
      <c r="L2973">
        <v>19809879</v>
      </c>
      <c r="M2973">
        <v>1750550</v>
      </c>
      <c r="N2973">
        <v>3268661</v>
      </c>
      <c r="O2973">
        <v>127846565</v>
      </c>
      <c r="P2973">
        <v>80</v>
      </c>
      <c r="Q2973" t="s">
        <v>5990</v>
      </c>
    </row>
    <row r="2974" spans="1:17" x14ac:dyDescent="0.3">
      <c r="A2974" t="s">
        <v>4382</v>
      </c>
      <c r="B2974" t="str">
        <f>"002291"</f>
        <v>002291</v>
      </c>
      <c r="C2974" t="s">
        <v>5991</v>
      </c>
      <c r="D2974" t="s">
        <v>89</v>
      </c>
      <c r="F2974">
        <v>-97177937</v>
      </c>
      <c r="G2974">
        <v>-177617682</v>
      </c>
      <c r="H2974">
        <v>104972779</v>
      </c>
      <c r="I2974">
        <v>19880312</v>
      </c>
      <c r="J2974">
        <v>61793511</v>
      </c>
      <c r="K2974">
        <v>24449467</v>
      </c>
      <c r="L2974">
        <v>-22919181</v>
      </c>
      <c r="M2974">
        <v>-23357772</v>
      </c>
      <c r="N2974">
        <v>-90086713</v>
      </c>
      <c r="O2974">
        <v>-158246682</v>
      </c>
      <c r="P2974">
        <v>172</v>
      </c>
      <c r="Q2974" t="s">
        <v>5992</v>
      </c>
    </row>
    <row r="2975" spans="1:17" x14ac:dyDescent="0.3">
      <c r="A2975" t="s">
        <v>4382</v>
      </c>
      <c r="B2975" t="str">
        <f>"002292"</f>
        <v>002292</v>
      </c>
      <c r="C2975" t="s">
        <v>5993</v>
      </c>
      <c r="D2975" t="s">
        <v>89</v>
      </c>
      <c r="F2975">
        <v>-24761963</v>
      </c>
      <c r="G2975">
        <v>-15325711</v>
      </c>
      <c r="H2975">
        <v>144696552</v>
      </c>
      <c r="I2975">
        <v>-110939460</v>
      </c>
      <c r="J2975">
        <v>-10993627</v>
      </c>
      <c r="K2975">
        <v>28098153</v>
      </c>
      <c r="L2975">
        <v>-359289160</v>
      </c>
      <c r="M2975">
        <v>293924875</v>
      </c>
      <c r="N2975">
        <v>-17290338</v>
      </c>
      <c r="O2975">
        <v>-58210587</v>
      </c>
      <c r="P2975">
        <v>291</v>
      </c>
      <c r="Q2975" t="s">
        <v>5994</v>
      </c>
    </row>
    <row r="2976" spans="1:17" x14ac:dyDescent="0.3">
      <c r="A2976" t="s">
        <v>4382</v>
      </c>
      <c r="B2976" t="str">
        <f>"002293"</f>
        <v>002293</v>
      </c>
      <c r="C2976" t="s">
        <v>5995</v>
      </c>
      <c r="D2976" t="s">
        <v>227</v>
      </c>
      <c r="F2976">
        <v>243027355</v>
      </c>
      <c r="G2976">
        <v>119239807</v>
      </c>
      <c r="H2976">
        <v>358584694</v>
      </c>
      <c r="I2976">
        <v>-265076371</v>
      </c>
      <c r="J2976">
        <v>-17107310</v>
      </c>
      <c r="K2976">
        <v>170710890</v>
      </c>
      <c r="L2976">
        <v>159863782</v>
      </c>
      <c r="M2976">
        <v>283731554</v>
      </c>
      <c r="N2976">
        <v>74054940</v>
      </c>
      <c r="O2976">
        <v>-75951138</v>
      </c>
      <c r="P2976">
        <v>4959</v>
      </c>
      <c r="Q2976" t="s">
        <v>5996</v>
      </c>
    </row>
    <row r="2977" spans="1:17" x14ac:dyDescent="0.3">
      <c r="A2977" t="s">
        <v>4382</v>
      </c>
      <c r="B2977" t="str">
        <f>"002294"</f>
        <v>002294</v>
      </c>
      <c r="C2977" t="s">
        <v>5997</v>
      </c>
      <c r="D2977" t="s">
        <v>113</v>
      </c>
      <c r="F2977">
        <v>489635657</v>
      </c>
      <c r="G2977">
        <v>710816609</v>
      </c>
      <c r="H2977">
        <v>949227719</v>
      </c>
      <c r="I2977">
        <v>893679816</v>
      </c>
      <c r="J2977">
        <v>841343070</v>
      </c>
      <c r="K2977">
        <v>951260112</v>
      </c>
      <c r="L2977">
        <v>509989549</v>
      </c>
      <c r="M2977">
        <v>512974873</v>
      </c>
      <c r="N2977">
        <v>86711133</v>
      </c>
      <c r="O2977">
        <v>250816978</v>
      </c>
      <c r="P2977">
        <v>25590</v>
      </c>
      <c r="Q2977" t="s">
        <v>5998</v>
      </c>
    </row>
    <row r="2978" spans="1:17" x14ac:dyDescent="0.3">
      <c r="A2978" t="s">
        <v>4382</v>
      </c>
      <c r="B2978" t="str">
        <f>"002295"</f>
        <v>002295</v>
      </c>
      <c r="C2978" t="s">
        <v>5999</v>
      </c>
      <c r="D2978" t="s">
        <v>234</v>
      </c>
      <c r="F2978">
        <v>-86629504</v>
      </c>
      <c r="G2978">
        <v>135244554</v>
      </c>
      <c r="H2978">
        <v>196877969</v>
      </c>
      <c r="I2978">
        <v>148869049</v>
      </c>
      <c r="J2978">
        <v>-248162595</v>
      </c>
      <c r="K2978">
        <v>22244313</v>
      </c>
      <c r="L2978">
        <v>85771221</v>
      </c>
      <c r="M2978">
        <v>18918273</v>
      </c>
      <c r="N2978">
        <v>-121408163</v>
      </c>
      <c r="O2978">
        <v>387162078</v>
      </c>
      <c r="P2978">
        <v>56</v>
      </c>
      <c r="Q2978" t="s">
        <v>6000</v>
      </c>
    </row>
    <row r="2979" spans="1:17" x14ac:dyDescent="0.3">
      <c r="A2979" t="s">
        <v>4382</v>
      </c>
      <c r="B2979" t="str">
        <f>"002296"</f>
        <v>002296</v>
      </c>
      <c r="C2979" t="s">
        <v>6001</v>
      </c>
      <c r="D2979" t="s">
        <v>100</v>
      </c>
      <c r="F2979">
        <v>98990818</v>
      </c>
      <c r="G2979">
        <v>-34231516</v>
      </c>
      <c r="H2979">
        <v>36442482</v>
      </c>
      <c r="I2979">
        <v>-97188311</v>
      </c>
      <c r="J2979">
        <v>-57385429</v>
      </c>
      <c r="K2979">
        <v>27880430</v>
      </c>
      <c r="L2979">
        <v>-40605347</v>
      </c>
      <c r="M2979">
        <v>-86382758</v>
      </c>
      <c r="N2979">
        <v>-27419795</v>
      </c>
      <c r="O2979">
        <v>-53719716</v>
      </c>
      <c r="P2979">
        <v>160</v>
      </c>
      <c r="Q2979" t="s">
        <v>6002</v>
      </c>
    </row>
    <row r="2980" spans="1:17" x14ac:dyDescent="0.3">
      <c r="A2980" t="s">
        <v>4382</v>
      </c>
      <c r="B2980" t="str">
        <f>"002297"</f>
        <v>002297</v>
      </c>
      <c r="C2980" t="s">
        <v>6003</v>
      </c>
      <c r="D2980" t="s">
        <v>92</v>
      </c>
      <c r="F2980">
        <v>-104688708</v>
      </c>
      <c r="G2980">
        <v>-111250108</v>
      </c>
      <c r="H2980">
        <v>-94930463</v>
      </c>
      <c r="I2980">
        <v>-46836116</v>
      </c>
      <c r="J2980">
        <v>-92784554</v>
      </c>
      <c r="K2980">
        <v>-92510350</v>
      </c>
      <c r="L2980">
        <v>-54329043</v>
      </c>
      <c r="M2980">
        <v>-106271925</v>
      </c>
      <c r="N2980">
        <v>-7669553</v>
      </c>
      <c r="O2980">
        <v>-80344640</v>
      </c>
      <c r="P2980">
        <v>100</v>
      </c>
      <c r="Q2980" t="s">
        <v>6004</v>
      </c>
    </row>
    <row r="2981" spans="1:17" x14ac:dyDescent="0.3">
      <c r="A2981" t="s">
        <v>4382</v>
      </c>
      <c r="B2981" t="str">
        <f>"002298"</f>
        <v>002298</v>
      </c>
      <c r="C2981" t="s">
        <v>6005</v>
      </c>
      <c r="D2981" t="s">
        <v>212</v>
      </c>
      <c r="F2981">
        <v>-229426609</v>
      </c>
      <c r="G2981">
        <v>6207155</v>
      </c>
      <c r="H2981">
        <v>-430349683</v>
      </c>
      <c r="I2981">
        <v>-440926824</v>
      </c>
      <c r="J2981">
        <v>-136841192</v>
      </c>
      <c r="K2981">
        <v>64232155</v>
      </c>
      <c r="L2981">
        <v>16755159</v>
      </c>
      <c r="M2981">
        <v>-136736541</v>
      </c>
      <c r="N2981">
        <v>-130711956</v>
      </c>
      <c r="O2981">
        <v>-1044382</v>
      </c>
      <c r="P2981">
        <v>182</v>
      </c>
      <c r="Q2981" t="s">
        <v>6006</v>
      </c>
    </row>
    <row r="2982" spans="1:17" x14ac:dyDescent="0.3">
      <c r="A2982" t="s">
        <v>4382</v>
      </c>
      <c r="B2982" t="str">
        <f>"002299"</f>
        <v>002299</v>
      </c>
      <c r="C2982" t="s">
        <v>6007</v>
      </c>
      <c r="D2982" t="s">
        <v>205</v>
      </c>
      <c r="F2982">
        <v>-97118249</v>
      </c>
      <c r="G2982">
        <v>1338178870</v>
      </c>
      <c r="H2982">
        <v>2487679738</v>
      </c>
      <c r="I2982">
        <v>587744791</v>
      </c>
      <c r="J2982">
        <v>-269189471</v>
      </c>
      <c r="K2982">
        <v>212467515</v>
      </c>
      <c r="L2982">
        <v>-976006248</v>
      </c>
      <c r="M2982">
        <v>-737287770</v>
      </c>
      <c r="N2982">
        <v>-1379919335</v>
      </c>
      <c r="O2982">
        <v>-879276037</v>
      </c>
      <c r="P2982">
        <v>1371</v>
      </c>
      <c r="Q2982" t="s">
        <v>6008</v>
      </c>
    </row>
    <row r="2983" spans="1:17" x14ac:dyDescent="0.3">
      <c r="A2983" t="s">
        <v>4382</v>
      </c>
      <c r="B2983" t="str">
        <f>"002300"</f>
        <v>002300</v>
      </c>
      <c r="C2983" t="s">
        <v>6009</v>
      </c>
      <c r="D2983" t="s">
        <v>188</v>
      </c>
      <c r="F2983">
        <v>-831854541</v>
      </c>
      <c r="G2983">
        <v>-431944718</v>
      </c>
      <c r="H2983">
        <v>-147859528</v>
      </c>
      <c r="I2983">
        <v>-798211016</v>
      </c>
      <c r="J2983">
        <v>-341506366</v>
      </c>
      <c r="K2983">
        <v>219719557</v>
      </c>
      <c r="L2983">
        <v>-304482395</v>
      </c>
      <c r="M2983">
        <v>-152253576</v>
      </c>
      <c r="N2983">
        <v>-137045020</v>
      </c>
      <c r="O2983">
        <v>-158393629</v>
      </c>
      <c r="P2983">
        <v>125</v>
      </c>
      <c r="Q2983" t="s">
        <v>6010</v>
      </c>
    </row>
    <row r="2984" spans="1:17" x14ac:dyDescent="0.3">
      <c r="A2984" t="s">
        <v>4382</v>
      </c>
      <c r="B2984" t="str">
        <f>"002301"</f>
        <v>002301</v>
      </c>
      <c r="C2984" t="s">
        <v>6011</v>
      </c>
      <c r="D2984" t="s">
        <v>161</v>
      </c>
      <c r="F2984">
        <v>123622560</v>
      </c>
      <c r="G2984">
        <v>81285465</v>
      </c>
      <c r="H2984">
        <v>132332962</v>
      </c>
      <c r="I2984">
        <v>-243810057</v>
      </c>
      <c r="J2984">
        <v>-318363056</v>
      </c>
      <c r="K2984">
        <v>156430338</v>
      </c>
      <c r="L2984">
        <v>-176133660</v>
      </c>
      <c r="M2984">
        <v>-157126670</v>
      </c>
      <c r="N2984">
        <v>-173070278</v>
      </c>
      <c r="O2984">
        <v>-263360786</v>
      </c>
      <c r="P2984">
        <v>202</v>
      </c>
      <c r="Q2984" t="s">
        <v>6012</v>
      </c>
    </row>
    <row r="2985" spans="1:17" x14ac:dyDescent="0.3">
      <c r="A2985" t="s">
        <v>4382</v>
      </c>
      <c r="B2985" t="str">
        <f>"002302"</f>
        <v>002302</v>
      </c>
      <c r="C2985" t="s">
        <v>6013</v>
      </c>
      <c r="D2985" t="s">
        <v>350</v>
      </c>
      <c r="F2985">
        <v>-1888988725</v>
      </c>
      <c r="G2985">
        <v>-2168330862</v>
      </c>
      <c r="H2985">
        <v>-1290407234</v>
      </c>
      <c r="I2985">
        <v>-1270614715</v>
      </c>
      <c r="J2985">
        <v>-2063441533</v>
      </c>
      <c r="K2985">
        <v>-1073987887</v>
      </c>
      <c r="L2985">
        <v>-901316908</v>
      </c>
      <c r="M2985">
        <v>-963489503</v>
      </c>
      <c r="N2985">
        <v>-944667446</v>
      </c>
      <c r="O2985">
        <v>-401584739</v>
      </c>
      <c r="P2985">
        <v>201</v>
      </c>
      <c r="Q2985" t="s">
        <v>6014</v>
      </c>
    </row>
    <row r="2986" spans="1:17" x14ac:dyDescent="0.3">
      <c r="A2986" t="s">
        <v>4382</v>
      </c>
      <c r="B2986" t="str">
        <f>"002303"</f>
        <v>002303</v>
      </c>
      <c r="C2986" t="s">
        <v>6015</v>
      </c>
      <c r="D2986" t="s">
        <v>161</v>
      </c>
      <c r="F2986">
        <v>-150125636</v>
      </c>
      <c r="G2986">
        <v>85620136</v>
      </c>
      <c r="H2986">
        <v>10348857</v>
      </c>
      <c r="I2986">
        <v>-136591270</v>
      </c>
      <c r="J2986">
        <v>-243636622</v>
      </c>
      <c r="K2986">
        <v>-15712787</v>
      </c>
      <c r="L2986">
        <v>-96280290</v>
      </c>
      <c r="M2986">
        <v>193869826</v>
      </c>
      <c r="N2986">
        <v>140652742</v>
      </c>
      <c r="O2986">
        <v>-20898967</v>
      </c>
      <c r="P2986">
        <v>224</v>
      </c>
      <c r="Q2986" t="s">
        <v>6016</v>
      </c>
    </row>
    <row r="2987" spans="1:17" x14ac:dyDescent="0.3">
      <c r="A2987" t="s">
        <v>4382</v>
      </c>
      <c r="B2987" t="str">
        <f>"002304"</f>
        <v>002304</v>
      </c>
      <c r="C2987" t="s">
        <v>6017</v>
      </c>
      <c r="D2987" t="s">
        <v>123</v>
      </c>
      <c r="F2987">
        <v>5209772183</v>
      </c>
      <c r="G2987">
        <v>-677166049</v>
      </c>
      <c r="H2987">
        <v>1547110110</v>
      </c>
      <c r="I2987">
        <v>5509822209</v>
      </c>
      <c r="J2987">
        <v>4079442268</v>
      </c>
      <c r="K2987">
        <v>5130319054</v>
      </c>
      <c r="L2987">
        <v>4138413498</v>
      </c>
      <c r="M2987">
        <v>1634890247</v>
      </c>
      <c r="N2987">
        <v>1520586841</v>
      </c>
      <c r="O2987">
        <v>3036666700</v>
      </c>
      <c r="P2987">
        <v>52727</v>
      </c>
      <c r="Q2987" t="s">
        <v>6018</v>
      </c>
    </row>
    <row r="2988" spans="1:17" x14ac:dyDescent="0.3">
      <c r="A2988" t="s">
        <v>4382</v>
      </c>
      <c r="B2988" t="str">
        <f>"002305"</f>
        <v>002305</v>
      </c>
      <c r="C2988" t="s">
        <v>6019</v>
      </c>
      <c r="D2988" t="s">
        <v>30</v>
      </c>
      <c r="F2988">
        <v>-1073264700</v>
      </c>
      <c r="G2988">
        <v>330546670</v>
      </c>
      <c r="H2988">
        <v>-172806857</v>
      </c>
      <c r="I2988">
        <v>1969105034</v>
      </c>
      <c r="J2988">
        <v>-878056846</v>
      </c>
      <c r="K2988">
        <v>15403474</v>
      </c>
      <c r="L2988">
        <v>-2216776105</v>
      </c>
      <c r="M2988">
        <v>-1373975895</v>
      </c>
      <c r="N2988">
        <v>-1074430440</v>
      </c>
      <c r="O2988">
        <v>577089567</v>
      </c>
      <c r="P2988">
        <v>107</v>
      </c>
      <c r="Q2988" t="s">
        <v>6020</v>
      </c>
    </row>
    <row r="2989" spans="1:17" x14ac:dyDescent="0.3">
      <c r="A2989" t="s">
        <v>4382</v>
      </c>
      <c r="B2989" t="str">
        <f>"002306"</f>
        <v>002306</v>
      </c>
      <c r="C2989" t="s">
        <v>6021</v>
      </c>
      <c r="D2989" t="s">
        <v>110</v>
      </c>
      <c r="F2989">
        <v>-47953902</v>
      </c>
      <c r="G2989">
        <v>-30336917</v>
      </c>
      <c r="H2989">
        <v>-17704012</v>
      </c>
      <c r="I2989">
        <v>-23218774</v>
      </c>
      <c r="J2989">
        <v>-17636248</v>
      </c>
      <c r="K2989">
        <v>19157674</v>
      </c>
      <c r="L2989">
        <v>-25006273</v>
      </c>
      <c r="M2989">
        <v>-86800674</v>
      </c>
      <c r="N2989">
        <v>-380696236</v>
      </c>
      <c r="O2989">
        <v>22363829</v>
      </c>
      <c r="P2989">
        <v>68</v>
      </c>
      <c r="Q2989" t="s">
        <v>6022</v>
      </c>
    </row>
    <row r="2990" spans="1:17" x14ac:dyDescent="0.3">
      <c r="A2990" t="s">
        <v>4382</v>
      </c>
      <c r="B2990" t="str">
        <f>"002307"</f>
        <v>002307</v>
      </c>
      <c r="C2990" t="s">
        <v>6023</v>
      </c>
      <c r="D2990" t="s">
        <v>95</v>
      </c>
      <c r="F2990">
        <v>-4206535665</v>
      </c>
      <c r="G2990">
        <v>-5013882944</v>
      </c>
      <c r="H2990">
        <v>-2554787008</v>
      </c>
      <c r="I2990">
        <v>-1573812222</v>
      </c>
      <c r="J2990">
        <v>-1826823992</v>
      </c>
      <c r="K2990">
        <v>-997891768</v>
      </c>
      <c r="L2990">
        <v>-28488401</v>
      </c>
      <c r="M2990">
        <v>-34927149</v>
      </c>
      <c r="N2990">
        <v>-694072558</v>
      </c>
      <c r="O2990">
        <v>-96019824</v>
      </c>
      <c r="P2990">
        <v>90</v>
      </c>
      <c r="Q2990" t="s">
        <v>6024</v>
      </c>
    </row>
    <row r="2991" spans="1:17" x14ac:dyDescent="0.3">
      <c r="A2991" t="s">
        <v>4382</v>
      </c>
      <c r="B2991" t="str">
        <f>"002308"</f>
        <v>002308</v>
      </c>
      <c r="C2991" t="s">
        <v>6025</v>
      </c>
      <c r="D2991" t="s">
        <v>212</v>
      </c>
      <c r="F2991">
        <v>2222479</v>
      </c>
      <c r="G2991">
        <v>578477822</v>
      </c>
      <c r="H2991">
        <v>15409907</v>
      </c>
      <c r="I2991">
        <v>-50865022</v>
      </c>
      <c r="J2991">
        <v>66278267</v>
      </c>
      <c r="K2991">
        <v>156500077</v>
      </c>
      <c r="L2991">
        <v>112566243</v>
      </c>
      <c r="M2991">
        <v>-118521194</v>
      </c>
      <c r="N2991">
        <v>9210678</v>
      </c>
      <c r="O2991">
        <v>-84774834</v>
      </c>
      <c r="P2991">
        <v>218</v>
      </c>
      <c r="Q2991" t="s">
        <v>6026</v>
      </c>
    </row>
    <row r="2992" spans="1:17" x14ac:dyDescent="0.3">
      <c r="A2992" t="s">
        <v>4382</v>
      </c>
      <c r="B2992" t="str">
        <f>"002309"</f>
        <v>002309</v>
      </c>
      <c r="C2992" t="s">
        <v>6027</v>
      </c>
      <c r="D2992" t="s">
        <v>188</v>
      </c>
      <c r="F2992">
        <v>-832333695</v>
      </c>
      <c r="G2992">
        <v>491149293</v>
      </c>
      <c r="H2992">
        <v>1060088881</v>
      </c>
      <c r="I2992">
        <v>445619891</v>
      </c>
      <c r="J2992">
        <v>-1081808482</v>
      </c>
      <c r="K2992">
        <v>-847543945</v>
      </c>
      <c r="L2992">
        <v>-1504713308</v>
      </c>
      <c r="M2992">
        <v>-2054981689</v>
      </c>
      <c r="N2992">
        <v>-474998379</v>
      </c>
      <c r="O2992">
        <v>-1795481603</v>
      </c>
      <c r="P2992">
        <v>284</v>
      </c>
      <c r="Q2992" t="s">
        <v>6028</v>
      </c>
    </row>
    <row r="2993" spans="1:17" x14ac:dyDescent="0.3">
      <c r="A2993" t="s">
        <v>4382</v>
      </c>
      <c r="B2993" t="str">
        <f>"002310"</f>
        <v>002310</v>
      </c>
      <c r="C2993" t="s">
        <v>6029</v>
      </c>
      <c r="D2993" t="s">
        <v>95</v>
      </c>
      <c r="F2993">
        <v>168389961</v>
      </c>
      <c r="G2993">
        <v>-1504221465</v>
      </c>
      <c r="H2993">
        <v>-1800727078</v>
      </c>
      <c r="I2993">
        <v>-728648701</v>
      </c>
      <c r="J2993">
        <v>515312334</v>
      </c>
      <c r="K2993">
        <v>166074307</v>
      </c>
      <c r="L2993">
        <v>-702122089</v>
      </c>
      <c r="M2993">
        <v>-660639224</v>
      </c>
      <c r="N2993">
        <v>-903433037</v>
      </c>
      <c r="O2993">
        <v>-737948710</v>
      </c>
      <c r="P2993">
        <v>1194</v>
      </c>
      <c r="Q2993" t="s">
        <v>6030</v>
      </c>
    </row>
    <row r="2994" spans="1:17" x14ac:dyDescent="0.3">
      <c r="A2994" t="s">
        <v>4382</v>
      </c>
      <c r="B2994" t="str">
        <f>"002311"</f>
        <v>002311</v>
      </c>
      <c r="C2994" t="s">
        <v>6031</v>
      </c>
      <c r="D2994" t="s">
        <v>205</v>
      </c>
      <c r="F2994">
        <v>-1413173459</v>
      </c>
      <c r="G2994">
        <v>-2700912594</v>
      </c>
      <c r="H2994">
        <v>186724602</v>
      </c>
      <c r="I2994">
        <v>-1312278765</v>
      </c>
      <c r="J2994">
        <v>-979887429</v>
      </c>
      <c r="K2994">
        <v>76075105</v>
      </c>
      <c r="L2994">
        <v>427801115</v>
      </c>
      <c r="M2994">
        <v>73013958</v>
      </c>
      <c r="N2994">
        <v>-213462200</v>
      </c>
      <c r="O2994">
        <v>-622938761</v>
      </c>
      <c r="P2994">
        <v>1933</v>
      </c>
      <c r="Q2994" t="s">
        <v>6032</v>
      </c>
    </row>
    <row r="2995" spans="1:17" x14ac:dyDescent="0.3">
      <c r="A2995" t="s">
        <v>4382</v>
      </c>
      <c r="B2995" t="str">
        <f>"002312"</f>
        <v>002312</v>
      </c>
      <c r="C2995" t="s">
        <v>6033</v>
      </c>
      <c r="D2995" t="s">
        <v>133</v>
      </c>
      <c r="F2995">
        <v>-180437090</v>
      </c>
      <c r="G2995">
        <v>320821846</v>
      </c>
      <c r="H2995">
        <v>-100796332</v>
      </c>
      <c r="I2995">
        <v>-108749992</v>
      </c>
      <c r="J2995">
        <v>-106682590</v>
      </c>
      <c r="K2995">
        <v>-986742762</v>
      </c>
      <c r="L2995">
        <v>-675277614</v>
      </c>
      <c r="M2995">
        <v>-416387054</v>
      </c>
      <c r="N2995">
        <v>-319658638</v>
      </c>
      <c r="O2995">
        <v>-222735808</v>
      </c>
      <c r="P2995">
        <v>249</v>
      </c>
      <c r="Q2995" t="s">
        <v>6034</v>
      </c>
    </row>
    <row r="2996" spans="1:17" x14ac:dyDescent="0.3">
      <c r="A2996" t="s">
        <v>4382</v>
      </c>
      <c r="B2996" t="str">
        <f>"002313"</f>
        <v>002313</v>
      </c>
      <c r="C2996" t="s">
        <v>6035</v>
      </c>
      <c r="D2996" t="s">
        <v>100</v>
      </c>
      <c r="F2996">
        <v>-256055496</v>
      </c>
      <c r="G2996">
        <v>-450685499</v>
      </c>
      <c r="H2996">
        <v>-809967948</v>
      </c>
      <c r="I2996">
        <v>-808894576</v>
      </c>
      <c r="J2996">
        <v>-303352254</v>
      </c>
      <c r="K2996">
        <v>30975382</v>
      </c>
      <c r="L2996">
        <v>15384289</v>
      </c>
      <c r="M2996">
        <v>58929299</v>
      </c>
      <c r="N2996">
        <v>-430005935</v>
      </c>
      <c r="O2996">
        <v>-228014224</v>
      </c>
      <c r="P2996">
        <v>243</v>
      </c>
      <c r="Q2996" t="s">
        <v>6036</v>
      </c>
    </row>
    <row r="2997" spans="1:17" x14ac:dyDescent="0.3">
      <c r="A2997" t="s">
        <v>4382</v>
      </c>
      <c r="B2997" t="str">
        <f>"002314"</f>
        <v>002314</v>
      </c>
      <c r="C2997" t="s">
        <v>6037</v>
      </c>
      <c r="D2997" t="s">
        <v>30</v>
      </c>
      <c r="F2997">
        <v>699923375</v>
      </c>
      <c r="G2997">
        <v>-8389931742</v>
      </c>
      <c r="H2997">
        <v>-1908715129</v>
      </c>
      <c r="I2997">
        <v>-1215748929</v>
      </c>
      <c r="J2997">
        <v>477958300</v>
      </c>
      <c r="K2997">
        <v>-674240986</v>
      </c>
      <c r="L2997">
        <v>916149874</v>
      </c>
      <c r="M2997">
        <v>-166364245</v>
      </c>
      <c r="N2997">
        <v>-109395205</v>
      </c>
      <c r="O2997">
        <v>-119918024</v>
      </c>
      <c r="P2997">
        <v>206</v>
      </c>
      <c r="Q2997" t="s">
        <v>6038</v>
      </c>
    </row>
    <row r="2998" spans="1:17" x14ac:dyDescent="0.3">
      <c r="A2998" t="s">
        <v>4382</v>
      </c>
      <c r="B2998" t="str">
        <f>"002315"</f>
        <v>002315</v>
      </c>
      <c r="C2998" t="s">
        <v>6039</v>
      </c>
      <c r="D2998" t="s">
        <v>120</v>
      </c>
      <c r="F2998">
        <v>144979894</v>
      </c>
      <c r="G2998">
        <v>126931886</v>
      </c>
      <c r="H2998">
        <v>-212289047</v>
      </c>
      <c r="I2998">
        <v>-73575711</v>
      </c>
      <c r="J2998">
        <v>-357306929</v>
      </c>
      <c r="K2998">
        <v>-48246517</v>
      </c>
      <c r="L2998">
        <v>-56321339</v>
      </c>
      <c r="M2998">
        <v>17655160</v>
      </c>
      <c r="N2998">
        <v>75312535</v>
      </c>
      <c r="O2998">
        <v>-7756680</v>
      </c>
      <c r="P2998">
        <v>221</v>
      </c>
      <c r="Q2998" t="s">
        <v>6040</v>
      </c>
    </row>
    <row r="2999" spans="1:17" x14ac:dyDescent="0.3">
      <c r="A2999" t="s">
        <v>4382</v>
      </c>
      <c r="B2999" t="str">
        <f>"002316"</f>
        <v>002316</v>
      </c>
      <c r="C2999" t="s">
        <v>6041</v>
      </c>
      <c r="D2999" t="s">
        <v>75</v>
      </c>
      <c r="F2999">
        <v>-198797810</v>
      </c>
      <c r="G2999">
        <v>-36617765</v>
      </c>
      <c r="H2999">
        <v>87650138</v>
      </c>
      <c r="I2999">
        <v>640182296</v>
      </c>
      <c r="J2999">
        <v>-47445864</v>
      </c>
      <c r="K2999">
        <v>-118302816</v>
      </c>
      <c r="L2999">
        <v>329807702</v>
      </c>
      <c r="M2999">
        <v>-168119953</v>
      </c>
      <c r="N2999">
        <v>-397009727</v>
      </c>
      <c r="O2999">
        <v>-38378313</v>
      </c>
      <c r="P2999">
        <v>229</v>
      </c>
      <c r="Q2999" t="s">
        <v>6042</v>
      </c>
    </row>
    <row r="3000" spans="1:17" x14ac:dyDescent="0.3">
      <c r="A3000" t="s">
        <v>4382</v>
      </c>
      <c r="B3000" t="str">
        <f>"002317"</f>
        <v>002317</v>
      </c>
      <c r="C3000" t="s">
        <v>6043</v>
      </c>
      <c r="D3000" t="s">
        <v>113</v>
      </c>
      <c r="F3000">
        <v>174314526</v>
      </c>
      <c r="G3000">
        <v>276162466</v>
      </c>
      <c r="H3000">
        <v>200959665</v>
      </c>
      <c r="I3000">
        <v>162873899</v>
      </c>
      <c r="J3000">
        <v>235684533</v>
      </c>
      <c r="K3000">
        <v>274502919</v>
      </c>
      <c r="L3000">
        <v>242391469</v>
      </c>
      <c r="M3000">
        <v>-138552333</v>
      </c>
      <c r="N3000">
        <v>-51163813</v>
      </c>
      <c r="O3000">
        <v>44633735</v>
      </c>
      <c r="P3000">
        <v>344</v>
      </c>
      <c r="Q3000" t="s">
        <v>6044</v>
      </c>
    </row>
    <row r="3001" spans="1:17" x14ac:dyDescent="0.3">
      <c r="A3001" t="s">
        <v>4382</v>
      </c>
      <c r="B3001" t="str">
        <f>"002318"</f>
        <v>002318</v>
      </c>
      <c r="C3001" t="s">
        <v>6045</v>
      </c>
      <c r="D3001" t="s">
        <v>38</v>
      </c>
      <c r="F3001">
        <v>168640825</v>
      </c>
      <c r="G3001">
        <v>329905042</v>
      </c>
      <c r="H3001">
        <v>87990237</v>
      </c>
      <c r="I3001">
        <v>298918139</v>
      </c>
      <c r="J3001">
        <v>-260363017</v>
      </c>
      <c r="K3001">
        <v>-94409504</v>
      </c>
      <c r="L3001">
        <v>-157824862</v>
      </c>
      <c r="M3001">
        <v>-173782370</v>
      </c>
      <c r="N3001">
        <v>-57535818</v>
      </c>
      <c r="O3001">
        <v>-1313012</v>
      </c>
      <c r="P3001">
        <v>452</v>
      </c>
      <c r="Q3001" t="s">
        <v>6046</v>
      </c>
    </row>
    <row r="3002" spans="1:17" x14ac:dyDescent="0.3">
      <c r="A3002" t="s">
        <v>4382</v>
      </c>
      <c r="B3002" t="str">
        <f>"002319"</f>
        <v>002319</v>
      </c>
      <c r="C3002" t="s">
        <v>6047</v>
      </c>
      <c r="D3002" t="s">
        <v>133</v>
      </c>
      <c r="F3002">
        <v>6601435</v>
      </c>
      <c r="G3002">
        <v>21566469</v>
      </c>
      <c r="H3002">
        <v>18268826</v>
      </c>
      <c r="I3002">
        <v>62798583</v>
      </c>
      <c r="J3002">
        <v>46790355</v>
      </c>
      <c r="K3002">
        <v>51471363</v>
      </c>
      <c r="L3002">
        <v>31541976</v>
      </c>
      <c r="M3002">
        <v>-56808024</v>
      </c>
      <c r="N3002">
        <v>-121542301</v>
      </c>
      <c r="O3002">
        <v>-11238409</v>
      </c>
      <c r="P3002">
        <v>55</v>
      </c>
      <c r="Q3002" t="s">
        <v>6048</v>
      </c>
    </row>
    <row r="3003" spans="1:17" x14ac:dyDescent="0.3">
      <c r="A3003" t="s">
        <v>4382</v>
      </c>
      <c r="B3003" t="str">
        <f>"002320"</f>
        <v>002320</v>
      </c>
      <c r="C3003" t="s">
        <v>6049</v>
      </c>
      <c r="D3003" t="s">
        <v>22</v>
      </c>
      <c r="F3003">
        <v>-753314641</v>
      </c>
      <c r="G3003">
        <v>217713002</v>
      </c>
      <c r="H3003">
        <v>256161017</v>
      </c>
      <c r="I3003">
        <v>135576768</v>
      </c>
      <c r="J3003">
        <v>354432653</v>
      </c>
      <c r="K3003">
        <v>181685116</v>
      </c>
      <c r="L3003">
        <v>72595996</v>
      </c>
      <c r="M3003">
        <v>-229087834</v>
      </c>
      <c r="N3003">
        <v>-268211834</v>
      </c>
      <c r="O3003">
        <v>-62166198</v>
      </c>
      <c r="P3003">
        <v>174</v>
      </c>
      <c r="Q3003" t="s">
        <v>6050</v>
      </c>
    </row>
    <row r="3004" spans="1:17" x14ac:dyDescent="0.3">
      <c r="A3004" t="s">
        <v>4382</v>
      </c>
      <c r="B3004" t="str">
        <f>"002321"</f>
        <v>002321</v>
      </c>
      <c r="C3004" t="s">
        <v>6051</v>
      </c>
      <c r="D3004" t="s">
        <v>205</v>
      </c>
      <c r="F3004">
        <v>120182327</v>
      </c>
      <c r="G3004">
        <v>-2943720</v>
      </c>
      <c r="H3004">
        <v>-153978864</v>
      </c>
      <c r="I3004">
        <v>247843347</v>
      </c>
      <c r="J3004">
        <v>-996877099</v>
      </c>
      <c r="K3004">
        <v>-262019839</v>
      </c>
      <c r="L3004">
        <v>-12270192</v>
      </c>
      <c r="M3004">
        <v>-180162000</v>
      </c>
      <c r="N3004">
        <v>-67451084</v>
      </c>
      <c r="O3004">
        <v>-208992898</v>
      </c>
      <c r="P3004">
        <v>111</v>
      </c>
      <c r="Q3004" t="s">
        <v>6052</v>
      </c>
    </row>
    <row r="3005" spans="1:17" x14ac:dyDescent="0.3">
      <c r="A3005" t="s">
        <v>4382</v>
      </c>
      <c r="B3005" t="str">
        <f>"002322"</f>
        <v>002322</v>
      </c>
      <c r="C3005" t="s">
        <v>6053</v>
      </c>
      <c r="D3005" t="s">
        <v>212</v>
      </c>
      <c r="F3005">
        <v>63437587</v>
      </c>
      <c r="G3005">
        <v>85727358</v>
      </c>
      <c r="H3005">
        <v>88314360</v>
      </c>
      <c r="I3005">
        <v>-123785544</v>
      </c>
      <c r="J3005">
        <v>19179613</v>
      </c>
      <c r="K3005">
        <v>-188148138</v>
      </c>
      <c r="L3005">
        <v>228076314</v>
      </c>
      <c r="M3005">
        <v>84123602</v>
      </c>
      <c r="N3005">
        <v>52443371</v>
      </c>
      <c r="O3005">
        <v>-50463801</v>
      </c>
      <c r="P3005">
        <v>180</v>
      </c>
      <c r="Q3005" t="s">
        <v>6054</v>
      </c>
    </row>
    <row r="3006" spans="1:17" x14ac:dyDescent="0.3">
      <c r="A3006" t="s">
        <v>4382</v>
      </c>
      <c r="B3006" t="str">
        <f>"002323"</f>
        <v>002323</v>
      </c>
      <c r="C3006" t="s">
        <v>6055</v>
      </c>
      <c r="D3006" t="s">
        <v>350</v>
      </c>
      <c r="F3006">
        <v>9073450</v>
      </c>
      <c r="G3006">
        <v>-2610947</v>
      </c>
      <c r="H3006">
        <v>1223567</v>
      </c>
      <c r="I3006">
        <v>54476349</v>
      </c>
      <c r="J3006">
        <v>-301917866</v>
      </c>
      <c r="K3006">
        <v>-252960157</v>
      </c>
      <c r="L3006">
        <v>-36756811</v>
      </c>
      <c r="M3006">
        <v>4923215</v>
      </c>
      <c r="N3006">
        <v>-26046057</v>
      </c>
      <c r="O3006">
        <v>-41175478</v>
      </c>
      <c r="P3006">
        <v>78</v>
      </c>
      <c r="Q3006" t="s">
        <v>6056</v>
      </c>
    </row>
    <row r="3007" spans="1:17" x14ac:dyDescent="0.3">
      <c r="A3007" t="s">
        <v>4382</v>
      </c>
      <c r="B3007" t="str">
        <f>"002324"</f>
        <v>002324</v>
      </c>
      <c r="C3007" t="s">
        <v>6057</v>
      </c>
      <c r="D3007" t="s">
        <v>133</v>
      </c>
      <c r="F3007">
        <v>229423023</v>
      </c>
      <c r="G3007">
        <v>245915291</v>
      </c>
      <c r="H3007">
        <v>414746233</v>
      </c>
      <c r="I3007">
        <v>12432124</v>
      </c>
      <c r="J3007">
        <v>-152592722</v>
      </c>
      <c r="K3007">
        <v>99081682</v>
      </c>
      <c r="L3007">
        <v>88339035</v>
      </c>
      <c r="M3007">
        <v>27625251</v>
      </c>
      <c r="N3007">
        <v>-168692050</v>
      </c>
      <c r="O3007">
        <v>-147049283</v>
      </c>
      <c r="P3007">
        <v>212</v>
      </c>
      <c r="Q3007" t="s">
        <v>6058</v>
      </c>
    </row>
    <row r="3008" spans="1:17" x14ac:dyDescent="0.3">
      <c r="A3008" t="s">
        <v>4382</v>
      </c>
      <c r="B3008" t="str">
        <f>"002325"</f>
        <v>002325</v>
      </c>
      <c r="C3008" t="s">
        <v>6059</v>
      </c>
      <c r="D3008" t="s">
        <v>95</v>
      </c>
      <c r="F3008">
        <v>-143174438</v>
      </c>
      <c r="G3008">
        <v>439225268</v>
      </c>
      <c r="H3008">
        <v>71554697</v>
      </c>
      <c r="I3008">
        <v>114465564</v>
      </c>
      <c r="J3008">
        <v>-636006772</v>
      </c>
      <c r="K3008">
        <v>-1143196676</v>
      </c>
      <c r="L3008">
        <v>-180456432</v>
      </c>
      <c r="M3008">
        <v>-192717371</v>
      </c>
      <c r="N3008">
        <v>-296138279</v>
      </c>
      <c r="O3008">
        <v>-234828742</v>
      </c>
      <c r="P3008">
        <v>171</v>
      </c>
      <c r="Q3008" t="s">
        <v>6060</v>
      </c>
    </row>
    <row r="3009" spans="1:17" x14ac:dyDescent="0.3">
      <c r="A3009" t="s">
        <v>4382</v>
      </c>
      <c r="B3009" t="str">
        <f>"002326"</f>
        <v>002326</v>
      </c>
      <c r="C3009" t="s">
        <v>6061</v>
      </c>
      <c r="D3009" t="s">
        <v>133</v>
      </c>
      <c r="F3009">
        <v>-132923208</v>
      </c>
      <c r="G3009">
        <v>-276980772</v>
      </c>
      <c r="H3009">
        <v>-21005440</v>
      </c>
      <c r="I3009">
        <v>-3023846</v>
      </c>
      <c r="J3009">
        <v>-655715322</v>
      </c>
      <c r="K3009">
        <v>-133678636</v>
      </c>
      <c r="L3009">
        <v>-50819039</v>
      </c>
      <c r="M3009">
        <v>66639828</v>
      </c>
      <c r="N3009">
        <v>-154546841</v>
      </c>
      <c r="O3009">
        <v>-66023744</v>
      </c>
      <c r="P3009">
        <v>299</v>
      </c>
      <c r="Q3009" t="s">
        <v>6062</v>
      </c>
    </row>
    <row r="3010" spans="1:17" x14ac:dyDescent="0.3">
      <c r="A3010" t="s">
        <v>4382</v>
      </c>
      <c r="B3010" t="str">
        <f>"002327"</f>
        <v>002327</v>
      </c>
      <c r="C3010" t="s">
        <v>6063</v>
      </c>
      <c r="D3010" t="s">
        <v>227</v>
      </c>
      <c r="F3010">
        <v>93043726</v>
      </c>
      <c r="G3010">
        <v>30779080</v>
      </c>
      <c r="H3010">
        <v>533863068</v>
      </c>
      <c r="I3010">
        <v>-314538067</v>
      </c>
      <c r="J3010">
        <v>-310343741</v>
      </c>
      <c r="K3010">
        <v>-104426748</v>
      </c>
      <c r="L3010">
        <v>-78368172</v>
      </c>
      <c r="M3010">
        <v>76373729</v>
      </c>
      <c r="N3010">
        <v>-95383469</v>
      </c>
      <c r="O3010">
        <v>126007137</v>
      </c>
      <c r="P3010">
        <v>1305</v>
      </c>
      <c r="Q3010" t="s">
        <v>6064</v>
      </c>
    </row>
    <row r="3011" spans="1:17" x14ac:dyDescent="0.3">
      <c r="A3011" t="s">
        <v>4382</v>
      </c>
      <c r="B3011" t="str">
        <f>"002328"</f>
        <v>002328</v>
      </c>
      <c r="C3011" t="s">
        <v>6065</v>
      </c>
      <c r="D3011" t="s">
        <v>27</v>
      </c>
      <c r="F3011">
        <v>90584737</v>
      </c>
      <c r="G3011">
        <v>145098979</v>
      </c>
      <c r="H3011">
        <v>207874819</v>
      </c>
      <c r="I3011">
        <v>4722225</v>
      </c>
      <c r="J3011">
        <v>80155515</v>
      </c>
      <c r="K3011">
        <v>294672015</v>
      </c>
      <c r="L3011">
        <v>-123729342</v>
      </c>
      <c r="M3011">
        <v>255258036</v>
      </c>
      <c r="N3011">
        <v>-154236122</v>
      </c>
      <c r="O3011">
        <v>-257101327</v>
      </c>
      <c r="P3011">
        <v>110</v>
      </c>
      <c r="Q3011" t="s">
        <v>6066</v>
      </c>
    </row>
    <row r="3012" spans="1:17" x14ac:dyDescent="0.3">
      <c r="A3012" t="s">
        <v>4382</v>
      </c>
      <c r="B3012" t="str">
        <f>"002329"</f>
        <v>002329</v>
      </c>
      <c r="C3012" t="s">
        <v>6067</v>
      </c>
      <c r="D3012" t="s">
        <v>123</v>
      </c>
      <c r="F3012">
        <v>-274122563</v>
      </c>
      <c r="G3012">
        <v>-352668796</v>
      </c>
      <c r="H3012">
        <v>-178325499</v>
      </c>
      <c r="I3012">
        <v>-252030971</v>
      </c>
      <c r="J3012">
        <v>30090654</v>
      </c>
      <c r="K3012">
        <v>-274840501</v>
      </c>
      <c r="L3012">
        <v>-52522610</v>
      </c>
      <c r="M3012">
        <v>10367304</v>
      </c>
      <c r="N3012">
        <v>16694401</v>
      </c>
      <c r="O3012">
        <v>-156006714</v>
      </c>
      <c r="P3012">
        <v>186</v>
      </c>
      <c r="Q3012" t="s">
        <v>6068</v>
      </c>
    </row>
    <row r="3013" spans="1:17" x14ac:dyDescent="0.3">
      <c r="A3013" t="s">
        <v>4382</v>
      </c>
      <c r="B3013" t="str">
        <f>"002330"</f>
        <v>002330</v>
      </c>
      <c r="C3013" t="s">
        <v>6069</v>
      </c>
      <c r="D3013" t="s">
        <v>123</v>
      </c>
      <c r="F3013">
        <v>-178159966</v>
      </c>
      <c r="G3013">
        <v>94254528</v>
      </c>
      <c r="H3013">
        <v>-25878842</v>
      </c>
      <c r="I3013">
        <v>-66370740</v>
      </c>
      <c r="J3013">
        <v>-1711690</v>
      </c>
      <c r="K3013">
        <v>-6004178</v>
      </c>
      <c r="L3013">
        <v>60315837</v>
      </c>
      <c r="M3013">
        <v>-32854542</v>
      </c>
      <c r="N3013">
        <v>-9372205</v>
      </c>
      <c r="O3013">
        <v>-10269398</v>
      </c>
      <c r="P3013">
        <v>540</v>
      </c>
      <c r="Q3013" t="s">
        <v>6070</v>
      </c>
    </row>
    <row r="3014" spans="1:17" x14ac:dyDescent="0.3">
      <c r="A3014" t="s">
        <v>4382</v>
      </c>
      <c r="B3014" t="str">
        <f>"002331"</f>
        <v>002331</v>
      </c>
      <c r="C3014" t="s">
        <v>6071</v>
      </c>
      <c r="D3014" t="s">
        <v>212</v>
      </c>
      <c r="F3014">
        <v>-265018036</v>
      </c>
      <c r="G3014">
        <v>-234056073</v>
      </c>
      <c r="H3014">
        <v>-162119472</v>
      </c>
      <c r="I3014">
        <v>-232407983</v>
      </c>
      <c r="J3014">
        <v>-248427756</v>
      </c>
      <c r="K3014">
        <v>-48479870</v>
      </c>
      <c r="L3014">
        <v>-26831868</v>
      </c>
      <c r="M3014">
        <v>-151363472</v>
      </c>
      <c r="N3014">
        <v>-62841756</v>
      </c>
      <c r="O3014">
        <v>-63526635</v>
      </c>
      <c r="P3014">
        <v>121</v>
      </c>
      <c r="Q3014" t="s">
        <v>6072</v>
      </c>
    </row>
    <row r="3015" spans="1:17" x14ac:dyDescent="0.3">
      <c r="A3015" t="s">
        <v>4382</v>
      </c>
      <c r="B3015" t="str">
        <f>"002332"</f>
        <v>002332</v>
      </c>
      <c r="C3015" t="s">
        <v>6073</v>
      </c>
      <c r="D3015" t="s">
        <v>113</v>
      </c>
      <c r="F3015">
        <v>348605897</v>
      </c>
      <c r="G3015">
        <v>346008922</v>
      </c>
      <c r="H3015">
        <v>151492273</v>
      </c>
      <c r="I3015">
        <v>13362692</v>
      </c>
      <c r="J3015">
        <v>-4977473</v>
      </c>
      <c r="K3015">
        <v>-21786699</v>
      </c>
      <c r="L3015">
        <v>-27102917</v>
      </c>
      <c r="M3015">
        <v>-149256451</v>
      </c>
      <c r="N3015">
        <v>-189211571</v>
      </c>
      <c r="O3015">
        <v>-233480576</v>
      </c>
      <c r="P3015">
        <v>388</v>
      </c>
      <c r="Q3015" t="s">
        <v>6074</v>
      </c>
    </row>
    <row r="3016" spans="1:17" x14ac:dyDescent="0.3">
      <c r="A3016" t="s">
        <v>4382</v>
      </c>
      <c r="B3016" t="str">
        <f>"002333"</f>
        <v>002333</v>
      </c>
      <c r="C3016" t="s">
        <v>6075</v>
      </c>
      <c r="D3016" t="s">
        <v>350</v>
      </c>
      <c r="F3016">
        <v>-289788992</v>
      </c>
      <c r="G3016">
        <v>-51501251</v>
      </c>
      <c r="H3016">
        <v>-23440172</v>
      </c>
      <c r="I3016">
        <v>-53739825</v>
      </c>
      <c r="J3016">
        <v>-105439089</v>
      </c>
      <c r="K3016">
        <v>-139200366</v>
      </c>
      <c r="L3016">
        <v>-145168183</v>
      </c>
      <c r="M3016">
        <v>-30311204</v>
      </c>
      <c r="N3016">
        <v>-101082735</v>
      </c>
      <c r="O3016">
        <v>-154336014</v>
      </c>
      <c r="P3016">
        <v>59</v>
      </c>
      <c r="Q3016" t="s">
        <v>6076</v>
      </c>
    </row>
    <row r="3017" spans="1:17" x14ac:dyDescent="0.3">
      <c r="A3017" t="s">
        <v>4382</v>
      </c>
      <c r="B3017" t="str">
        <f>"002334"</f>
        <v>002334</v>
      </c>
      <c r="C3017" t="s">
        <v>6077</v>
      </c>
      <c r="D3017" t="s">
        <v>78</v>
      </c>
      <c r="F3017">
        <v>-116143121</v>
      </c>
      <c r="G3017">
        <v>171347365</v>
      </c>
      <c r="H3017">
        <v>28614260</v>
      </c>
      <c r="I3017">
        <v>-240951328</v>
      </c>
      <c r="J3017">
        <v>-247070649</v>
      </c>
      <c r="K3017">
        <v>-106223741</v>
      </c>
      <c r="L3017">
        <v>-61132029</v>
      </c>
      <c r="M3017">
        <v>1295887</v>
      </c>
      <c r="N3017">
        <v>81569090</v>
      </c>
      <c r="O3017">
        <v>-12137116</v>
      </c>
      <c r="P3017">
        <v>222</v>
      </c>
      <c r="Q3017" t="s">
        <v>6078</v>
      </c>
    </row>
    <row r="3018" spans="1:17" x14ac:dyDescent="0.3">
      <c r="A3018" t="s">
        <v>4382</v>
      </c>
      <c r="B3018" t="str">
        <f>"002335"</f>
        <v>002335</v>
      </c>
      <c r="C3018" t="s">
        <v>6079</v>
      </c>
      <c r="D3018" t="s">
        <v>188</v>
      </c>
      <c r="F3018">
        <v>-273659216</v>
      </c>
      <c r="G3018">
        <v>-289419018</v>
      </c>
      <c r="H3018">
        <v>-268863236</v>
      </c>
      <c r="I3018">
        <v>-505739669</v>
      </c>
      <c r="J3018">
        <v>-435597598</v>
      </c>
      <c r="K3018">
        <v>-806129572</v>
      </c>
      <c r="L3018">
        <v>-323217426</v>
      </c>
      <c r="M3018">
        <v>-196034854</v>
      </c>
      <c r="N3018">
        <v>-186334561</v>
      </c>
      <c r="O3018">
        <v>-87262073</v>
      </c>
      <c r="P3018">
        <v>431</v>
      </c>
      <c r="Q3018" t="s">
        <v>6080</v>
      </c>
    </row>
    <row r="3019" spans="1:17" x14ac:dyDescent="0.3">
      <c r="A3019" t="s">
        <v>4382</v>
      </c>
      <c r="B3019" t="str">
        <f>"002336"</f>
        <v>002336</v>
      </c>
      <c r="C3019" t="s">
        <v>6081</v>
      </c>
      <c r="D3019" t="s">
        <v>120</v>
      </c>
      <c r="F3019">
        <v>140736436</v>
      </c>
      <c r="G3019">
        <v>-180844480</v>
      </c>
      <c r="H3019">
        <v>-67251434</v>
      </c>
      <c r="I3019">
        <v>-265910122</v>
      </c>
      <c r="J3019">
        <v>46733542</v>
      </c>
      <c r="K3019">
        <v>-12273705</v>
      </c>
      <c r="L3019">
        <v>-107883930</v>
      </c>
      <c r="M3019">
        <v>-554454877</v>
      </c>
      <c r="N3019">
        <v>282112536</v>
      </c>
      <c r="O3019">
        <v>164852908</v>
      </c>
      <c r="P3019">
        <v>69</v>
      </c>
      <c r="Q3019" t="s">
        <v>6082</v>
      </c>
    </row>
    <row r="3020" spans="1:17" x14ac:dyDescent="0.3">
      <c r="A3020" t="s">
        <v>4382</v>
      </c>
      <c r="B3020" t="str">
        <f>"002337"</f>
        <v>002337</v>
      </c>
      <c r="C3020" t="s">
        <v>6083</v>
      </c>
      <c r="D3020" t="s">
        <v>78</v>
      </c>
      <c r="F3020">
        <v>-10915611</v>
      </c>
      <c r="G3020">
        <v>57366131</v>
      </c>
      <c r="H3020">
        <v>10532871</v>
      </c>
      <c r="I3020">
        <v>-5557128</v>
      </c>
      <c r="J3020">
        <v>101086135</v>
      </c>
      <c r="K3020">
        <v>29933398</v>
      </c>
      <c r="L3020">
        <v>-246865044</v>
      </c>
      <c r="M3020">
        <v>-131488925</v>
      </c>
      <c r="N3020">
        <v>15472358</v>
      </c>
      <c r="O3020">
        <v>-558315</v>
      </c>
      <c r="P3020">
        <v>92</v>
      </c>
      <c r="Q3020" t="s">
        <v>6084</v>
      </c>
    </row>
    <row r="3021" spans="1:17" x14ac:dyDescent="0.3">
      <c r="A3021" t="s">
        <v>4382</v>
      </c>
      <c r="B3021" t="str">
        <f>"002338"</f>
        <v>002338</v>
      </c>
      <c r="C3021" t="s">
        <v>6085</v>
      </c>
      <c r="D3021" t="s">
        <v>92</v>
      </c>
      <c r="F3021">
        <v>-71326749</v>
      </c>
      <c r="G3021">
        <v>-23244587</v>
      </c>
      <c r="H3021">
        <v>7108444</v>
      </c>
      <c r="I3021">
        <v>-47251439</v>
      </c>
      <c r="J3021">
        <v>-68404915</v>
      </c>
      <c r="K3021">
        <v>-62455805</v>
      </c>
      <c r="L3021">
        <v>-40280648</v>
      </c>
      <c r="M3021">
        <v>-40340010</v>
      </c>
      <c r="N3021">
        <v>-7380272</v>
      </c>
      <c r="O3021">
        <v>-77490540</v>
      </c>
      <c r="P3021">
        <v>147</v>
      </c>
      <c r="Q3021" t="s">
        <v>6086</v>
      </c>
    </row>
    <row r="3022" spans="1:17" x14ac:dyDescent="0.3">
      <c r="A3022" t="s">
        <v>4382</v>
      </c>
      <c r="B3022" t="str">
        <f>"002339"</f>
        <v>002339</v>
      </c>
      <c r="C3022" t="s">
        <v>6087</v>
      </c>
      <c r="D3022" t="s">
        <v>188</v>
      </c>
      <c r="F3022">
        <v>-356553174</v>
      </c>
      <c r="G3022">
        <v>-151772234</v>
      </c>
      <c r="H3022">
        <v>-91859521</v>
      </c>
      <c r="I3022">
        <v>-16215702</v>
      </c>
      <c r="J3022">
        <v>-231074214</v>
      </c>
      <c r="K3022">
        <v>-422412738</v>
      </c>
      <c r="L3022">
        <v>-340830941</v>
      </c>
      <c r="M3022">
        <v>-226391413</v>
      </c>
      <c r="N3022">
        <v>-201578962</v>
      </c>
      <c r="O3022">
        <v>-230933381</v>
      </c>
      <c r="P3022">
        <v>120</v>
      </c>
      <c r="Q3022" t="s">
        <v>6088</v>
      </c>
    </row>
    <row r="3023" spans="1:17" x14ac:dyDescent="0.3">
      <c r="A3023" t="s">
        <v>4382</v>
      </c>
      <c r="B3023" t="str">
        <f>"002340"</f>
        <v>002340</v>
      </c>
      <c r="C3023" t="s">
        <v>6089</v>
      </c>
      <c r="D3023" t="s">
        <v>188</v>
      </c>
      <c r="F3023">
        <v>-2217522767</v>
      </c>
      <c r="G3023">
        <v>-918445046</v>
      </c>
      <c r="H3023">
        <v>-468661105</v>
      </c>
      <c r="I3023">
        <v>-816107455</v>
      </c>
      <c r="J3023">
        <v>-586353904</v>
      </c>
      <c r="K3023">
        <v>-1638718905</v>
      </c>
      <c r="L3023">
        <v>-1715504848</v>
      </c>
      <c r="M3023">
        <v>-1279539283</v>
      </c>
      <c r="N3023">
        <v>-914222338</v>
      </c>
      <c r="O3023">
        <v>-931936052</v>
      </c>
      <c r="P3023">
        <v>1303</v>
      </c>
      <c r="Q3023" t="s">
        <v>6090</v>
      </c>
    </row>
    <row r="3024" spans="1:17" x14ac:dyDescent="0.3">
      <c r="A3024" t="s">
        <v>4382</v>
      </c>
      <c r="B3024" t="str">
        <f>"002341"</f>
        <v>002341</v>
      </c>
      <c r="C3024" t="s">
        <v>6091</v>
      </c>
      <c r="D3024" t="s">
        <v>133</v>
      </c>
      <c r="F3024">
        <v>157175888</v>
      </c>
      <c r="G3024">
        <v>250458039</v>
      </c>
      <c r="H3024">
        <v>-755691328</v>
      </c>
      <c r="I3024">
        <v>-962476979</v>
      </c>
      <c r="J3024">
        <v>-375449055</v>
      </c>
      <c r="K3024">
        <v>-351582108</v>
      </c>
      <c r="L3024">
        <v>-266884146</v>
      </c>
      <c r="M3024">
        <v>-219488508</v>
      </c>
      <c r="N3024">
        <v>-415942478</v>
      </c>
      <c r="O3024">
        <v>-195896528</v>
      </c>
      <c r="P3024">
        <v>276</v>
      </c>
      <c r="Q3024" t="s">
        <v>6092</v>
      </c>
    </row>
    <row r="3025" spans="1:17" x14ac:dyDescent="0.3">
      <c r="A3025" t="s">
        <v>4382</v>
      </c>
      <c r="B3025" t="str">
        <f>"002342"</f>
        <v>002342</v>
      </c>
      <c r="C3025" t="s">
        <v>6093</v>
      </c>
      <c r="D3025" t="s">
        <v>78</v>
      </c>
      <c r="F3025">
        <v>62234476</v>
      </c>
      <c r="G3025">
        <v>5419447</v>
      </c>
      <c r="H3025">
        <v>-42104056</v>
      </c>
      <c r="I3025">
        <v>-22063409</v>
      </c>
      <c r="J3025">
        <v>-11263880</v>
      </c>
      <c r="K3025">
        <v>-5048572</v>
      </c>
      <c r="L3025">
        <v>102386918</v>
      </c>
      <c r="M3025">
        <v>251792449</v>
      </c>
      <c r="N3025">
        <v>20895798</v>
      </c>
      <c r="O3025">
        <v>-178246620</v>
      </c>
      <c r="P3025">
        <v>112</v>
      </c>
      <c r="Q3025" t="s">
        <v>6094</v>
      </c>
    </row>
    <row r="3026" spans="1:17" x14ac:dyDescent="0.3">
      <c r="A3026" t="s">
        <v>4382</v>
      </c>
      <c r="B3026" t="str">
        <f>"002343"</f>
        <v>002343</v>
      </c>
      <c r="C3026" t="s">
        <v>6095</v>
      </c>
      <c r="D3026" t="s">
        <v>89</v>
      </c>
      <c r="F3026">
        <v>-36083408</v>
      </c>
      <c r="G3026">
        <v>-68287426</v>
      </c>
      <c r="H3026">
        <v>217233707</v>
      </c>
      <c r="I3026">
        <v>-191377198</v>
      </c>
      <c r="J3026">
        <v>-38695548</v>
      </c>
      <c r="K3026">
        <v>-4295016</v>
      </c>
      <c r="L3026">
        <v>-154893852</v>
      </c>
      <c r="M3026">
        <v>12446854</v>
      </c>
      <c r="N3026">
        <v>-16779934</v>
      </c>
      <c r="O3026">
        <v>-4515188</v>
      </c>
      <c r="P3026">
        <v>183</v>
      </c>
      <c r="Q3026" t="s">
        <v>6096</v>
      </c>
    </row>
    <row r="3027" spans="1:17" x14ac:dyDescent="0.3">
      <c r="A3027" t="s">
        <v>4382</v>
      </c>
      <c r="B3027" t="str">
        <f>"002344"</f>
        <v>002344</v>
      </c>
      <c r="C3027" t="s">
        <v>6097</v>
      </c>
      <c r="D3027" t="s">
        <v>120</v>
      </c>
      <c r="F3027">
        <v>364862907</v>
      </c>
      <c r="G3027">
        <v>265948693</v>
      </c>
      <c r="H3027">
        <v>596710584</v>
      </c>
      <c r="I3027">
        <v>339711702</v>
      </c>
      <c r="J3027">
        <v>15683056</v>
      </c>
      <c r="K3027">
        <v>-123502095</v>
      </c>
      <c r="L3027">
        <v>-703172907</v>
      </c>
      <c r="M3027">
        <v>-533441456</v>
      </c>
      <c r="N3027">
        <v>630238604</v>
      </c>
      <c r="O3027">
        <v>302261817</v>
      </c>
      <c r="P3027">
        <v>145</v>
      </c>
      <c r="Q3027" t="s">
        <v>6098</v>
      </c>
    </row>
    <row r="3028" spans="1:17" x14ac:dyDescent="0.3">
      <c r="A3028" t="s">
        <v>4382</v>
      </c>
      <c r="B3028" t="str">
        <f>"002345"</f>
        <v>002345</v>
      </c>
      <c r="C3028" t="s">
        <v>6099</v>
      </c>
      <c r="D3028" t="s">
        <v>227</v>
      </c>
      <c r="F3028">
        <v>64479208</v>
      </c>
      <c r="G3028">
        <v>243377469</v>
      </c>
      <c r="H3028">
        <v>143877692</v>
      </c>
      <c r="I3028">
        <v>106960319</v>
      </c>
      <c r="J3028">
        <v>232104782</v>
      </c>
      <c r="K3028">
        <v>263401099</v>
      </c>
      <c r="L3028">
        <v>263570996</v>
      </c>
      <c r="M3028">
        <v>181314237</v>
      </c>
      <c r="N3028">
        <v>195833087</v>
      </c>
      <c r="O3028">
        <v>43938260</v>
      </c>
      <c r="P3028">
        <v>137</v>
      </c>
      <c r="Q3028" t="s">
        <v>6100</v>
      </c>
    </row>
    <row r="3029" spans="1:17" x14ac:dyDescent="0.3">
      <c r="A3029" t="s">
        <v>4382</v>
      </c>
      <c r="B3029" t="str">
        <f>"002346"</f>
        <v>002346</v>
      </c>
      <c r="C3029" t="s">
        <v>6101</v>
      </c>
      <c r="D3029" t="s">
        <v>188</v>
      </c>
      <c r="F3029">
        <v>110406565</v>
      </c>
      <c r="G3029">
        <v>-66016906</v>
      </c>
      <c r="H3029">
        <v>142362842</v>
      </c>
      <c r="I3029">
        <v>113800496</v>
      </c>
      <c r="J3029">
        <v>305979276</v>
      </c>
      <c r="K3029">
        <v>87356002</v>
      </c>
      <c r="L3029">
        <v>-47647660</v>
      </c>
      <c r="M3029">
        <v>-24943214</v>
      </c>
      <c r="N3029">
        <v>9782415</v>
      </c>
      <c r="O3029">
        <v>-91152630</v>
      </c>
      <c r="P3029">
        <v>105</v>
      </c>
      <c r="Q3029" t="s">
        <v>6102</v>
      </c>
    </row>
    <row r="3030" spans="1:17" x14ac:dyDescent="0.3">
      <c r="A3030" t="s">
        <v>4382</v>
      </c>
      <c r="B3030" t="str">
        <f>"002347"</f>
        <v>002347</v>
      </c>
      <c r="C3030" t="s">
        <v>6103</v>
      </c>
      <c r="D3030" t="s">
        <v>78</v>
      </c>
      <c r="F3030">
        <v>67074241</v>
      </c>
      <c r="G3030">
        <v>15434062</v>
      </c>
      <c r="H3030">
        <v>11575007</v>
      </c>
      <c r="I3030">
        <v>-72182499</v>
      </c>
      <c r="J3030">
        <v>-76814061</v>
      </c>
      <c r="K3030">
        <v>-116474493</v>
      </c>
      <c r="L3030">
        <v>-99538237</v>
      </c>
      <c r="M3030">
        <v>-71901131</v>
      </c>
      <c r="N3030">
        <v>-70927257</v>
      </c>
      <c r="O3030">
        <v>-98114124</v>
      </c>
      <c r="P3030">
        <v>75</v>
      </c>
      <c r="Q3030" t="s">
        <v>6104</v>
      </c>
    </row>
    <row r="3031" spans="1:17" x14ac:dyDescent="0.3">
      <c r="A3031" t="s">
        <v>4382</v>
      </c>
      <c r="B3031" t="str">
        <f>"002348"</f>
        <v>002348</v>
      </c>
      <c r="C3031" t="s">
        <v>6105</v>
      </c>
      <c r="D3031" t="s">
        <v>161</v>
      </c>
      <c r="F3031">
        <v>3753595</v>
      </c>
      <c r="G3031">
        <v>-13368205</v>
      </c>
      <c r="H3031">
        <v>-115459131</v>
      </c>
      <c r="I3031">
        <v>-65959401</v>
      </c>
      <c r="J3031">
        <v>-119035657</v>
      </c>
      <c r="K3031">
        <v>-57328537</v>
      </c>
      <c r="L3031">
        <v>-6091245</v>
      </c>
      <c r="M3031">
        <v>-90301601</v>
      </c>
      <c r="N3031">
        <v>6090672</v>
      </c>
      <c r="O3031">
        <v>-25735507</v>
      </c>
      <c r="P3031">
        <v>112</v>
      </c>
      <c r="Q3031" t="s">
        <v>6106</v>
      </c>
    </row>
    <row r="3032" spans="1:17" x14ac:dyDescent="0.3">
      <c r="A3032" t="s">
        <v>4382</v>
      </c>
      <c r="B3032" t="str">
        <f>"002349"</f>
        <v>002349</v>
      </c>
      <c r="C3032" t="s">
        <v>6107</v>
      </c>
      <c r="D3032" t="s">
        <v>113</v>
      </c>
      <c r="F3032">
        <v>185878267</v>
      </c>
      <c r="G3032">
        <v>122509961</v>
      </c>
      <c r="H3032">
        <v>26302463</v>
      </c>
      <c r="I3032">
        <v>-95723126</v>
      </c>
      <c r="J3032">
        <v>-310578864</v>
      </c>
      <c r="K3032">
        <v>153998576</v>
      </c>
      <c r="L3032">
        <v>-17482615</v>
      </c>
      <c r="M3032">
        <v>1468321</v>
      </c>
      <c r="N3032">
        <v>-87778577</v>
      </c>
      <c r="O3032">
        <v>-108283695</v>
      </c>
      <c r="P3032">
        <v>194</v>
      </c>
      <c r="Q3032" t="s">
        <v>6108</v>
      </c>
    </row>
    <row r="3033" spans="1:17" x14ac:dyDescent="0.3">
      <c r="A3033" t="s">
        <v>4382</v>
      </c>
      <c r="B3033" t="str">
        <f>"002350"</f>
        <v>002350</v>
      </c>
      <c r="C3033" t="s">
        <v>6109</v>
      </c>
      <c r="D3033" t="s">
        <v>188</v>
      </c>
      <c r="F3033">
        <v>-179329538</v>
      </c>
      <c r="G3033">
        <v>-81918418</v>
      </c>
      <c r="H3033">
        <v>-65605242</v>
      </c>
      <c r="I3033">
        <v>-239153047</v>
      </c>
      <c r="J3033">
        <v>-224356194</v>
      </c>
      <c r="K3033">
        <v>-67872073</v>
      </c>
      <c r="L3033">
        <v>-185270495</v>
      </c>
      <c r="M3033">
        <v>-179306980</v>
      </c>
      <c r="N3033">
        <v>-91064545</v>
      </c>
      <c r="O3033">
        <v>-177800825</v>
      </c>
      <c r="P3033">
        <v>104</v>
      </c>
      <c r="Q3033" t="s">
        <v>6110</v>
      </c>
    </row>
    <row r="3034" spans="1:17" x14ac:dyDescent="0.3">
      <c r="A3034" t="s">
        <v>4382</v>
      </c>
      <c r="B3034" t="str">
        <f>"002351"</f>
        <v>002351</v>
      </c>
      <c r="C3034" t="s">
        <v>6111</v>
      </c>
      <c r="D3034" t="s">
        <v>150</v>
      </c>
      <c r="F3034">
        <v>43105789</v>
      </c>
      <c r="G3034">
        <v>185873717</v>
      </c>
      <c r="H3034">
        <v>11475687</v>
      </c>
      <c r="I3034">
        <v>-59304508</v>
      </c>
      <c r="J3034">
        <v>-24904338</v>
      </c>
      <c r="K3034">
        <v>-76762548</v>
      </c>
      <c r="L3034">
        <v>-33278011</v>
      </c>
      <c r="M3034">
        <v>34615833</v>
      </c>
      <c r="N3034">
        <v>553585657</v>
      </c>
      <c r="O3034">
        <v>251850175</v>
      </c>
      <c r="P3034">
        <v>339</v>
      </c>
      <c r="Q3034" t="s">
        <v>6112</v>
      </c>
    </row>
    <row r="3035" spans="1:17" x14ac:dyDescent="0.3">
      <c r="A3035" t="s">
        <v>4382</v>
      </c>
      <c r="B3035" t="str">
        <f>"002352"</f>
        <v>002352</v>
      </c>
      <c r="C3035" t="s">
        <v>6113</v>
      </c>
      <c r="D3035" t="s">
        <v>22</v>
      </c>
      <c r="F3035">
        <v>-4926905988</v>
      </c>
      <c r="G3035">
        <v>3244752312</v>
      </c>
      <c r="H3035">
        <v>3088825198</v>
      </c>
      <c r="I3035">
        <v>-3343938162</v>
      </c>
      <c r="J3035">
        <v>392651968</v>
      </c>
      <c r="K3035">
        <v>1335213</v>
      </c>
      <c r="L3035">
        <v>118367275</v>
      </c>
      <c r="M3035">
        <v>37520666</v>
      </c>
      <c r="N3035">
        <v>-129807084</v>
      </c>
      <c r="O3035">
        <v>-9926941</v>
      </c>
      <c r="P3035">
        <v>3730</v>
      </c>
      <c r="Q3035" t="s">
        <v>6114</v>
      </c>
    </row>
    <row r="3036" spans="1:17" x14ac:dyDescent="0.3">
      <c r="A3036" t="s">
        <v>4382</v>
      </c>
      <c r="B3036" t="str">
        <f>"002353"</f>
        <v>002353</v>
      </c>
      <c r="C3036" t="s">
        <v>6115</v>
      </c>
      <c r="D3036" t="s">
        <v>78</v>
      </c>
      <c r="F3036">
        <v>-386292041</v>
      </c>
      <c r="G3036">
        <v>-1527265963</v>
      </c>
      <c r="H3036">
        <v>-1315033751</v>
      </c>
      <c r="I3036">
        <v>-242511258</v>
      </c>
      <c r="J3036">
        <v>158887706</v>
      </c>
      <c r="K3036">
        <v>137836600</v>
      </c>
      <c r="L3036">
        <v>-451444190</v>
      </c>
      <c r="M3036">
        <v>90082293</v>
      </c>
      <c r="N3036">
        <v>-361902467</v>
      </c>
      <c r="O3036">
        <v>-634334479</v>
      </c>
      <c r="P3036">
        <v>861</v>
      </c>
      <c r="Q3036" t="s">
        <v>6116</v>
      </c>
    </row>
    <row r="3037" spans="1:17" x14ac:dyDescent="0.3">
      <c r="A3037" t="s">
        <v>4382</v>
      </c>
      <c r="B3037" t="str">
        <f>"002354"</f>
        <v>002354</v>
      </c>
      <c r="C3037" t="s">
        <v>6117</v>
      </c>
      <c r="D3037" t="s">
        <v>89</v>
      </c>
      <c r="F3037">
        <v>-139288045</v>
      </c>
      <c r="G3037">
        <v>78331888</v>
      </c>
      <c r="H3037">
        <v>-101317694</v>
      </c>
      <c r="I3037">
        <v>-133549889</v>
      </c>
      <c r="J3037">
        <v>598557090</v>
      </c>
      <c r="K3037">
        <v>270013783</v>
      </c>
      <c r="L3037">
        <v>211380388</v>
      </c>
      <c r="M3037">
        <v>88005630</v>
      </c>
      <c r="N3037">
        <v>-77858276</v>
      </c>
      <c r="O3037">
        <v>-45841594</v>
      </c>
      <c r="P3037">
        <v>265</v>
      </c>
      <c r="Q3037" t="s">
        <v>6118</v>
      </c>
    </row>
    <row r="3038" spans="1:17" x14ac:dyDescent="0.3">
      <c r="A3038" t="s">
        <v>4382</v>
      </c>
      <c r="B3038" t="str">
        <f>"002355"</f>
        <v>002355</v>
      </c>
      <c r="C3038" t="s">
        <v>6119</v>
      </c>
      <c r="D3038" t="s">
        <v>27</v>
      </c>
      <c r="F3038">
        <v>218807959</v>
      </c>
      <c r="G3038">
        <v>-182031625</v>
      </c>
      <c r="H3038">
        <v>21281051</v>
      </c>
      <c r="I3038">
        <v>-176653346</v>
      </c>
      <c r="J3038">
        <v>40829234</v>
      </c>
      <c r="K3038">
        <v>70684712</v>
      </c>
      <c r="L3038">
        <v>25679542</v>
      </c>
      <c r="M3038">
        <v>-120810658</v>
      </c>
      <c r="N3038">
        <v>-177117729</v>
      </c>
      <c r="O3038">
        <v>-134796256</v>
      </c>
      <c r="P3038">
        <v>120</v>
      </c>
      <c r="Q3038" t="s">
        <v>6120</v>
      </c>
    </row>
    <row r="3039" spans="1:17" x14ac:dyDescent="0.3">
      <c r="A3039" t="s">
        <v>4382</v>
      </c>
      <c r="B3039" t="str">
        <f>"002356"</f>
        <v>002356</v>
      </c>
      <c r="C3039" t="s">
        <v>6121</v>
      </c>
      <c r="D3039" t="s">
        <v>120</v>
      </c>
      <c r="F3039">
        <v>-20553572</v>
      </c>
      <c r="G3039">
        <v>29924170</v>
      </c>
      <c r="H3039">
        <v>94085948</v>
      </c>
      <c r="I3039">
        <v>-315772613</v>
      </c>
      <c r="J3039">
        <v>-283048238</v>
      </c>
      <c r="K3039">
        <v>-491953942</v>
      </c>
      <c r="L3039">
        <v>-332809849</v>
      </c>
      <c r="M3039">
        <v>-141091118</v>
      </c>
      <c r="N3039">
        <v>-168653553</v>
      </c>
      <c r="O3039">
        <v>-111080947</v>
      </c>
      <c r="P3039">
        <v>75</v>
      </c>
      <c r="Q3039" t="s">
        <v>6122</v>
      </c>
    </row>
    <row r="3040" spans="1:17" x14ac:dyDescent="0.3">
      <c r="A3040" t="s">
        <v>4382</v>
      </c>
      <c r="B3040" t="str">
        <f>"002357"</f>
        <v>002357</v>
      </c>
      <c r="C3040" t="s">
        <v>6123</v>
      </c>
      <c r="D3040" t="s">
        <v>22</v>
      </c>
      <c r="F3040">
        <v>-84840457</v>
      </c>
      <c r="G3040">
        <v>-55248274</v>
      </c>
      <c r="H3040">
        <v>127852518</v>
      </c>
      <c r="I3040">
        <v>69484160</v>
      </c>
      <c r="J3040">
        <v>140686719</v>
      </c>
      <c r="K3040">
        <v>70035394</v>
      </c>
      <c r="L3040">
        <v>35398762</v>
      </c>
      <c r="M3040">
        <v>96843092</v>
      </c>
      <c r="N3040">
        <v>87681589</v>
      </c>
      <c r="O3040">
        <v>88806173</v>
      </c>
      <c r="P3040">
        <v>102</v>
      </c>
      <c r="Q3040" t="s">
        <v>6124</v>
      </c>
    </row>
    <row r="3041" spans="1:17" x14ac:dyDescent="0.3">
      <c r="A3041" t="s">
        <v>4382</v>
      </c>
      <c r="B3041" t="str">
        <f>"002358"</f>
        <v>002358</v>
      </c>
      <c r="C3041" t="s">
        <v>6125</v>
      </c>
      <c r="D3041" t="s">
        <v>188</v>
      </c>
      <c r="F3041">
        <v>540042235</v>
      </c>
      <c r="G3041">
        <v>-65921627</v>
      </c>
      <c r="H3041">
        <v>743867586</v>
      </c>
      <c r="I3041">
        <v>-1625109913</v>
      </c>
      <c r="J3041">
        <v>-578039761</v>
      </c>
      <c r="K3041">
        <v>-5815825</v>
      </c>
      <c r="L3041">
        <v>-97458751</v>
      </c>
      <c r="M3041">
        <v>-285300205</v>
      </c>
      <c r="N3041">
        <v>-97975164</v>
      </c>
      <c r="O3041">
        <v>-286478566</v>
      </c>
      <c r="P3041">
        <v>142</v>
      </c>
      <c r="Q3041" t="s">
        <v>6126</v>
      </c>
    </row>
    <row r="3042" spans="1:17" x14ac:dyDescent="0.3">
      <c r="A3042" t="s">
        <v>4382</v>
      </c>
      <c r="B3042" t="str">
        <f>"002359"</f>
        <v>002359</v>
      </c>
      <c r="C3042" t="s">
        <v>6127</v>
      </c>
      <c r="G3042">
        <v>3296916</v>
      </c>
      <c r="H3042">
        <v>-318492936</v>
      </c>
      <c r="I3042">
        <v>-2685658873</v>
      </c>
      <c r="J3042">
        <v>-2449056946</v>
      </c>
      <c r="K3042">
        <v>-72443046</v>
      </c>
      <c r="L3042">
        <v>-52630424</v>
      </c>
      <c r="M3042">
        <v>-8145243</v>
      </c>
      <c r="N3042">
        <v>-335555829</v>
      </c>
      <c r="O3042">
        <v>-148030262</v>
      </c>
      <c r="P3042">
        <v>68</v>
      </c>
      <c r="Q3042" t="s">
        <v>6128</v>
      </c>
    </row>
    <row r="3043" spans="1:17" x14ac:dyDescent="0.3">
      <c r="A3043" t="s">
        <v>4382</v>
      </c>
      <c r="B3043" t="str">
        <f>"002360"</f>
        <v>002360</v>
      </c>
      <c r="C3043" t="s">
        <v>6129</v>
      </c>
      <c r="D3043" t="s">
        <v>133</v>
      </c>
      <c r="F3043">
        <v>-169294925</v>
      </c>
      <c r="G3043">
        <v>47567852</v>
      </c>
      <c r="H3043">
        <v>63214840</v>
      </c>
      <c r="I3043">
        <v>111699022</v>
      </c>
      <c r="J3043">
        <v>61322972</v>
      </c>
      <c r="K3043">
        <v>35085519</v>
      </c>
      <c r="L3043">
        <v>57445015</v>
      </c>
      <c r="M3043">
        <v>45667387</v>
      </c>
      <c r="N3043">
        <v>108309196</v>
      </c>
      <c r="O3043">
        <v>62282786</v>
      </c>
      <c r="P3043">
        <v>111</v>
      </c>
      <c r="Q3043" t="s">
        <v>6130</v>
      </c>
    </row>
    <row r="3044" spans="1:17" x14ac:dyDescent="0.3">
      <c r="A3044" t="s">
        <v>4382</v>
      </c>
      <c r="B3044" t="str">
        <f>"002361"</f>
        <v>002361</v>
      </c>
      <c r="C3044" t="s">
        <v>6131</v>
      </c>
      <c r="D3044" t="s">
        <v>133</v>
      </c>
      <c r="F3044">
        <v>-270805076</v>
      </c>
      <c r="G3044">
        <v>-6612238</v>
      </c>
      <c r="H3044">
        <v>-133050390</v>
      </c>
      <c r="I3044">
        <v>-1196962</v>
      </c>
      <c r="J3044">
        <v>-243584790</v>
      </c>
      <c r="K3044">
        <v>163701611</v>
      </c>
      <c r="L3044">
        <v>108682232</v>
      </c>
      <c r="M3044">
        <v>54448647</v>
      </c>
      <c r="N3044">
        <v>-98555970</v>
      </c>
      <c r="O3044">
        <v>-70327252</v>
      </c>
      <c r="P3044">
        <v>89</v>
      </c>
      <c r="Q3044" t="s">
        <v>6132</v>
      </c>
    </row>
    <row r="3045" spans="1:17" x14ac:dyDescent="0.3">
      <c r="A3045" t="s">
        <v>4382</v>
      </c>
      <c r="B3045" t="str">
        <f>"002362"</f>
        <v>002362</v>
      </c>
      <c r="C3045" t="s">
        <v>6133</v>
      </c>
      <c r="D3045" t="s">
        <v>212</v>
      </c>
      <c r="F3045">
        <v>-205464238</v>
      </c>
      <c r="G3045">
        <v>-128723260</v>
      </c>
      <c r="H3045">
        <v>-38776332</v>
      </c>
      <c r="I3045">
        <v>-45631578</v>
      </c>
      <c r="J3045">
        <v>2702845</v>
      </c>
      <c r="K3045">
        <v>-840766</v>
      </c>
      <c r="L3045">
        <v>-6824092</v>
      </c>
      <c r="M3045">
        <v>14056467</v>
      </c>
      <c r="N3045">
        <v>-17277001</v>
      </c>
      <c r="O3045">
        <v>-109850213</v>
      </c>
      <c r="P3045">
        <v>197</v>
      </c>
      <c r="Q3045" t="s">
        <v>6134</v>
      </c>
    </row>
    <row r="3046" spans="1:17" x14ac:dyDescent="0.3">
      <c r="A3046" t="s">
        <v>4382</v>
      </c>
      <c r="B3046" t="str">
        <f>"002363"</f>
        <v>002363</v>
      </c>
      <c r="C3046" t="s">
        <v>6135</v>
      </c>
      <c r="D3046" t="s">
        <v>27</v>
      </c>
      <c r="F3046">
        <v>2528041</v>
      </c>
      <c r="G3046">
        <v>-36372410</v>
      </c>
      <c r="H3046">
        <v>95623425</v>
      </c>
      <c r="I3046">
        <v>-2946468</v>
      </c>
      <c r="J3046">
        <v>165494327</v>
      </c>
      <c r="K3046">
        <v>70651497</v>
      </c>
      <c r="L3046">
        <v>220002540</v>
      </c>
      <c r="M3046">
        <v>-9371727</v>
      </c>
      <c r="N3046">
        <v>-12931076</v>
      </c>
      <c r="O3046">
        <v>-63850125</v>
      </c>
      <c r="P3046">
        <v>126</v>
      </c>
      <c r="Q3046" t="s">
        <v>6136</v>
      </c>
    </row>
    <row r="3047" spans="1:17" x14ac:dyDescent="0.3">
      <c r="A3047" t="s">
        <v>4382</v>
      </c>
      <c r="B3047" t="str">
        <f>"002364"</f>
        <v>002364</v>
      </c>
      <c r="C3047" t="s">
        <v>6137</v>
      </c>
      <c r="D3047" t="s">
        <v>188</v>
      </c>
      <c r="F3047">
        <v>-157330986</v>
      </c>
      <c r="G3047">
        <v>-264443435</v>
      </c>
      <c r="H3047">
        <v>-60534995</v>
      </c>
      <c r="I3047">
        <v>-54929939</v>
      </c>
      <c r="J3047">
        <v>-103430880</v>
      </c>
      <c r="K3047">
        <v>-55433908</v>
      </c>
      <c r="L3047">
        <v>-74318740</v>
      </c>
      <c r="M3047">
        <v>-153726055</v>
      </c>
      <c r="N3047">
        <v>-115817116</v>
      </c>
      <c r="O3047">
        <v>-79328582</v>
      </c>
      <c r="P3047">
        <v>219</v>
      </c>
      <c r="Q3047" t="s">
        <v>6138</v>
      </c>
    </row>
    <row r="3048" spans="1:17" x14ac:dyDescent="0.3">
      <c r="A3048" t="s">
        <v>4382</v>
      </c>
      <c r="B3048" t="str">
        <f>"002365"</f>
        <v>002365</v>
      </c>
      <c r="C3048" t="s">
        <v>6139</v>
      </c>
      <c r="D3048" t="s">
        <v>113</v>
      </c>
      <c r="F3048">
        <v>-24084634</v>
      </c>
      <c r="G3048">
        <v>42850846</v>
      </c>
      <c r="H3048">
        <v>38532439</v>
      </c>
      <c r="I3048">
        <v>31062242</v>
      </c>
      <c r="J3048">
        <v>-41245066</v>
      </c>
      <c r="K3048">
        <v>52919380</v>
      </c>
      <c r="L3048">
        <v>-1975960</v>
      </c>
      <c r="M3048">
        <v>-50020364</v>
      </c>
      <c r="N3048">
        <v>-48988537</v>
      </c>
      <c r="O3048">
        <v>-28446946</v>
      </c>
      <c r="P3048">
        <v>195</v>
      </c>
      <c r="Q3048" t="s">
        <v>6140</v>
      </c>
    </row>
    <row r="3049" spans="1:17" x14ac:dyDescent="0.3">
      <c r="A3049" t="s">
        <v>4382</v>
      </c>
      <c r="B3049" t="str">
        <f>"002366"</f>
        <v>002366</v>
      </c>
      <c r="C3049" t="s">
        <v>6141</v>
      </c>
      <c r="D3049" t="s">
        <v>188</v>
      </c>
      <c r="F3049">
        <v>18878886</v>
      </c>
      <c r="G3049">
        <v>44363657</v>
      </c>
      <c r="H3049">
        <v>127556524</v>
      </c>
      <c r="I3049">
        <v>62615009</v>
      </c>
      <c r="J3049">
        <v>-387752540</v>
      </c>
      <c r="K3049">
        <v>-282291110</v>
      </c>
      <c r="L3049">
        <v>-181073597</v>
      </c>
      <c r="M3049">
        <v>-4335132</v>
      </c>
      <c r="N3049">
        <v>67013085</v>
      </c>
      <c r="O3049">
        <v>-8940697</v>
      </c>
      <c r="P3049">
        <v>175</v>
      </c>
      <c r="Q3049" t="s">
        <v>6142</v>
      </c>
    </row>
    <row r="3050" spans="1:17" x14ac:dyDescent="0.3">
      <c r="A3050" t="s">
        <v>4382</v>
      </c>
      <c r="B3050" t="str">
        <f>"002367"</f>
        <v>002367</v>
      </c>
      <c r="C3050" t="s">
        <v>6143</v>
      </c>
      <c r="D3050" t="s">
        <v>78</v>
      </c>
      <c r="F3050">
        <v>14189102</v>
      </c>
      <c r="G3050">
        <v>369685901</v>
      </c>
      <c r="H3050">
        <v>185119016</v>
      </c>
      <c r="I3050">
        <v>196767372</v>
      </c>
      <c r="J3050">
        <v>150108002</v>
      </c>
      <c r="K3050">
        <v>27518367</v>
      </c>
      <c r="L3050">
        <v>-56139764</v>
      </c>
      <c r="M3050">
        <v>354485595</v>
      </c>
      <c r="N3050">
        <v>46008030</v>
      </c>
      <c r="O3050">
        <v>36150262</v>
      </c>
      <c r="P3050">
        <v>388</v>
      </c>
      <c r="Q3050" t="s">
        <v>6144</v>
      </c>
    </row>
    <row r="3051" spans="1:17" x14ac:dyDescent="0.3">
      <c r="A3051" t="s">
        <v>4382</v>
      </c>
      <c r="B3051" t="str">
        <f>"002368"</f>
        <v>002368</v>
      </c>
      <c r="C3051" t="s">
        <v>6145</v>
      </c>
      <c r="D3051" t="s">
        <v>212</v>
      </c>
      <c r="F3051">
        <v>-1951435426</v>
      </c>
      <c r="G3051">
        <v>-1299428444</v>
      </c>
      <c r="H3051">
        <v>-1535388523</v>
      </c>
      <c r="I3051">
        <v>-1044176007</v>
      </c>
      <c r="J3051">
        <v>-785396817</v>
      </c>
      <c r="K3051">
        <v>-1031992602</v>
      </c>
      <c r="L3051">
        <v>-975028405</v>
      </c>
      <c r="M3051">
        <v>-887665002</v>
      </c>
      <c r="N3051">
        <v>-454965687</v>
      </c>
      <c r="O3051">
        <v>-481031562</v>
      </c>
      <c r="P3051">
        <v>373</v>
      </c>
      <c r="Q3051" t="s">
        <v>6146</v>
      </c>
    </row>
    <row r="3052" spans="1:17" x14ac:dyDescent="0.3">
      <c r="A3052" t="s">
        <v>4382</v>
      </c>
      <c r="B3052" t="str">
        <f>"002369"</f>
        <v>002369</v>
      </c>
      <c r="C3052" t="s">
        <v>6147</v>
      </c>
      <c r="D3052" t="s">
        <v>150</v>
      </c>
      <c r="F3052">
        <v>46460953</v>
      </c>
      <c r="G3052">
        <v>-99324777</v>
      </c>
      <c r="H3052">
        <v>161392378</v>
      </c>
      <c r="I3052">
        <v>-279424625</v>
      </c>
      <c r="J3052">
        <v>-274280872</v>
      </c>
      <c r="K3052">
        <v>292543791</v>
      </c>
      <c r="L3052">
        <v>78245885</v>
      </c>
      <c r="M3052">
        <v>-87357508</v>
      </c>
      <c r="N3052">
        <v>-120000154</v>
      </c>
      <c r="O3052">
        <v>-214274293</v>
      </c>
      <c r="P3052">
        <v>179</v>
      </c>
      <c r="Q3052" t="s">
        <v>6148</v>
      </c>
    </row>
    <row r="3053" spans="1:17" x14ac:dyDescent="0.3">
      <c r="A3053" t="s">
        <v>4382</v>
      </c>
      <c r="B3053" t="str">
        <f>"002370"</f>
        <v>002370</v>
      </c>
      <c r="C3053" t="s">
        <v>6149</v>
      </c>
      <c r="D3053" t="s">
        <v>113</v>
      </c>
      <c r="F3053">
        <v>89884870</v>
      </c>
      <c r="G3053">
        <v>-14510481</v>
      </c>
      <c r="H3053">
        <v>-332868776</v>
      </c>
      <c r="I3053">
        <v>-457065456</v>
      </c>
      <c r="J3053">
        <v>51095103</v>
      </c>
      <c r="K3053">
        <v>-79598636</v>
      </c>
      <c r="L3053">
        <v>5904205</v>
      </c>
      <c r="M3053">
        <v>-28737738</v>
      </c>
      <c r="N3053">
        <v>-1883956</v>
      </c>
      <c r="O3053">
        <v>-20869484</v>
      </c>
      <c r="P3053">
        <v>201</v>
      </c>
      <c r="Q3053" t="s">
        <v>6150</v>
      </c>
    </row>
    <row r="3054" spans="1:17" x14ac:dyDescent="0.3">
      <c r="A3054" t="s">
        <v>4382</v>
      </c>
      <c r="B3054" t="str">
        <f>"002371"</f>
        <v>002371</v>
      </c>
      <c r="C3054" t="s">
        <v>6151</v>
      </c>
      <c r="D3054" t="s">
        <v>150</v>
      </c>
      <c r="F3054">
        <v>-974472628</v>
      </c>
      <c r="G3054">
        <v>-337839738</v>
      </c>
      <c r="H3054">
        <v>-1100080144</v>
      </c>
      <c r="I3054">
        <v>-163138661</v>
      </c>
      <c r="J3054">
        <v>-378820237</v>
      </c>
      <c r="K3054">
        <v>-191986357</v>
      </c>
      <c r="L3054">
        <v>-141279941</v>
      </c>
      <c r="M3054">
        <v>-126338322</v>
      </c>
      <c r="N3054">
        <v>-182148386</v>
      </c>
      <c r="O3054">
        <v>-345087873</v>
      </c>
      <c r="P3054">
        <v>1587</v>
      </c>
      <c r="Q3054" t="s">
        <v>6152</v>
      </c>
    </row>
    <row r="3055" spans="1:17" x14ac:dyDescent="0.3">
      <c r="A3055" t="s">
        <v>4382</v>
      </c>
      <c r="B3055" t="str">
        <f>"002372"</f>
        <v>002372</v>
      </c>
      <c r="C3055" t="s">
        <v>6153</v>
      </c>
      <c r="D3055" t="s">
        <v>350</v>
      </c>
      <c r="F3055">
        <v>727323705</v>
      </c>
      <c r="G3055">
        <v>590266469</v>
      </c>
      <c r="H3055">
        <v>469200900</v>
      </c>
      <c r="I3055">
        <v>382834902</v>
      </c>
      <c r="J3055">
        <v>323719160</v>
      </c>
      <c r="K3055">
        <v>408317081</v>
      </c>
      <c r="L3055">
        <v>238239764</v>
      </c>
      <c r="M3055">
        <v>196481821</v>
      </c>
      <c r="N3055">
        <v>205432403</v>
      </c>
      <c r="O3055">
        <v>54577895</v>
      </c>
      <c r="P3055">
        <v>10687</v>
      </c>
      <c r="Q3055" t="s">
        <v>6154</v>
      </c>
    </row>
    <row r="3056" spans="1:17" x14ac:dyDescent="0.3">
      <c r="A3056" t="s">
        <v>4382</v>
      </c>
      <c r="B3056" t="str">
        <f>"002373"</f>
        <v>002373</v>
      </c>
      <c r="C3056" t="s">
        <v>6155</v>
      </c>
      <c r="D3056" t="s">
        <v>212</v>
      </c>
      <c r="F3056">
        <v>-830987348</v>
      </c>
      <c r="G3056">
        <v>-98562312</v>
      </c>
      <c r="H3056">
        <v>-582626193</v>
      </c>
      <c r="I3056">
        <v>-486296168</v>
      </c>
      <c r="J3056">
        <v>-341318751</v>
      </c>
      <c r="K3056">
        <v>-280769254</v>
      </c>
      <c r="L3056">
        <v>-11104047</v>
      </c>
      <c r="M3056">
        <v>-104865995</v>
      </c>
      <c r="N3056">
        <v>-87795700</v>
      </c>
      <c r="O3056">
        <v>-195198113</v>
      </c>
      <c r="P3056">
        <v>713</v>
      </c>
      <c r="Q3056" t="s">
        <v>6156</v>
      </c>
    </row>
    <row r="3057" spans="1:17" x14ac:dyDescent="0.3">
      <c r="A3057" t="s">
        <v>4382</v>
      </c>
      <c r="B3057" t="str">
        <f>"002374"</f>
        <v>002374</v>
      </c>
      <c r="C3057" t="s">
        <v>6157</v>
      </c>
      <c r="D3057" t="s">
        <v>161</v>
      </c>
      <c r="F3057">
        <v>139862134</v>
      </c>
      <c r="G3057">
        <v>-12371009</v>
      </c>
      <c r="H3057">
        <v>2278733</v>
      </c>
      <c r="I3057">
        <v>-531076847</v>
      </c>
      <c r="J3057">
        <v>-619948739</v>
      </c>
      <c r="K3057">
        <v>-394110804</v>
      </c>
      <c r="L3057">
        <v>-269930686</v>
      </c>
      <c r="M3057">
        <v>-50361389</v>
      </c>
      <c r="N3057">
        <v>-111172078</v>
      </c>
      <c r="O3057">
        <v>-33276204</v>
      </c>
      <c r="P3057">
        <v>92</v>
      </c>
      <c r="Q3057" t="s">
        <v>6158</v>
      </c>
    </row>
    <row r="3058" spans="1:17" x14ac:dyDescent="0.3">
      <c r="A3058" t="s">
        <v>4382</v>
      </c>
      <c r="B3058" t="str">
        <f>"002375"</f>
        <v>002375</v>
      </c>
      <c r="C3058" t="s">
        <v>6159</v>
      </c>
      <c r="D3058" t="s">
        <v>95</v>
      </c>
      <c r="F3058">
        <v>-1427950181</v>
      </c>
      <c r="G3058">
        <v>-990931238</v>
      </c>
      <c r="H3058">
        <v>-721295499</v>
      </c>
      <c r="I3058">
        <v>-1191652535</v>
      </c>
      <c r="J3058">
        <v>-793628086</v>
      </c>
      <c r="K3058">
        <v>-928786500</v>
      </c>
      <c r="L3058">
        <v>-1303009168</v>
      </c>
      <c r="M3058">
        <v>-979032189</v>
      </c>
      <c r="N3058">
        <v>-1121129271</v>
      </c>
      <c r="O3058">
        <v>-770304711</v>
      </c>
      <c r="P3058">
        <v>176</v>
      </c>
      <c r="Q3058" t="s">
        <v>6160</v>
      </c>
    </row>
    <row r="3059" spans="1:17" x14ac:dyDescent="0.3">
      <c r="A3059" t="s">
        <v>4382</v>
      </c>
      <c r="B3059" t="str">
        <f>"002376"</f>
        <v>002376</v>
      </c>
      <c r="C3059" t="s">
        <v>6161</v>
      </c>
      <c r="D3059" t="s">
        <v>212</v>
      </c>
      <c r="F3059">
        <v>-271013511</v>
      </c>
      <c r="G3059">
        <v>-127659248</v>
      </c>
      <c r="H3059">
        <v>-89570592</v>
      </c>
      <c r="I3059">
        <v>-138110710</v>
      </c>
      <c r="J3059">
        <v>182735912</v>
      </c>
      <c r="K3059">
        <v>-98304614</v>
      </c>
      <c r="L3059">
        <v>45532750</v>
      </c>
      <c r="M3059">
        <v>-4690733</v>
      </c>
      <c r="N3059">
        <v>-102498792</v>
      </c>
      <c r="O3059">
        <v>-209274251</v>
      </c>
      <c r="P3059">
        <v>298</v>
      </c>
      <c r="Q3059" t="s">
        <v>6162</v>
      </c>
    </row>
    <row r="3060" spans="1:17" x14ac:dyDescent="0.3">
      <c r="A3060" t="s">
        <v>4382</v>
      </c>
      <c r="B3060" t="str">
        <f>"002377"</f>
        <v>002377</v>
      </c>
      <c r="C3060" t="s">
        <v>6163</v>
      </c>
      <c r="D3060" t="s">
        <v>30</v>
      </c>
      <c r="F3060">
        <v>-178384511</v>
      </c>
      <c r="G3060">
        <v>-424956847</v>
      </c>
      <c r="H3060">
        <v>-86476499</v>
      </c>
      <c r="I3060">
        <v>-136192934</v>
      </c>
      <c r="J3060">
        <v>-77761785</v>
      </c>
      <c r="K3060">
        <v>-67586470</v>
      </c>
      <c r="L3060">
        <v>-64328841</v>
      </c>
      <c r="M3060">
        <v>-224171776</v>
      </c>
      <c r="N3060">
        <v>-205841912</v>
      </c>
      <c r="O3060">
        <v>26556676</v>
      </c>
      <c r="P3060">
        <v>95</v>
      </c>
      <c r="Q3060" t="s">
        <v>6164</v>
      </c>
    </row>
    <row r="3061" spans="1:17" x14ac:dyDescent="0.3">
      <c r="A3061" t="s">
        <v>4382</v>
      </c>
      <c r="B3061" t="str">
        <f>"002378"</f>
        <v>002378</v>
      </c>
      <c r="C3061" t="s">
        <v>6165</v>
      </c>
      <c r="D3061" t="s">
        <v>234</v>
      </c>
      <c r="F3061">
        <v>-50637356</v>
      </c>
      <c r="G3061">
        <v>210500571</v>
      </c>
      <c r="H3061">
        <v>156437014</v>
      </c>
      <c r="I3061">
        <v>-145328612</v>
      </c>
      <c r="J3061">
        <v>-493654466</v>
      </c>
      <c r="K3061">
        <v>-19277233</v>
      </c>
      <c r="L3061">
        <v>-30042827</v>
      </c>
      <c r="M3061">
        <v>-26476803</v>
      </c>
      <c r="N3061">
        <v>-191917074</v>
      </c>
      <c r="O3061">
        <v>-14448091</v>
      </c>
      <c r="P3061">
        <v>128</v>
      </c>
      <c r="Q3061" t="s">
        <v>6166</v>
      </c>
    </row>
    <row r="3062" spans="1:17" x14ac:dyDescent="0.3">
      <c r="A3062" t="s">
        <v>4382</v>
      </c>
      <c r="B3062" t="str">
        <f>"002379"</f>
        <v>002379</v>
      </c>
      <c r="C3062" t="s">
        <v>6167</v>
      </c>
      <c r="D3062" t="s">
        <v>234</v>
      </c>
      <c r="F3062">
        <v>-97244237</v>
      </c>
      <c r="G3062">
        <v>48748054</v>
      </c>
      <c r="H3062">
        <v>171675962</v>
      </c>
      <c r="I3062">
        <v>-212328003</v>
      </c>
      <c r="J3062">
        <v>-110171706</v>
      </c>
      <c r="K3062">
        <v>-375345555</v>
      </c>
      <c r="L3062">
        <v>-695168429</v>
      </c>
      <c r="M3062">
        <v>92348294</v>
      </c>
      <c r="N3062">
        <v>-429503132</v>
      </c>
      <c r="O3062">
        <v>-315409609</v>
      </c>
      <c r="P3062">
        <v>88</v>
      </c>
      <c r="Q3062" t="s">
        <v>6168</v>
      </c>
    </row>
    <row r="3063" spans="1:17" x14ac:dyDescent="0.3">
      <c r="A3063" t="s">
        <v>4382</v>
      </c>
      <c r="B3063" t="str">
        <f>"002380"</f>
        <v>002380</v>
      </c>
      <c r="C3063" t="s">
        <v>6169</v>
      </c>
      <c r="D3063" t="s">
        <v>212</v>
      </c>
      <c r="F3063">
        <v>-218537069</v>
      </c>
      <c r="G3063">
        <v>-196215438</v>
      </c>
      <c r="H3063">
        <v>-39255951</v>
      </c>
      <c r="I3063">
        <v>-45896594</v>
      </c>
      <c r="J3063">
        <v>31608182</v>
      </c>
      <c r="K3063">
        <v>-35809543</v>
      </c>
      <c r="L3063">
        <v>-54139637</v>
      </c>
      <c r="M3063">
        <v>-12278721</v>
      </c>
      <c r="N3063">
        <v>-17184081</v>
      </c>
      <c r="O3063">
        <v>-16035170</v>
      </c>
      <c r="P3063">
        <v>131</v>
      </c>
      <c r="Q3063" t="s">
        <v>6170</v>
      </c>
    </row>
    <row r="3064" spans="1:17" x14ac:dyDescent="0.3">
      <c r="A3064" t="s">
        <v>4382</v>
      </c>
      <c r="B3064" t="str">
        <f>"002381"</f>
        <v>002381</v>
      </c>
      <c r="C3064" t="s">
        <v>6171</v>
      </c>
      <c r="D3064" t="s">
        <v>133</v>
      </c>
      <c r="F3064">
        <v>-197635278</v>
      </c>
      <c r="G3064">
        <v>224064258</v>
      </c>
      <c r="H3064">
        <v>201320276</v>
      </c>
      <c r="I3064">
        <v>99783940</v>
      </c>
      <c r="J3064">
        <v>41748166</v>
      </c>
      <c r="K3064">
        <v>-51885682</v>
      </c>
      <c r="L3064">
        <v>43393488</v>
      </c>
      <c r="M3064">
        <v>6942436</v>
      </c>
      <c r="N3064">
        <v>80700119</v>
      </c>
      <c r="O3064">
        <v>-48260137</v>
      </c>
      <c r="P3064">
        <v>277</v>
      </c>
      <c r="Q3064" t="s">
        <v>6172</v>
      </c>
    </row>
    <row r="3065" spans="1:17" x14ac:dyDescent="0.3">
      <c r="A3065" t="s">
        <v>4382</v>
      </c>
      <c r="B3065" t="str">
        <f>"002382"</f>
        <v>002382</v>
      </c>
      <c r="C3065" t="s">
        <v>6173</v>
      </c>
      <c r="D3065" t="s">
        <v>113</v>
      </c>
      <c r="F3065">
        <v>315828814</v>
      </c>
      <c r="G3065">
        <v>1351885018</v>
      </c>
      <c r="H3065">
        <v>364025652</v>
      </c>
      <c r="I3065">
        <v>166394560</v>
      </c>
      <c r="J3065">
        <v>8821002</v>
      </c>
      <c r="K3065">
        <v>154869307</v>
      </c>
      <c r="L3065">
        <v>104811361</v>
      </c>
      <c r="M3065">
        <v>17298267</v>
      </c>
      <c r="N3065">
        <v>-221961993</v>
      </c>
      <c r="O3065">
        <v>-102539327</v>
      </c>
      <c r="P3065">
        <v>849</v>
      </c>
      <c r="Q3065" t="s">
        <v>6174</v>
      </c>
    </row>
    <row r="3066" spans="1:17" x14ac:dyDescent="0.3">
      <c r="A3066" t="s">
        <v>4382</v>
      </c>
      <c r="B3066" t="str">
        <f>"002383"</f>
        <v>002383</v>
      </c>
      <c r="C3066" t="s">
        <v>6175</v>
      </c>
      <c r="D3066" t="s">
        <v>92</v>
      </c>
      <c r="F3066">
        <v>-161811898</v>
      </c>
      <c r="G3066">
        <v>-133207832</v>
      </c>
      <c r="H3066">
        <v>-295697172</v>
      </c>
      <c r="I3066">
        <v>-328618947</v>
      </c>
      <c r="J3066">
        <v>-959243485</v>
      </c>
      <c r="K3066">
        <v>-202207034</v>
      </c>
      <c r="L3066">
        <v>-177010509</v>
      </c>
      <c r="M3066">
        <v>-218513087</v>
      </c>
      <c r="N3066">
        <v>-266950724</v>
      </c>
      <c r="O3066">
        <v>-140692878</v>
      </c>
      <c r="P3066">
        <v>211</v>
      </c>
      <c r="Q3066" t="s">
        <v>6176</v>
      </c>
    </row>
    <row r="3067" spans="1:17" x14ac:dyDescent="0.3">
      <c r="A3067" t="s">
        <v>4382</v>
      </c>
      <c r="B3067" t="str">
        <f>"002384"</f>
        <v>002384</v>
      </c>
      <c r="C3067" t="s">
        <v>6177</v>
      </c>
      <c r="D3067" t="s">
        <v>150</v>
      </c>
      <c r="F3067">
        <v>-360053496</v>
      </c>
      <c r="G3067">
        <v>93387423</v>
      </c>
      <c r="H3067">
        <v>-232787028</v>
      </c>
      <c r="I3067">
        <v>-2819836434</v>
      </c>
      <c r="J3067">
        <v>-1095742482</v>
      </c>
      <c r="K3067">
        <v>-441775771</v>
      </c>
      <c r="L3067">
        <v>-412895685</v>
      </c>
      <c r="M3067">
        <v>-338534676</v>
      </c>
      <c r="N3067">
        <v>11852424</v>
      </c>
      <c r="O3067">
        <v>-324411775</v>
      </c>
      <c r="P3067">
        <v>1071</v>
      </c>
      <c r="Q3067" t="s">
        <v>6178</v>
      </c>
    </row>
    <row r="3068" spans="1:17" x14ac:dyDescent="0.3">
      <c r="A3068" t="s">
        <v>4382</v>
      </c>
      <c r="B3068" t="str">
        <f>"002385"</f>
        <v>002385</v>
      </c>
      <c r="C3068" t="s">
        <v>6179</v>
      </c>
      <c r="D3068" t="s">
        <v>205</v>
      </c>
      <c r="F3068">
        <v>-1276055069</v>
      </c>
      <c r="G3068">
        <v>-398513101</v>
      </c>
      <c r="H3068">
        <v>279826550</v>
      </c>
      <c r="I3068">
        <v>-602297895</v>
      </c>
      <c r="J3068">
        <v>-724520581</v>
      </c>
      <c r="K3068">
        <v>-771209771</v>
      </c>
      <c r="L3068">
        <v>-182131860</v>
      </c>
      <c r="M3068">
        <v>-790430665</v>
      </c>
      <c r="N3068">
        <v>-1067170613</v>
      </c>
      <c r="O3068">
        <v>-596166939</v>
      </c>
      <c r="P3068">
        <v>890</v>
      </c>
      <c r="Q3068" t="s">
        <v>6180</v>
      </c>
    </row>
    <row r="3069" spans="1:17" x14ac:dyDescent="0.3">
      <c r="A3069" t="s">
        <v>4382</v>
      </c>
      <c r="B3069" t="str">
        <f>"002386"</f>
        <v>002386</v>
      </c>
      <c r="C3069" t="s">
        <v>6181</v>
      </c>
      <c r="D3069" t="s">
        <v>133</v>
      </c>
      <c r="F3069">
        <v>137582138</v>
      </c>
      <c r="G3069">
        <v>-135632518</v>
      </c>
      <c r="H3069">
        <v>-292479135</v>
      </c>
      <c r="I3069">
        <v>28882996</v>
      </c>
      <c r="J3069">
        <v>-51705262</v>
      </c>
      <c r="K3069">
        <v>1000419548</v>
      </c>
      <c r="L3069">
        <v>-36023278</v>
      </c>
      <c r="M3069">
        <v>-66894153</v>
      </c>
      <c r="N3069">
        <v>-3354218</v>
      </c>
      <c r="O3069">
        <v>-395601843</v>
      </c>
      <c r="P3069">
        <v>143</v>
      </c>
      <c r="Q3069" t="s">
        <v>6182</v>
      </c>
    </row>
    <row r="3070" spans="1:17" x14ac:dyDescent="0.3">
      <c r="A3070" t="s">
        <v>4382</v>
      </c>
      <c r="B3070" t="str">
        <f>"002387"</f>
        <v>002387</v>
      </c>
      <c r="C3070" t="s">
        <v>6183</v>
      </c>
      <c r="D3070" t="s">
        <v>150</v>
      </c>
      <c r="F3070">
        <v>884014901</v>
      </c>
      <c r="G3070">
        <v>-1691974793</v>
      </c>
      <c r="H3070">
        <v>-2336844435</v>
      </c>
      <c r="I3070">
        <v>-11266701435</v>
      </c>
      <c r="J3070">
        <v>-2516252795</v>
      </c>
      <c r="K3070">
        <v>104502422</v>
      </c>
      <c r="L3070">
        <v>6786588</v>
      </c>
      <c r="M3070">
        <v>-759293212</v>
      </c>
      <c r="N3070">
        <v>-283568671</v>
      </c>
      <c r="O3070">
        <v>-256531051</v>
      </c>
      <c r="P3070">
        <v>274</v>
      </c>
      <c r="Q3070" t="s">
        <v>6184</v>
      </c>
    </row>
    <row r="3071" spans="1:17" x14ac:dyDescent="0.3">
      <c r="A3071" t="s">
        <v>4382</v>
      </c>
      <c r="B3071" t="str">
        <f>"002388"</f>
        <v>002388</v>
      </c>
      <c r="C3071" t="s">
        <v>6185</v>
      </c>
      <c r="D3071" t="s">
        <v>150</v>
      </c>
      <c r="F3071">
        <v>-429463058</v>
      </c>
      <c r="G3071">
        <v>-320958222</v>
      </c>
      <c r="H3071">
        <v>-206882736</v>
      </c>
      <c r="I3071">
        <v>-428393387</v>
      </c>
      <c r="J3071">
        <v>4994157</v>
      </c>
      <c r="K3071">
        <v>-153858864</v>
      </c>
      <c r="L3071">
        <v>29289231</v>
      </c>
      <c r="M3071">
        <v>-95507135</v>
      </c>
      <c r="N3071">
        <v>-10547358</v>
      </c>
      <c r="O3071">
        <v>81478765</v>
      </c>
      <c r="P3071">
        <v>148</v>
      </c>
      <c r="Q3071" t="s">
        <v>6186</v>
      </c>
    </row>
    <row r="3072" spans="1:17" x14ac:dyDescent="0.3">
      <c r="A3072" t="s">
        <v>4382</v>
      </c>
      <c r="B3072" t="str">
        <f>"002389"</f>
        <v>002389</v>
      </c>
      <c r="C3072" t="s">
        <v>6187</v>
      </c>
      <c r="D3072" t="s">
        <v>92</v>
      </c>
      <c r="F3072">
        <v>-278666903</v>
      </c>
      <c r="G3072">
        <v>54943950</v>
      </c>
      <c r="H3072">
        <v>-149889808</v>
      </c>
      <c r="I3072">
        <v>-388827605</v>
      </c>
      <c r="J3072">
        <v>-195787144</v>
      </c>
      <c r="K3072">
        <v>-97060612</v>
      </c>
      <c r="L3072">
        <v>-295285390</v>
      </c>
      <c r="M3072">
        <v>-225292574</v>
      </c>
      <c r="N3072">
        <v>-260354226</v>
      </c>
      <c r="O3072">
        <v>-114588580</v>
      </c>
      <c r="P3072">
        <v>435</v>
      </c>
      <c r="Q3072" t="s">
        <v>6188</v>
      </c>
    </row>
    <row r="3073" spans="1:17" x14ac:dyDescent="0.3">
      <c r="A3073" t="s">
        <v>4382</v>
      </c>
      <c r="B3073" t="str">
        <f>"002390"</f>
        <v>002390</v>
      </c>
      <c r="C3073" t="s">
        <v>6189</v>
      </c>
      <c r="D3073" t="s">
        <v>113</v>
      </c>
      <c r="F3073">
        <v>107109704</v>
      </c>
      <c r="G3073">
        <v>424803823</v>
      </c>
      <c r="H3073">
        <v>465454126</v>
      </c>
      <c r="I3073">
        <v>-592245620</v>
      </c>
      <c r="J3073">
        <v>-238701924</v>
      </c>
      <c r="K3073">
        <v>-642004334</v>
      </c>
      <c r="L3073">
        <v>-247695233</v>
      </c>
      <c r="M3073">
        <v>-352602232</v>
      </c>
      <c r="N3073">
        <v>-75909815</v>
      </c>
      <c r="O3073">
        <v>-63578837</v>
      </c>
      <c r="P3073">
        <v>273</v>
      </c>
      <c r="Q3073" t="s">
        <v>6190</v>
      </c>
    </row>
    <row r="3074" spans="1:17" x14ac:dyDescent="0.3">
      <c r="A3074" t="s">
        <v>4382</v>
      </c>
      <c r="B3074" t="str">
        <f>"002391"</f>
        <v>002391</v>
      </c>
      <c r="C3074" t="s">
        <v>6191</v>
      </c>
      <c r="D3074" t="s">
        <v>133</v>
      </c>
      <c r="F3074">
        <v>-648995362</v>
      </c>
      <c r="G3074">
        <v>-167009137</v>
      </c>
      <c r="H3074">
        <v>32569262</v>
      </c>
      <c r="I3074">
        <v>187454813</v>
      </c>
      <c r="J3074">
        <v>185605216</v>
      </c>
      <c r="K3074">
        <v>-55038718</v>
      </c>
      <c r="L3074">
        <v>-115297206</v>
      </c>
      <c r="M3074">
        <v>-271556102</v>
      </c>
      <c r="N3074">
        <v>-187995599</v>
      </c>
      <c r="O3074">
        <v>-132422308</v>
      </c>
      <c r="P3074">
        <v>192</v>
      </c>
      <c r="Q3074" t="s">
        <v>6192</v>
      </c>
    </row>
    <row r="3075" spans="1:17" x14ac:dyDescent="0.3">
      <c r="A3075" t="s">
        <v>4382</v>
      </c>
      <c r="B3075" t="str">
        <f>"002392"</f>
        <v>002392</v>
      </c>
      <c r="C3075" t="s">
        <v>6193</v>
      </c>
      <c r="D3075" t="s">
        <v>350</v>
      </c>
      <c r="F3075">
        <v>-118790420</v>
      </c>
      <c r="G3075">
        <v>-52729274</v>
      </c>
      <c r="H3075">
        <v>-14381681</v>
      </c>
      <c r="I3075">
        <v>-177748644</v>
      </c>
      <c r="J3075">
        <v>71024495</v>
      </c>
      <c r="K3075">
        <v>-87356531</v>
      </c>
      <c r="L3075">
        <v>-389627605</v>
      </c>
      <c r="M3075">
        <v>-116222278</v>
      </c>
      <c r="N3075">
        <v>75762543</v>
      </c>
      <c r="O3075">
        <v>-40588598</v>
      </c>
      <c r="P3075">
        <v>142</v>
      </c>
      <c r="Q3075" t="s">
        <v>6194</v>
      </c>
    </row>
    <row r="3076" spans="1:17" x14ac:dyDescent="0.3">
      <c r="A3076" t="s">
        <v>4382</v>
      </c>
      <c r="B3076" t="str">
        <f>"002393"</f>
        <v>002393</v>
      </c>
      <c r="C3076" t="s">
        <v>6195</v>
      </c>
      <c r="D3076" t="s">
        <v>113</v>
      </c>
      <c r="F3076">
        <v>46850860</v>
      </c>
      <c r="G3076">
        <v>40601091</v>
      </c>
      <c r="H3076">
        <v>179687776</v>
      </c>
      <c r="I3076">
        <v>86093173</v>
      </c>
      <c r="J3076">
        <v>61160023</v>
      </c>
      <c r="K3076">
        <v>8354170</v>
      </c>
      <c r="L3076">
        <v>-59366645</v>
      </c>
      <c r="M3076">
        <v>-132494987</v>
      </c>
      <c r="N3076">
        <v>-60831448</v>
      </c>
      <c r="O3076">
        <v>77874986</v>
      </c>
      <c r="P3076">
        <v>153</v>
      </c>
      <c r="Q3076" t="s">
        <v>6196</v>
      </c>
    </row>
    <row r="3077" spans="1:17" x14ac:dyDescent="0.3">
      <c r="A3077" t="s">
        <v>4382</v>
      </c>
      <c r="B3077" t="str">
        <f>"002394"</f>
        <v>002394</v>
      </c>
      <c r="C3077" t="s">
        <v>6197</v>
      </c>
      <c r="D3077" t="s">
        <v>227</v>
      </c>
      <c r="F3077">
        <v>-10303081</v>
      </c>
      <c r="G3077">
        <v>478229235</v>
      </c>
      <c r="H3077">
        <v>278826619</v>
      </c>
      <c r="I3077">
        <v>354363846</v>
      </c>
      <c r="J3077">
        <v>220840753</v>
      </c>
      <c r="K3077">
        <v>117980943</v>
      </c>
      <c r="L3077">
        <v>186303920</v>
      </c>
      <c r="M3077">
        <v>369225989</v>
      </c>
      <c r="N3077">
        <v>-11181473</v>
      </c>
      <c r="O3077">
        <v>126464258</v>
      </c>
      <c r="P3077">
        <v>673</v>
      </c>
      <c r="Q3077" t="s">
        <v>6198</v>
      </c>
    </row>
    <row r="3078" spans="1:17" x14ac:dyDescent="0.3">
      <c r="A3078" t="s">
        <v>4382</v>
      </c>
      <c r="B3078" t="str">
        <f>"002395"</f>
        <v>002395</v>
      </c>
      <c r="C3078" t="s">
        <v>6199</v>
      </c>
      <c r="D3078" t="s">
        <v>133</v>
      </c>
      <c r="F3078">
        <v>-230177991</v>
      </c>
      <c r="G3078">
        <v>289428674</v>
      </c>
      <c r="H3078">
        <v>-11164041</v>
      </c>
      <c r="I3078">
        <v>42510172</v>
      </c>
      <c r="J3078">
        <v>-59005914</v>
      </c>
      <c r="K3078">
        <v>20805327</v>
      </c>
      <c r="L3078">
        <v>82219888</v>
      </c>
      <c r="M3078">
        <v>-98735651</v>
      </c>
      <c r="N3078">
        <v>-47529370</v>
      </c>
      <c r="O3078">
        <v>-64513388</v>
      </c>
      <c r="P3078">
        <v>59</v>
      </c>
      <c r="Q3078" t="s">
        <v>6200</v>
      </c>
    </row>
    <row r="3079" spans="1:17" x14ac:dyDescent="0.3">
      <c r="A3079" t="s">
        <v>4382</v>
      </c>
      <c r="B3079" t="str">
        <f>"002396"</f>
        <v>002396</v>
      </c>
      <c r="C3079" t="s">
        <v>6201</v>
      </c>
      <c r="D3079" t="s">
        <v>100</v>
      </c>
      <c r="F3079">
        <v>-455453482</v>
      </c>
      <c r="G3079">
        <v>-371243369</v>
      </c>
      <c r="H3079">
        <v>-477279592</v>
      </c>
      <c r="I3079">
        <v>-192818045</v>
      </c>
      <c r="J3079">
        <v>-525540427</v>
      </c>
      <c r="K3079">
        <v>-130914012</v>
      </c>
      <c r="L3079">
        <v>87275313</v>
      </c>
      <c r="M3079">
        <v>-236842387</v>
      </c>
      <c r="N3079">
        <v>-93870075</v>
      </c>
      <c r="O3079">
        <v>-212033087</v>
      </c>
      <c r="P3079">
        <v>3695</v>
      </c>
      <c r="Q3079" t="s">
        <v>6202</v>
      </c>
    </row>
    <row r="3080" spans="1:17" x14ac:dyDescent="0.3">
      <c r="A3080" t="s">
        <v>4382</v>
      </c>
      <c r="B3080" t="str">
        <f>"002397"</f>
        <v>002397</v>
      </c>
      <c r="C3080" t="s">
        <v>6203</v>
      </c>
      <c r="D3080" t="s">
        <v>227</v>
      </c>
      <c r="F3080">
        <v>-251324365</v>
      </c>
      <c r="G3080">
        <v>-10376398</v>
      </c>
      <c r="H3080">
        <v>-50493530</v>
      </c>
      <c r="I3080">
        <v>-345813905</v>
      </c>
      <c r="J3080">
        <v>-262158410</v>
      </c>
      <c r="K3080">
        <v>-226294034</v>
      </c>
      <c r="L3080">
        <v>-188240190</v>
      </c>
      <c r="M3080">
        <v>-40123339</v>
      </c>
      <c r="N3080">
        <v>-105420685</v>
      </c>
      <c r="O3080">
        <v>-211083435</v>
      </c>
      <c r="P3080">
        <v>109</v>
      </c>
      <c r="Q3080" t="s">
        <v>6204</v>
      </c>
    </row>
    <row r="3081" spans="1:17" x14ac:dyDescent="0.3">
      <c r="A3081" t="s">
        <v>4382</v>
      </c>
      <c r="B3081" t="str">
        <f>"002398"</f>
        <v>002398</v>
      </c>
      <c r="C3081" t="s">
        <v>6205</v>
      </c>
      <c r="D3081" t="s">
        <v>350</v>
      </c>
      <c r="F3081">
        <v>26242572</v>
      </c>
      <c r="G3081">
        <v>56081491</v>
      </c>
      <c r="H3081">
        <v>140581084</v>
      </c>
      <c r="I3081">
        <v>48713641</v>
      </c>
      <c r="J3081">
        <v>58391493</v>
      </c>
      <c r="K3081">
        <v>199543584</v>
      </c>
      <c r="L3081">
        <v>103198997</v>
      </c>
      <c r="M3081">
        <v>10694238</v>
      </c>
      <c r="N3081">
        <v>-49384517</v>
      </c>
      <c r="O3081">
        <v>-8743520</v>
      </c>
      <c r="P3081">
        <v>217</v>
      </c>
      <c r="Q3081" t="s">
        <v>6206</v>
      </c>
    </row>
    <row r="3082" spans="1:17" x14ac:dyDescent="0.3">
      <c r="A3082" t="s">
        <v>4382</v>
      </c>
      <c r="B3082" t="str">
        <f>"002399"</f>
        <v>002399</v>
      </c>
      <c r="C3082" t="s">
        <v>6207</v>
      </c>
      <c r="D3082" t="s">
        <v>113</v>
      </c>
      <c r="F3082">
        <v>-21862588</v>
      </c>
      <c r="G3082">
        <v>-292742010</v>
      </c>
      <c r="H3082">
        <v>-426433670</v>
      </c>
      <c r="I3082">
        <v>158203129</v>
      </c>
      <c r="J3082">
        <v>-818939584</v>
      </c>
      <c r="K3082">
        <v>106113812</v>
      </c>
      <c r="L3082">
        <v>631751630</v>
      </c>
      <c r="M3082">
        <v>600296802</v>
      </c>
      <c r="N3082">
        <v>182638668</v>
      </c>
      <c r="O3082">
        <v>463435034</v>
      </c>
      <c r="P3082">
        <v>285</v>
      </c>
      <c r="Q3082" t="s">
        <v>6208</v>
      </c>
    </row>
    <row r="3083" spans="1:17" x14ac:dyDescent="0.3">
      <c r="A3083" t="s">
        <v>4382</v>
      </c>
      <c r="B3083" t="str">
        <f>"002400"</f>
        <v>002400</v>
      </c>
      <c r="C3083" t="s">
        <v>6209</v>
      </c>
      <c r="D3083" t="s">
        <v>89</v>
      </c>
      <c r="F3083">
        <v>-34358360</v>
      </c>
      <c r="G3083">
        <v>-126256350</v>
      </c>
      <c r="H3083">
        <v>211955355</v>
      </c>
      <c r="I3083">
        <v>341932371</v>
      </c>
      <c r="J3083">
        <v>-275073864</v>
      </c>
      <c r="K3083">
        <v>-496085183</v>
      </c>
      <c r="L3083">
        <v>12208318</v>
      </c>
      <c r="M3083">
        <v>353270322</v>
      </c>
      <c r="N3083">
        <v>256979642</v>
      </c>
      <c r="O3083">
        <v>217022427</v>
      </c>
      <c r="P3083">
        <v>328</v>
      </c>
      <c r="Q3083" t="s">
        <v>6210</v>
      </c>
    </row>
    <row r="3084" spans="1:17" x14ac:dyDescent="0.3">
      <c r="A3084" t="s">
        <v>4382</v>
      </c>
      <c r="B3084" t="str">
        <f>"002401"</f>
        <v>002401</v>
      </c>
      <c r="C3084" t="s">
        <v>6211</v>
      </c>
      <c r="D3084" t="s">
        <v>212</v>
      </c>
      <c r="F3084">
        <v>-55853875</v>
      </c>
      <c r="G3084">
        <v>-42789909</v>
      </c>
      <c r="H3084">
        <v>-145278650</v>
      </c>
      <c r="I3084">
        <v>-115281910</v>
      </c>
      <c r="J3084">
        <v>-40489479</v>
      </c>
      <c r="K3084">
        <v>153869450</v>
      </c>
      <c r="L3084">
        <v>89472240</v>
      </c>
      <c r="M3084">
        <v>-74512467</v>
      </c>
      <c r="N3084">
        <v>-126922421</v>
      </c>
      <c r="O3084">
        <v>-35143803</v>
      </c>
      <c r="P3084">
        <v>152</v>
      </c>
      <c r="Q3084" t="s">
        <v>6212</v>
      </c>
    </row>
    <row r="3085" spans="1:17" x14ac:dyDescent="0.3">
      <c r="A3085" t="s">
        <v>4382</v>
      </c>
      <c r="B3085" t="str">
        <f>"002402"</f>
        <v>002402</v>
      </c>
      <c r="C3085" t="s">
        <v>6213</v>
      </c>
      <c r="D3085" t="s">
        <v>150</v>
      </c>
      <c r="F3085">
        <v>-323032241</v>
      </c>
      <c r="G3085">
        <v>90252046</v>
      </c>
      <c r="H3085">
        <v>118266376</v>
      </c>
      <c r="I3085">
        <v>-114152574</v>
      </c>
      <c r="J3085">
        <v>36186049</v>
      </c>
      <c r="K3085">
        <v>17418869</v>
      </c>
      <c r="L3085">
        <v>68471104</v>
      </c>
      <c r="M3085">
        <v>-23438081</v>
      </c>
      <c r="N3085">
        <v>10971290</v>
      </c>
      <c r="O3085">
        <v>-62923081</v>
      </c>
      <c r="P3085">
        <v>1282</v>
      </c>
      <c r="Q3085" t="s">
        <v>6214</v>
      </c>
    </row>
    <row r="3086" spans="1:17" x14ac:dyDescent="0.3">
      <c r="A3086" t="s">
        <v>4382</v>
      </c>
      <c r="B3086" t="str">
        <f>"002403"</f>
        <v>002403</v>
      </c>
      <c r="C3086" t="s">
        <v>6215</v>
      </c>
      <c r="D3086" t="s">
        <v>126</v>
      </c>
      <c r="F3086">
        <v>-337141539</v>
      </c>
      <c r="G3086">
        <v>-9400487</v>
      </c>
      <c r="H3086">
        <v>-253136886</v>
      </c>
      <c r="I3086">
        <v>-242581578</v>
      </c>
      <c r="J3086">
        <v>-35324897</v>
      </c>
      <c r="K3086">
        <v>111902167</v>
      </c>
      <c r="L3086">
        <v>-59524569</v>
      </c>
      <c r="M3086">
        <v>66811646</v>
      </c>
      <c r="N3086">
        <v>193577092</v>
      </c>
      <c r="O3086">
        <v>-10314115</v>
      </c>
      <c r="P3086">
        <v>151</v>
      </c>
      <c r="Q3086" t="s">
        <v>6216</v>
      </c>
    </row>
    <row r="3087" spans="1:17" x14ac:dyDescent="0.3">
      <c r="A3087" t="s">
        <v>4382</v>
      </c>
      <c r="B3087" t="str">
        <f>"002404"</f>
        <v>002404</v>
      </c>
      <c r="C3087" t="s">
        <v>6217</v>
      </c>
      <c r="D3087" t="s">
        <v>227</v>
      </c>
      <c r="F3087">
        <v>-347391892</v>
      </c>
      <c r="G3087">
        <v>-108827904</v>
      </c>
      <c r="H3087">
        <v>126498535</v>
      </c>
      <c r="I3087">
        <v>166732998</v>
      </c>
      <c r="J3087">
        <v>-14795706</v>
      </c>
      <c r="K3087">
        <v>73691190</v>
      </c>
      <c r="L3087">
        <v>-105646635</v>
      </c>
      <c r="M3087">
        <v>-72244139</v>
      </c>
      <c r="N3087">
        <v>-29518719</v>
      </c>
      <c r="O3087">
        <v>-120028865</v>
      </c>
      <c r="P3087">
        <v>108</v>
      </c>
      <c r="Q3087" t="s">
        <v>6218</v>
      </c>
    </row>
    <row r="3088" spans="1:17" x14ac:dyDescent="0.3">
      <c r="A3088" t="s">
        <v>4382</v>
      </c>
      <c r="B3088" t="str">
        <f>"002405"</f>
        <v>002405</v>
      </c>
      <c r="C3088" t="s">
        <v>6219</v>
      </c>
      <c r="D3088" t="s">
        <v>212</v>
      </c>
      <c r="F3088">
        <v>-522383234</v>
      </c>
      <c r="G3088">
        <v>-230775177</v>
      </c>
      <c r="H3088">
        <v>-887252998</v>
      </c>
      <c r="I3088">
        <v>-104095544</v>
      </c>
      <c r="J3088">
        <v>-155879094</v>
      </c>
      <c r="K3088">
        <v>-128383392</v>
      </c>
      <c r="L3088">
        <v>-678772</v>
      </c>
      <c r="M3088">
        <v>-148290362</v>
      </c>
      <c r="N3088">
        <v>-195666014</v>
      </c>
      <c r="O3088">
        <v>-106796214</v>
      </c>
      <c r="P3088">
        <v>3861</v>
      </c>
      <c r="Q3088" t="s">
        <v>6220</v>
      </c>
    </row>
    <row r="3089" spans="1:17" x14ac:dyDescent="0.3">
      <c r="A3089" t="s">
        <v>4382</v>
      </c>
      <c r="B3089" t="str">
        <f>"002406"</f>
        <v>002406</v>
      </c>
      <c r="C3089" t="s">
        <v>6221</v>
      </c>
      <c r="D3089" t="s">
        <v>27</v>
      </c>
      <c r="F3089">
        <v>179425992</v>
      </c>
      <c r="G3089">
        <v>45004270</v>
      </c>
      <c r="H3089">
        <v>73337974</v>
      </c>
      <c r="I3089">
        <v>-16333028</v>
      </c>
      <c r="J3089">
        <v>33700302</v>
      </c>
      <c r="K3089">
        <v>617364</v>
      </c>
      <c r="L3089">
        <v>11527302</v>
      </c>
      <c r="M3089">
        <v>37136350</v>
      </c>
      <c r="N3089">
        <v>-33076526</v>
      </c>
      <c r="O3089">
        <v>9280375</v>
      </c>
      <c r="P3089">
        <v>272</v>
      </c>
      <c r="Q3089" t="s">
        <v>6222</v>
      </c>
    </row>
    <row r="3090" spans="1:17" x14ac:dyDescent="0.3">
      <c r="A3090" t="s">
        <v>4382</v>
      </c>
      <c r="B3090" t="str">
        <f>"002407"</f>
        <v>002407</v>
      </c>
      <c r="C3090" t="s">
        <v>6223</v>
      </c>
      <c r="D3090" t="s">
        <v>133</v>
      </c>
      <c r="F3090">
        <v>201408489</v>
      </c>
      <c r="G3090">
        <v>-152675689</v>
      </c>
      <c r="H3090">
        <v>-539570559</v>
      </c>
      <c r="I3090">
        <v>-392790977</v>
      </c>
      <c r="J3090">
        <v>-377192907</v>
      </c>
      <c r="K3090">
        <v>-233322165</v>
      </c>
      <c r="L3090">
        <v>-36088891</v>
      </c>
      <c r="M3090">
        <v>92807815</v>
      </c>
      <c r="N3090">
        <v>-90980780</v>
      </c>
      <c r="O3090">
        <v>-142813155</v>
      </c>
      <c r="P3090">
        <v>566</v>
      </c>
      <c r="Q3090" t="s">
        <v>6224</v>
      </c>
    </row>
    <row r="3091" spans="1:17" x14ac:dyDescent="0.3">
      <c r="A3091" t="s">
        <v>4382</v>
      </c>
      <c r="B3091" t="str">
        <f>"002408"</f>
        <v>002408</v>
      </c>
      <c r="C3091" t="s">
        <v>6225</v>
      </c>
      <c r="D3091" t="s">
        <v>70</v>
      </c>
      <c r="F3091">
        <v>-1561736463</v>
      </c>
      <c r="G3091">
        <v>-1119507929</v>
      </c>
      <c r="H3091">
        <v>247661743</v>
      </c>
      <c r="I3091">
        <v>342899780</v>
      </c>
      <c r="J3091">
        <v>45106208</v>
      </c>
      <c r="K3091">
        <v>75884542</v>
      </c>
      <c r="L3091">
        <v>-223521911</v>
      </c>
      <c r="M3091">
        <v>-158781559</v>
      </c>
      <c r="N3091">
        <v>12315360</v>
      </c>
      <c r="O3091">
        <v>-834373184</v>
      </c>
      <c r="P3091">
        <v>317</v>
      </c>
      <c r="Q3091" t="s">
        <v>6226</v>
      </c>
    </row>
    <row r="3092" spans="1:17" x14ac:dyDescent="0.3">
      <c r="A3092" t="s">
        <v>4382</v>
      </c>
      <c r="B3092" t="str">
        <f>"002409"</f>
        <v>002409</v>
      </c>
      <c r="C3092" t="s">
        <v>6227</v>
      </c>
      <c r="D3092" t="s">
        <v>150</v>
      </c>
      <c r="F3092">
        <v>-191905227</v>
      </c>
      <c r="G3092">
        <v>18725236</v>
      </c>
      <c r="H3092">
        <v>4774220</v>
      </c>
      <c r="I3092">
        <v>38051496</v>
      </c>
      <c r="J3092">
        <v>-38705125</v>
      </c>
      <c r="K3092">
        <v>8962489</v>
      </c>
      <c r="L3092">
        <v>-13636977</v>
      </c>
      <c r="M3092">
        <v>34848348</v>
      </c>
      <c r="N3092">
        <v>-30005153</v>
      </c>
      <c r="O3092">
        <v>-16434385</v>
      </c>
      <c r="P3092">
        <v>496</v>
      </c>
      <c r="Q3092" t="s">
        <v>6228</v>
      </c>
    </row>
    <row r="3093" spans="1:17" x14ac:dyDescent="0.3">
      <c r="A3093" t="s">
        <v>4382</v>
      </c>
      <c r="B3093" t="str">
        <f>"002410"</f>
        <v>002410</v>
      </c>
      <c r="C3093" t="s">
        <v>6229</v>
      </c>
      <c r="D3093" t="s">
        <v>212</v>
      </c>
      <c r="F3093">
        <v>61274479</v>
      </c>
      <c r="G3093">
        <v>744280866</v>
      </c>
      <c r="H3093">
        <v>-309889509</v>
      </c>
      <c r="I3093">
        <v>-328749848</v>
      </c>
      <c r="J3093">
        <v>-31465051</v>
      </c>
      <c r="K3093">
        <v>-149089633</v>
      </c>
      <c r="L3093">
        <v>-312784958</v>
      </c>
      <c r="M3093">
        <v>135826677</v>
      </c>
      <c r="N3093">
        <v>191513691</v>
      </c>
      <c r="O3093">
        <v>-54780383</v>
      </c>
      <c r="P3093">
        <v>2191</v>
      </c>
      <c r="Q3093" t="s">
        <v>6230</v>
      </c>
    </row>
    <row r="3094" spans="1:17" x14ac:dyDescent="0.3">
      <c r="A3094" t="s">
        <v>4382</v>
      </c>
      <c r="B3094" t="str">
        <f>"002411"</f>
        <v>002411</v>
      </c>
      <c r="C3094" t="s">
        <v>6231</v>
      </c>
      <c r="D3094" t="s">
        <v>113</v>
      </c>
      <c r="F3094">
        <v>250726965</v>
      </c>
      <c r="G3094">
        <v>81098905</v>
      </c>
      <c r="H3094">
        <v>224920083</v>
      </c>
      <c r="I3094">
        <v>-1265911726</v>
      </c>
      <c r="J3094">
        <v>-2424861456</v>
      </c>
      <c r="K3094">
        <v>210017672</v>
      </c>
      <c r="L3094">
        <v>-24084676</v>
      </c>
      <c r="M3094">
        <v>-57153818</v>
      </c>
      <c r="N3094">
        <v>-123069208</v>
      </c>
      <c r="O3094">
        <v>-79375181</v>
      </c>
      <c r="P3094">
        <v>244</v>
      </c>
      <c r="Q3094" t="s">
        <v>6232</v>
      </c>
    </row>
    <row r="3095" spans="1:17" x14ac:dyDescent="0.3">
      <c r="A3095" t="s">
        <v>4382</v>
      </c>
      <c r="B3095" t="str">
        <f>"002412"</f>
        <v>002412</v>
      </c>
      <c r="C3095" t="s">
        <v>6233</v>
      </c>
      <c r="D3095" t="s">
        <v>113</v>
      </c>
      <c r="F3095">
        <v>78457965</v>
      </c>
      <c r="G3095">
        <v>99397576</v>
      </c>
      <c r="H3095">
        <v>98841939</v>
      </c>
      <c r="I3095">
        <v>108767322</v>
      </c>
      <c r="J3095">
        <v>25591943</v>
      </c>
      <c r="K3095">
        <v>69785146</v>
      </c>
      <c r="L3095">
        <v>-33428051</v>
      </c>
      <c r="M3095">
        <v>-8319845</v>
      </c>
      <c r="N3095">
        <v>-38421109</v>
      </c>
      <c r="O3095">
        <v>771611</v>
      </c>
      <c r="P3095">
        <v>155</v>
      </c>
      <c r="Q3095" t="s">
        <v>6234</v>
      </c>
    </row>
    <row r="3096" spans="1:17" x14ac:dyDescent="0.3">
      <c r="A3096" t="s">
        <v>4382</v>
      </c>
      <c r="B3096" t="str">
        <f>"002413"</f>
        <v>002413</v>
      </c>
      <c r="C3096" t="s">
        <v>6235</v>
      </c>
      <c r="D3096" t="s">
        <v>92</v>
      </c>
      <c r="F3096">
        <v>-489170163</v>
      </c>
      <c r="G3096">
        <v>-239392881</v>
      </c>
      <c r="H3096">
        <v>-314693308</v>
      </c>
      <c r="I3096">
        <v>-274471104</v>
      </c>
      <c r="J3096">
        <v>-267534048</v>
      </c>
      <c r="K3096">
        <v>-193873720</v>
      </c>
      <c r="L3096">
        <v>34792184</v>
      </c>
      <c r="M3096">
        <v>-42744712</v>
      </c>
      <c r="N3096">
        <v>-37125424</v>
      </c>
      <c r="O3096">
        <v>-75047484</v>
      </c>
      <c r="P3096">
        <v>218</v>
      </c>
      <c r="Q3096" t="s">
        <v>6236</v>
      </c>
    </row>
    <row r="3097" spans="1:17" x14ac:dyDescent="0.3">
      <c r="A3097" t="s">
        <v>4382</v>
      </c>
      <c r="B3097" t="str">
        <f>"002414"</f>
        <v>002414</v>
      </c>
      <c r="C3097" t="s">
        <v>6237</v>
      </c>
      <c r="D3097" t="s">
        <v>92</v>
      </c>
      <c r="F3097">
        <v>-583931913</v>
      </c>
      <c r="G3097">
        <v>-360282115</v>
      </c>
      <c r="H3097">
        <v>-32370177</v>
      </c>
      <c r="I3097">
        <v>-103283841</v>
      </c>
      <c r="J3097">
        <v>-313961725</v>
      </c>
      <c r="K3097">
        <v>-273468862</v>
      </c>
      <c r="L3097">
        <v>-257828220</v>
      </c>
      <c r="M3097">
        <v>-356090516</v>
      </c>
      <c r="N3097">
        <v>-319474458</v>
      </c>
      <c r="O3097">
        <v>-304598041</v>
      </c>
      <c r="P3097">
        <v>790</v>
      </c>
      <c r="Q3097" t="s">
        <v>6238</v>
      </c>
    </row>
    <row r="3098" spans="1:17" x14ac:dyDescent="0.3">
      <c r="A3098" t="s">
        <v>4382</v>
      </c>
      <c r="B3098" t="str">
        <f>"002415"</f>
        <v>002415</v>
      </c>
      <c r="C3098" t="s">
        <v>6239</v>
      </c>
      <c r="D3098" t="s">
        <v>212</v>
      </c>
      <c r="F3098">
        <v>1821428655</v>
      </c>
      <c r="G3098">
        <v>3950281155</v>
      </c>
      <c r="H3098">
        <v>-1094163185</v>
      </c>
      <c r="I3098">
        <v>608053197</v>
      </c>
      <c r="J3098">
        <v>-873308852</v>
      </c>
      <c r="K3098">
        <v>1352654037</v>
      </c>
      <c r="L3098">
        <v>-1636910331</v>
      </c>
      <c r="M3098">
        <v>-121953402</v>
      </c>
      <c r="N3098">
        <v>-107714715</v>
      </c>
      <c r="O3098">
        <v>-284106129</v>
      </c>
      <c r="P3098">
        <v>63223</v>
      </c>
      <c r="Q3098" t="s">
        <v>6240</v>
      </c>
    </row>
    <row r="3099" spans="1:17" x14ac:dyDescent="0.3">
      <c r="A3099" t="s">
        <v>4382</v>
      </c>
      <c r="B3099" t="str">
        <f>"002416"</f>
        <v>002416</v>
      </c>
      <c r="C3099" t="s">
        <v>6241</v>
      </c>
      <c r="D3099" t="s">
        <v>120</v>
      </c>
      <c r="F3099">
        <v>-4902146528</v>
      </c>
      <c r="G3099">
        <v>1052689266</v>
      </c>
      <c r="H3099">
        <v>-390500156</v>
      </c>
      <c r="I3099">
        <v>3679111011</v>
      </c>
      <c r="J3099">
        <v>-2338089284</v>
      </c>
      <c r="K3099">
        <v>777643358</v>
      </c>
      <c r="L3099">
        <v>713108414</v>
      </c>
      <c r="M3099">
        <v>814405570</v>
      </c>
      <c r="N3099">
        <v>887385007</v>
      </c>
      <c r="O3099">
        <v>587346122</v>
      </c>
      <c r="P3099">
        <v>252</v>
      </c>
      <c r="Q3099" t="s">
        <v>6242</v>
      </c>
    </row>
    <row r="3100" spans="1:17" x14ac:dyDescent="0.3">
      <c r="A3100" t="s">
        <v>4382</v>
      </c>
      <c r="B3100" t="str">
        <f>"002417"</f>
        <v>002417</v>
      </c>
      <c r="C3100" t="s">
        <v>6243</v>
      </c>
      <c r="D3100" t="s">
        <v>212</v>
      </c>
      <c r="F3100">
        <v>-39751058</v>
      </c>
      <c r="G3100">
        <v>7571446</v>
      </c>
      <c r="H3100">
        <v>-11717498</v>
      </c>
      <c r="I3100">
        <v>77061404</v>
      </c>
      <c r="J3100">
        <v>147654643</v>
      </c>
      <c r="K3100">
        <v>-5861679</v>
      </c>
      <c r="L3100">
        <v>-41166820</v>
      </c>
      <c r="M3100">
        <v>-87291738</v>
      </c>
      <c r="N3100">
        <v>-110808588</v>
      </c>
      <c r="O3100">
        <v>-202862039</v>
      </c>
      <c r="P3100">
        <v>140</v>
      </c>
      <c r="Q3100" t="s">
        <v>6244</v>
      </c>
    </row>
    <row r="3101" spans="1:17" x14ac:dyDescent="0.3">
      <c r="A3101" t="s">
        <v>4382</v>
      </c>
      <c r="B3101" t="str">
        <f>"002418"</f>
        <v>002418</v>
      </c>
      <c r="C3101" t="s">
        <v>6245</v>
      </c>
      <c r="D3101" t="s">
        <v>126</v>
      </c>
      <c r="F3101">
        <v>4035524</v>
      </c>
      <c r="G3101">
        <v>238549711</v>
      </c>
      <c r="H3101">
        <v>-2260258</v>
      </c>
      <c r="I3101">
        <v>-623774271</v>
      </c>
      <c r="J3101">
        <v>-1701655025</v>
      </c>
      <c r="K3101">
        <v>-1920028432</v>
      </c>
      <c r="L3101">
        <v>-175824025</v>
      </c>
      <c r="M3101">
        <v>-4757027</v>
      </c>
      <c r="N3101">
        <v>8195822</v>
      </c>
      <c r="O3101">
        <v>-246699037</v>
      </c>
      <c r="P3101">
        <v>94</v>
      </c>
      <c r="Q3101" t="s">
        <v>6246</v>
      </c>
    </row>
    <row r="3102" spans="1:17" x14ac:dyDescent="0.3">
      <c r="A3102" t="s">
        <v>4382</v>
      </c>
      <c r="B3102" t="str">
        <f>"002419"</f>
        <v>002419</v>
      </c>
      <c r="C3102" t="s">
        <v>6247</v>
      </c>
      <c r="D3102" t="s">
        <v>120</v>
      </c>
      <c r="F3102">
        <v>1298370535</v>
      </c>
      <c r="G3102">
        <v>-220323855</v>
      </c>
      <c r="H3102">
        <v>-41119245</v>
      </c>
      <c r="I3102">
        <v>693719055</v>
      </c>
      <c r="J3102">
        <v>-373929642</v>
      </c>
      <c r="K3102">
        <v>96976984</v>
      </c>
      <c r="L3102">
        <v>763352728</v>
      </c>
      <c r="M3102">
        <v>57740447</v>
      </c>
      <c r="N3102">
        <v>-57305253</v>
      </c>
      <c r="O3102">
        <v>350317690</v>
      </c>
      <c r="P3102">
        <v>421</v>
      </c>
      <c r="Q3102" t="s">
        <v>6248</v>
      </c>
    </row>
    <row r="3103" spans="1:17" x14ac:dyDescent="0.3">
      <c r="A3103" t="s">
        <v>4382</v>
      </c>
      <c r="B3103" t="str">
        <f>"002420"</f>
        <v>002420</v>
      </c>
      <c r="C3103" t="s">
        <v>6249</v>
      </c>
      <c r="D3103" t="s">
        <v>126</v>
      </c>
      <c r="F3103">
        <v>-70246509</v>
      </c>
      <c r="G3103">
        <v>-86547138</v>
      </c>
      <c r="H3103">
        <v>-99770583</v>
      </c>
      <c r="I3103">
        <v>302669890</v>
      </c>
      <c r="J3103">
        <v>-236581865</v>
      </c>
      <c r="K3103">
        <v>234251134</v>
      </c>
      <c r="L3103">
        <v>-76919264</v>
      </c>
      <c r="M3103">
        <v>-17129863</v>
      </c>
      <c r="N3103">
        <v>-11871799</v>
      </c>
      <c r="O3103">
        <v>15503148</v>
      </c>
      <c r="P3103">
        <v>82</v>
      </c>
      <c r="Q3103" t="s">
        <v>6250</v>
      </c>
    </row>
    <row r="3104" spans="1:17" x14ac:dyDescent="0.3">
      <c r="A3104" t="s">
        <v>4382</v>
      </c>
      <c r="B3104" t="str">
        <f>"002421"</f>
        <v>002421</v>
      </c>
      <c r="C3104" t="s">
        <v>6251</v>
      </c>
      <c r="D3104" t="s">
        <v>212</v>
      </c>
      <c r="F3104">
        <v>-852375026</v>
      </c>
      <c r="G3104">
        <v>-333255168</v>
      </c>
      <c r="H3104">
        <v>-116501657</v>
      </c>
      <c r="I3104">
        <v>-712619168</v>
      </c>
      <c r="J3104">
        <v>-193469176</v>
      </c>
      <c r="K3104">
        <v>-177300085</v>
      </c>
      <c r="L3104">
        <v>-181519479</v>
      </c>
      <c r="M3104">
        <v>-167330707</v>
      </c>
      <c r="N3104">
        <v>-7876112</v>
      </c>
      <c r="O3104">
        <v>-13874997</v>
      </c>
      <c r="P3104">
        <v>199</v>
      </c>
      <c r="Q3104" t="s">
        <v>6252</v>
      </c>
    </row>
    <row r="3105" spans="1:17" x14ac:dyDescent="0.3">
      <c r="A3105" t="s">
        <v>4382</v>
      </c>
      <c r="B3105" t="str">
        <f>"002422"</f>
        <v>002422</v>
      </c>
      <c r="C3105" t="s">
        <v>6253</v>
      </c>
      <c r="D3105" t="s">
        <v>113</v>
      </c>
      <c r="F3105">
        <v>1252817725</v>
      </c>
      <c r="G3105">
        <v>322347913</v>
      </c>
      <c r="H3105">
        <v>1134026129</v>
      </c>
      <c r="I3105">
        <v>1179354541</v>
      </c>
      <c r="J3105">
        <v>-393256464</v>
      </c>
      <c r="K3105">
        <v>534511805</v>
      </c>
      <c r="L3105">
        <v>-327208618</v>
      </c>
      <c r="M3105">
        <v>-911313906</v>
      </c>
      <c r="N3105">
        <v>-734999795</v>
      </c>
      <c r="O3105">
        <v>-1818579195</v>
      </c>
      <c r="P3105">
        <v>927</v>
      </c>
      <c r="Q3105" t="s">
        <v>6254</v>
      </c>
    </row>
    <row r="3106" spans="1:17" x14ac:dyDescent="0.3">
      <c r="A3106" t="s">
        <v>4382</v>
      </c>
      <c r="B3106" t="str">
        <f>"002423"</f>
        <v>002423</v>
      </c>
      <c r="C3106" t="s">
        <v>6255</v>
      </c>
      <c r="D3106" t="s">
        <v>75</v>
      </c>
      <c r="F3106">
        <v>9422796194</v>
      </c>
      <c r="G3106">
        <v>6292879013</v>
      </c>
      <c r="H3106">
        <v>4250811838</v>
      </c>
      <c r="I3106">
        <v>-100905871</v>
      </c>
      <c r="J3106">
        <v>-64052207</v>
      </c>
      <c r="K3106">
        <v>-130881873</v>
      </c>
      <c r="L3106">
        <v>-222538618</v>
      </c>
      <c r="M3106">
        <v>-327237539</v>
      </c>
      <c r="N3106">
        <v>-200931691</v>
      </c>
      <c r="O3106">
        <v>-93691196</v>
      </c>
      <c r="P3106">
        <v>145</v>
      </c>
      <c r="Q3106" t="s">
        <v>6256</v>
      </c>
    </row>
    <row r="3107" spans="1:17" x14ac:dyDescent="0.3">
      <c r="A3107" t="s">
        <v>4382</v>
      </c>
      <c r="B3107" t="str">
        <f>"002424"</f>
        <v>002424</v>
      </c>
      <c r="C3107" t="s">
        <v>6257</v>
      </c>
      <c r="D3107" t="s">
        <v>113</v>
      </c>
      <c r="F3107">
        <v>22056187</v>
      </c>
      <c r="G3107">
        <v>8484797</v>
      </c>
      <c r="H3107">
        <v>-231868613</v>
      </c>
      <c r="I3107">
        <v>-425829205</v>
      </c>
      <c r="J3107">
        <v>-449435176</v>
      </c>
      <c r="K3107">
        <v>-154960264</v>
      </c>
      <c r="L3107">
        <v>1482894</v>
      </c>
      <c r="M3107">
        <v>250697506</v>
      </c>
      <c r="N3107">
        <v>19998287</v>
      </c>
      <c r="O3107">
        <v>-314503155</v>
      </c>
      <c r="P3107">
        <v>472</v>
      </c>
      <c r="Q3107" t="s">
        <v>6258</v>
      </c>
    </row>
    <row r="3108" spans="1:17" x14ac:dyDescent="0.3">
      <c r="A3108" t="s">
        <v>4382</v>
      </c>
      <c r="B3108" t="str">
        <f>"002425"</f>
        <v>002425</v>
      </c>
      <c r="C3108" t="s">
        <v>6259</v>
      </c>
      <c r="D3108" t="s">
        <v>89</v>
      </c>
      <c r="F3108">
        <v>-67794511</v>
      </c>
      <c r="G3108">
        <v>50863631</v>
      </c>
      <c r="H3108">
        <v>15957661</v>
      </c>
      <c r="I3108">
        <v>-73871489</v>
      </c>
      <c r="J3108">
        <v>-118774305</v>
      </c>
      <c r="K3108">
        <v>96191634</v>
      </c>
      <c r="L3108">
        <v>-62367548</v>
      </c>
      <c r="M3108">
        <v>-362923</v>
      </c>
      <c r="N3108">
        <v>6773345</v>
      </c>
      <c r="O3108">
        <v>-81687106</v>
      </c>
      <c r="P3108">
        <v>257</v>
      </c>
      <c r="Q3108" t="s">
        <v>6260</v>
      </c>
    </row>
    <row r="3109" spans="1:17" x14ac:dyDescent="0.3">
      <c r="A3109" t="s">
        <v>4382</v>
      </c>
      <c r="B3109" t="str">
        <f>"002426"</f>
        <v>002426</v>
      </c>
      <c r="C3109" t="s">
        <v>6261</v>
      </c>
      <c r="D3109" t="s">
        <v>78</v>
      </c>
      <c r="F3109">
        <v>-412975271</v>
      </c>
      <c r="G3109">
        <v>421807987</v>
      </c>
      <c r="H3109">
        <v>419140241</v>
      </c>
      <c r="I3109">
        <v>-1449417891</v>
      </c>
      <c r="J3109">
        <v>-2088181884</v>
      </c>
      <c r="K3109">
        <v>-1475674292</v>
      </c>
      <c r="L3109">
        <v>-1149022913</v>
      </c>
      <c r="M3109">
        <v>-624451747</v>
      </c>
      <c r="N3109">
        <v>-160424516</v>
      </c>
      <c r="O3109">
        <v>-40684343</v>
      </c>
      <c r="P3109">
        <v>207</v>
      </c>
      <c r="Q3109" t="s">
        <v>6262</v>
      </c>
    </row>
    <row r="3110" spans="1:17" x14ac:dyDescent="0.3">
      <c r="A3110" t="s">
        <v>4382</v>
      </c>
      <c r="B3110" t="str">
        <f>"002427"</f>
        <v>002427</v>
      </c>
      <c r="C3110" t="s">
        <v>6263</v>
      </c>
      <c r="D3110" t="s">
        <v>133</v>
      </c>
      <c r="F3110">
        <v>-12887652</v>
      </c>
      <c r="G3110">
        <v>71858681</v>
      </c>
      <c r="H3110">
        <v>159523727</v>
      </c>
      <c r="I3110">
        <v>-591374417</v>
      </c>
      <c r="J3110">
        <v>-212624232</v>
      </c>
      <c r="K3110">
        <v>202224318</v>
      </c>
      <c r="L3110">
        <v>-43576497</v>
      </c>
      <c r="M3110">
        <v>241746025</v>
      </c>
      <c r="N3110">
        <v>-154601638</v>
      </c>
      <c r="O3110">
        <v>-433695969</v>
      </c>
      <c r="P3110">
        <v>82</v>
      </c>
      <c r="Q3110" t="s">
        <v>6264</v>
      </c>
    </row>
    <row r="3111" spans="1:17" x14ac:dyDescent="0.3">
      <c r="A3111" t="s">
        <v>4382</v>
      </c>
      <c r="B3111" t="str">
        <f>"002428"</f>
        <v>002428</v>
      </c>
      <c r="C3111" t="s">
        <v>6265</v>
      </c>
      <c r="D3111" t="s">
        <v>234</v>
      </c>
      <c r="F3111">
        <v>-25640596</v>
      </c>
      <c r="G3111">
        <v>-74103331</v>
      </c>
      <c r="H3111">
        <v>-116850877</v>
      </c>
      <c r="I3111">
        <v>-21880743</v>
      </c>
      <c r="J3111">
        <v>54725956</v>
      </c>
      <c r="K3111">
        <v>88274495</v>
      </c>
      <c r="L3111">
        <v>-102645284</v>
      </c>
      <c r="M3111">
        <v>-71139461</v>
      </c>
      <c r="N3111">
        <v>7376824</v>
      </c>
      <c r="O3111">
        <v>-394140778</v>
      </c>
      <c r="P3111">
        <v>186</v>
      </c>
      <c r="Q3111" t="s">
        <v>6266</v>
      </c>
    </row>
    <row r="3112" spans="1:17" x14ac:dyDescent="0.3">
      <c r="A3112" t="s">
        <v>4382</v>
      </c>
      <c r="B3112" t="str">
        <f>"002429"</f>
        <v>002429</v>
      </c>
      <c r="C3112" t="s">
        <v>6267</v>
      </c>
      <c r="D3112" t="s">
        <v>126</v>
      </c>
      <c r="F3112">
        <v>-1105557307</v>
      </c>
      <c r="G3112">
        <v>-3407042637</v>
      </c>
      <c r="H3112">
        <v>-2327643449</v>
      </c>
      <c r="I3112">
        <v>-773357292</v>
      </c>
      <c r="J3112">
        <v>-556673093</v>
      </c>
      <c r="K3112">
        <v>42149542</v>
      </c>
      <c r="L3112">
        <v>-1303176950</v>
      </c>
      <c r="M3112">
        <v>474642851</v>
      </c>
      <c r="N3112">
        <v>-268106312</v>
      </c>
      <c r="O3112">
        <v>215973012</v>
      </c>
      <c r="P3112">
        <v>454</v>
      </c>
      <c r="Q3112" t="s">
        <v>6268</v>
      </c>
    </row>
    <row r="3113" spans="1:17" x14ac:dyDescent="0.3">
      <c r="A3113" t="s">
        <v>4382</v>
      </c>
      <c r="B3113" t="str">
        <f>"002430"</f>
        <v>002430</v>
      </c>
      <c r="C3113" t="s">
        <v>6269</v>
      </c>
      <c r="D3113" t="s">
        <v>78</v>
      </c>
      <c r="F3113">
        <v>367293854</v>
      </c>
      <c r="G3113">
        <v>15226892</v>
      </c>
      <c r="H3113">
        <v>504738376</v>
      </c>
      <c r="I3113">
        <v>692015347</v>
      </c>
      <c r="J3113">
        <v>508381216</v>
      </c>
      <c r="K3113">
        <v>-247896625</v>
      </c>
      <c r="L3113">
        <v>54351920</v>
      </c>
      <c r="M3113">
        <v>-242383643</v>
      </c>
      <c r="N3113">
        <v>-988184177</v>
      </c>
      <c r="O3113">
        <v>-943302122</v>
      </c>
      <c r="P3113">
        <v>395</v>
      </c>
      <c r="Q3113" t="s">
        <v>6270</v>
      </c>
    </row>
    <row r="3114" spans="1:17" x14ac:dyDescent="0.3">
      <c r="A3114" t="s">
        <v>4382</v>
      </c>
      <c r="B3114" t="str">
        <f>"002431"</f>
        <v>002431</v>
      </c>
      <c r="C3114" t="s">
        <v>6271</v>
      </c>
      <c r="D3114" t="s">
        <v>95</v>
      </c>
      <c r="F3114">
        <v>-287574228</v>
      </c>
      <c r="G3114">
        <v>-386747071</v>
      </c>
      <c r="H3114">
        <v>-423549222</v>
      </c>
      <c r="I3114">
        <v>176523448</v>
      </c>
      <c r="J3114">
        <v>-222570140</v>
      </c>
      <c r="K3114">
        <v>-395236921</v>
      </c>
      <c r="L3114">
        <v>-933571613</v>
      </c>
      <c r="M3114">
        <v>-436109287</v>
      </c>
      <c r="N3114">
        <v>-354601489</v>
      </c>
      <c r="O3114">
        <v>-500869179</v>
      </c>
      <c r="P3114">
        <v>124</v>
      </c>
      <c r="Q3114" t="s">
        <v>6272</v>
      </c>
    </row>
    <row r="3115" spans="1:17" x14ac:dyDescent="0.3">
      <c r="A3115" t="s">
        <v>4382</v>
      </c>
      <c r="B3115" t="str">
        <f>"002432"</f>
        <v>002432</v>
      </c>
      <c r="C3115" t="s">
        <v>6273</v>
      </c>
      <c r="D3115" t="s">
        <v>113</v>
      </c>
      <c r="F3115">
        <v>-104046699</v>
      </c>
      <c r="G3115">
        <v>372958102</v>
      </c>
      <c r="H3115">
        <v>-104797814</v>
      </c>
      <c r="I3115">
        <v>-279482206</v>
      </c>
      <c r="J3115">
        <v>-124421674</v>
      </c>
      <c r="K3115">
        <v>-142942016</v>
      </c>
      <c r="L3115">
        <v>-183203701</v>
      </c>
      <c r="M3115">
        <v>-90064800</v>
      </c>
      <c r="N3115">
        <v>-81160154</v>
      </c>
      <c r="O3115">
        <v>-28480817</v>
      </c>
      <c r="P3115">
        <v>282</v>
      </c>
      <c r="Q3115" t="s">
        <v>6274</v>
      </c>
    </row>
    <row r="3116" spans="1:17" x14ac:dyDescent="0.3">
      <c r="A3116" t="s">
        <v>4382</v>
      </c>
      <c r="B3116" t="str">
        <f>"002433"</f>
        <v>002433</v>
      </c>
      <c r="C3116" t="s">
        <v>6275</v>
      </c>
      <c r="D3116" t="s">
        <v>113</v>
      </c>
      <c r="F3116">
        <v>549488593</v>
      </c>
      <c r="G3116">
        <v>-347971994</v>
      </c>
      <c r="H3116">
        <v>203993803</v>
      </c>
      <c r="I3116">
        <v>-52494714</v>
      </c>
      <c r="J3116">
        <v>-540251640</v>
      </c>
      <c r="K3116">
        <v>-628814657</v>
      </c>
      <c r="L3116">
        <v>-624353441</v>
      </c>
      <c r="M3116">
        <v>-255603088</v>
      </c>
      <c r="N3116">
        <v>-297604466</v>
      </c>
      <c r="O3116">
        <v>-138091557</v>
      </c>
      <c r="P3116">
        <v>235</v>
      </c>
      <c r="Q3116" t="s">
        <v>6276</v>
      </c>
    </row>
    <row r="3117" spans="1:17" x14ac:dyDescent="0.3">
      <c r="A3117" t="s">
        <v>4382</v>
      </c>
      <c r="B3117" t="str">
        <f>"002434"</f>
        <v>002434</v>
      </c>
      <c r="C3117" t="s">
        <v>6277</v>
      </c>
      <c r="D3117" t="s">
        <v>27</v>
      </c>
      <c r="F3117">
        <v>313957470</v>
      </c>
      <c r="G3117">
        <v>328874698</v>
      </c>
      <c r="H3117">
        <v>536791981</v>
      </c>
      <c r="I3117">
        <v>177178387</v>
      </c>
      <c r="J3117">
        <v>154656709</v>
      </c>
      <c r="K3117">
        <v>-38182267</v>
      </c>
      <c r="L3117">
        <v>-217833727</v>
      </c>
      <c r="M3117">
        <v>-199073388</v>
      </c>
      <c r="N3117">
        <v>64862052</v>
      </c>
      <c r="O3117">
        <v>38278656</v>
      </c>
      <c r="P3117">
        <v>238</v>
      </c>
      <c r="Q3117" t="s">
        <v>6278</v>
      </c>
    </row>
    <row r="3118" spans="1:17" x14ac:dyDescent="0.3">
      <c r="A3118" t="s">
        <v>4382</v>
      </c>
      <c r="B3118" t="str">
        <f>"002435"</f>
        <v>002435</v>
      </c>
      <c r="C3118" t="s">
        <v>6279</v>
      </c>
      <c r="D3118" t="s">
        <v>113</v>
      </c>
      <c r="F3118">
        <v>-291667220</v>
      </c>
      <c r="G3118">
        <v>-203166371</v>
      </c>
      <c r="H3118">
        <v>-249903832</v>
      </c>
      <c r="I3118">
        <v>11730235</v>
      </c>
      <c r="J3118">
        <v>197770010</v>
      </c>
      <c r="K3118">
        <v>112502370</v>
      </c>
      <c r="L3118">
        <v>-136518639</v>
      </c>
      <c r="M3118">
        <v>-59738522</v>
      </c>
      <c r="N3118">
        <v>-89700464</v>
      </c>
      <c r="O3118">
        <v>-5625226</v>
      </c>
      <c r="P3118">
        <v>139</v>
      </c>
      <c r="Q3118" t="s">
        <v>6280</v>
      </c>
    </row>
    <row r="3119" spans="1:17" x14ac:dyDescent="0.3">
      <c r="A3119" t="s">
        <v>4382</v>
      </c>
      <c r="B3119" t="str">
        <f>"002436"</f>
        <v>002436</v>
      </c>
      <c r="C3119" t="s">
        <v>6281</v>
      </c>
      <c r="D3119" t="s">
        <v>150</v>
      </c>
      <c r="F3119">
        <v>-291070711</v>
      </c>
      <c r="G3119">
        <v>86440141</v>
      </c>
      <c r="H3119">
        <v>57686387</v>
      </c>
      <c r="I3119">
        <v>35368994</v>
      </c>
      <c r="J3119">
        <v>142562910</v>
      </c>
      <c r="K3119">
        <v>-51935518</v>
      </c>
      <c r="L3119">
        <v>-305727146</v>
      </c>
      <c r="M3119">
        <v>27497156</v>
      </c>
      <c r="N3119">
        <v>-38682471</v>
      </c>
      <c r="O3119">
        <v>-190941302</v>
      </c>
      <c r="P3119">
        <v>563</v>
      </c>
      <c r="Q3119" t="s">
        <v>6282</v>
      </c>
    </row>
    <row r="3120" spans="1:17" x14ac:dyDescent="0.3">
      <c r="A3120" t="s">
        <v>4382</v>
      </c>
      <c r="B3120" t="str">
        <f>"002437"</f>
        <v>002437</v>
      </c>
      <c r="C3120" t="s">
        <v>6283</v>
      </c>
      <c r="D3120" t="s">
        <v>113</v>
      </c>
      <c r="F3120">
        <v>187107905</v>
      </c>
      <c r="G3120">
        <v>-71735594</v>
      </c>
      <c r="H3120">
        <v>677907942</v>
      </c>
      <c r="I3120">
        <v>524264819</v>
      </c>
      <c r="J3120">
        <v>323247662</v>
      </c>
      <c r="K3120">
        <v>447484002</v>
      </c>
      <c r="L3120">
        <v>426057081</v>
      </c>
      <c r="M3120">
        <v>259923392</v>
      </c>
      <c r="N3120">
        <v>156881827</v>
      </c>
      <c r="O3120">
        <v>55402174</v>
      </c>
      <c r="P3120">
        <v>189</v>
      </c>
      <c r="Q3120" t="s">
        <v>6284</v>
      </c>
    </row>
    <row r="3121" spans="1:17" x14ac:dyDescent="0.3">
      <c r="A3121" t="s">
        <v>4382</v>
      </c>
      <c r="B3121" t="str">
        <f>"002438"</f>
        <v>002438</v>
      </c>
      <c r="C3121" t="s">
        <v>6285</v>
      </c>
      <c r="D3121" t="s">
        <v>78</v>
      </c>
      <c r="F3121">
        <v>-257614057</v>
      </c>
      <c r="G3121">
        <v>-64984076</v>
      </c>
      <c r="H3121">
        <v>-69850586</v>
      </c>
      <c r="I3121">
        <v>-105203078</v>
      </c>
      <c r="J3121">
        <v>10397256</v>
      </c>
      <c r="K3121">
        <v>-58090234</v>
      </c>
      <c r="L3121">
        <v>-125867029</v>
      </c>
      <c r="M3121">
        <v>-56495354</v>
      </c>
      <c r="N3121">
        <v>-48919924</v>
      </c>
      <c r="O3121">
        <v>-122846451</v>
      </c>
      <c r="P3121">
        <v>186</v>
      </c>
      <c r="Q3121" t="s">
        <v>6286</v>
      </c>
    </row>
    <row r="3122" spans="1:17" x14ac:dyDescent="0.3">
      <c r="A3122" t="s">
        <v>4382</v>
      </c>
      <c r="B3122" t="str">
        <f>"002439"</f>
        <v>002439</v>
      </c>
      <c r="C3122" t="s">
        <v>6287</v>
      </c>
      <c r="D3122" t="s">
        <v>212</v>
      </c>
      <c r="F3122">
        <v>-773817020</v>
      </c>
      <c r="G3122">
        <v>-130180058</v>
      </c>
      <c r="H3122">
        <v>-243558841</v>
      </c>
      <c r="I3122">
        <v>-318925775</v>
      </c>
      <c r="J3122">
        <v>-332248661</v>
      </c>
      <c r="K3122">
        <v>-332391493</v>
      </c>
      <c r="L3122">
        <v>-256780036</v>
      </c>
      <c r="M3122">
        <v>-155351026</v>
      </c>
      <c r="N3122">
        <v>-140360787</v>
      </c>
      <c r="O3122">
        <v>-101080430</v>
      </c>
      <c r="P3122">
        <v>1190</v>
      </c>
      <c r="Q3122" t="s">
        <v>6288</v>
      </c>
    </row>
    <row r="3123" spans="1:17" x14ac:dyDescent="0.3">
      <c r="A3123" t="s">
        <v>4382</v>
      </c>
      <c r="B3123" t="str">
        <f>"002440"</f>
        <v>002440</v>
      </c>
      <c r="C3123" t="s">
        <v>6289</v>
      </c>
      <c r="D3123" t="s">
        <v>133</v>
      </c>
      <c r="F3123">
        <v>600774770</v>
      </c>
      <c r="G3123">
        <v>1332677442</v>
      </c>
      <c r="H3123">
        <v>1278570757</v>
      </c>
      <c r="I3123">
        <v>501400833</v>
      </c>
      <c r="J3123">
        <v>346237251</v>
      </c>
      <c r="K3123">
        <v>855074950</v>
      </c>
      <c r="L3123">
        <v>191132108</v>
      </c>
      <c r="M3123">
        <v>743003700</v>
      </c>
      <c r="N3123">
        <v>194922743</v>
      </c>
      <c r="O3123">
        <v>222159972</v>
      </c>
      <c r="P3123">
        <v>537</v>
      </c>
      <c r="Q3123" t="s">
        <v>6290</v>
      </c>
    </row>
    <row r="3124" spans="1:17" x14ac:dyDescent="0.3">
      <c r="A3124" t="s">
        <v>4382</v>
      </c>
      <c r="B3124" t="str">
        <f>"002441"</f>
        <v>002441</v>
      </c>
      <c r="C3124" t="s">
        <v>6291</v>
      </c>
      <c r="D3124" t="s">
        <v>188</v>
      </c>
      <c r="F3124">
        <v>-777347253</v>
      </c>
      <c r="G3124">
        <v>357531387</v>
      </c>
      <c r="H3124">
        <v>51713769</v>
      </c>
      <c r="I3124">
        <v>-407308900</v>
      </c>
      <c r="J3124">
        <v>-297085305</v>
      </c>
      <c r="K3124">
        <v>130053931</v>
      </c>
      <c r="L3124">
        <v>-220859619</v>
      </c>
      <c r="M3124">
        <v>-121985846</v>
      </c>
      <c r="N3124">
        <v>-282353093</v>
      </c>
      <c r="O3124">
        <v>17395429</v>
      </c>
      <c r="P3124">
        <v>134</v>
      </c>
      <c r="Q3124" t="s">
        <v>6292</v>
      </c>
    </row>
    <row r="3125" spans="1:17" x14ac:dyDescent="0.3">
      <c r="A3125" t="s">
        <v>4382</v>
      </c>
      <c r="B3125" t="str">
        <f>"002442"</f>
        <v>002442</v>
      </c>
      <c r="C3125" t="s">
        <v>6293</v>
      </c>
      <c r="D3125" t="s">
        <v>133</v>
      </c>
      <c r="F3125">
        <v>-114400954</v>
      </c>
      <c r="G3125">
        <v>-190501132</v>
      </c>
      <c r="H3125">
        <v>268545117</v>
      </c>
      <c r="I3125">
        <v>170459517</v>
      </c>
      <c r="J3125">
        <v>172474040</v>
      </c>
      <c r="K3125">
        <v>326687144</v>
      </c>
      <c r="L3125">
        <v>53907240</v>
      </c>
      <c r="M3125">
        <v>-104689742</v>
      </c>
      <c r="N3125">
        <v>-102078464</v>
      </c>
      <c r="O3125">
        <v>-396939140</v>
      </c>
      <c r="P3125">
        <v>105</v>
      </c>
      <c r="Q3125" t="s">
        <v>6294</v>
      </c>
    </row>
    <row r="3126" spans="1:17" x14ac:dyDescent="0.3">
      <c r="A3126" t="s">
        <v>4382</v>
      </c>
      <c r="B3126" t="str">
        <f>"002443"</f>
        <v>002443</v>
      </c>
      <c r="C3126" t="s">
        <v>6295</v>
      </c>
      <c r="D3126" t="s">
        <v>38</v>
      </c>
      <c r="F3126">
        <v>-212941680</v>
      </c>
      <c r="G3126">
        <v>268876377</v>
      </c>
      <c r="H3126">
        <v>185415520</v>
      </c>
      <c r="I3126">
        <v>-531908946</v>
      </c>
      <c r="J3126">
        <v>-371344854</v>
      </c>
      <c r="K3126">
        <v>-25303387</v>
      </c>
      <c r="L3126">
        <v>139433040</v>
      </c>
      <c r="M3126">
        <v>-142487001</v>
      </c>
      <c r="N3126">
        <v>-371232265</v>
      </c>
      <c r="O3126">
        <v>-348026896</v>
      </c>
      <c r="P3126">
        <v>257</v>
      </c>
      <c r="Q3126" t="s">
        <v>6296</v>
      </c>
    </row>
    <row r="3127" spans="1:17" x14ac:dyDescent="0.3">
      <c r="A3127" t="s">
        <v>4382</v>
      </c>
      <c r="B3127" t="str">
        <f>"002444"</f>
        <v>002444</v>
      </c>
      <c r="C3127" t="s">
        <v>6297</v>
      </c>
      <c r="D3127" t="s">
        <v>78</v>
      </c>
      <c r="F3127">
        <v>-727998257</v>
      </c>
      <c r="G3127">
        <v>169882242</v>
      </c>
      <c r="H3127">
        <v>65239073</v>
      </c>
      <c r="I3127">
        <v>6134738</v>
      </c>
      <c r="J3127">
        <v>285688191</v>
      </c>
      <c r="K3127">
        <v>253576145</v>
      </c>
      <c r="L3127">
        <v>174941641</v>
      </c>
      <c r="M3127">
        <v>110754735</v>
      </c>
      <c r="N3127">
        <v>97447660</v>
      </c>
      <c r="O3127">
        <v>149171138</v>
      </c>
      <c r="P3127">
        <v>658</v>
      </c>
      <c r="Q3127" t="s">
        <v>6298</v>
      </c>
    </row>
    <row r="3128" spans="1:17" x14ac:dyDescent="0.3">
      <c r="A3128" t="s">
        <v>4382</v>
      </c>
      <c r="B3128" t="str">
        <f>"002445"</f>
        <v>002445</v>
      </c>
      <c r="C3128" t="s">
        <v>6299</v>
      </c>
      <c r="D3128" t="s">
        <v>89</v>
      </c>
      <c r="F3128">
        <v>-63669887</v>
      </c>
      <c r="G3128">
        <v>123127423</v>
      </c>
      <c r="H3128">
        <v>-1242039</v>
      </c>
      <c r="I3128">
        <v>194131330</v>
      </c>
      <c r="J3128">
        <v>-71603829</v>
      </c>
      <c r="K3128">
        <v>-160336341</v>
      </c>
      <c r="L3128">
        <v>213393815</v>
      </c>
      <c r="M3128">
        <v>-198894465</v>
      </c>
      <c r="N3128">
        <v>34695463</v>
      </c>
      <c r="O3128">
        <v>-177191125</v>
      </c>
      <c r="P3128">
        <v>110</v>
      </c>
      <c r="Q3128" t="s">
        <v>6300</v>
      </c>
    </row>
    <row r="3129" spans="1:17" x14ac:dyDescent="0.3">
      <c r="A3129" t="s">
        <v>4382</v>
      </c>
      <c r="B3129" t="str">
        <f>"002446"</f>
        <v>002446</v>
      </c>
      <c r="C3129" t="s">
        <v>6301</v>
      </c>
      <c r="D3129" t="s">
        <v>92</v>
      </c>
      <c r="F3129">
        <v>-194487204</v>
      </c>
      <c r="G3129">
        <v>-81778457</v>
      </c>
      <c r="H3129">
        <v>-17793813</v>
      </c>
      <c r="I3129">
        <v>-155882880</v>
      </c>
      <c r="J3129">
        <v>-67829518</v>
      </c>
      <c r="K3129">
        <v>-75485756</v>
      </c>
      <c r="L3129">
        <v>-115889535</v>
      </c>
      <c r="M3129">
        <v>-62170241</v>
      </c>
      <c r="N3129">
        <v>-28787074</v>
      </c>
      <c r="O3129">
        <v>-33834483</v>
      </c>
      <c r="P3129">
        <v>371</v>
      </c>
      <c r="Q3129" t="s">
        <v>6302</v>
      </c>
    </row>
    <row r="3130" spans="1:17" x14ac:dyDescent="0.3">
      <c r="A3130" t="s">
        <v>4382</v>
      </c>
      <c r="B3130" t="str">
        <f>"002447"</f>
        <v>002447</v>
      </c>
      <c r="C3130" t="s">
        <v>6303</v>
      </c>
      <c r="D3130" t="s">
        <v>89</v>
      </c>
      <c r="F3130">
        <v>-4814652</v>
      </c>
      <c r="G3130">
        <v>-14204833</v>
      </c>
      <c r="H3130">
        <v>3076434</v>
      </c>
      <c r="I3130">
        <v>-107680219</v>
      </c>
      <c r="J3130">
        <v>143391316</v>
      </c>
      <c r="K3130">
        <v>17426646</v>
      </c>
      <c r="L3130">
        <v>-42153306</v>
      </c>
      <c r="M3130">
        <v>-352518766</v>
      </c>
      <c r="N3130">
        <v>-500763218</v>
      </c>
      <c r="O3130">
        <v>-283032983</v>
      </c>
      <c r="P3130">
        <v>92</v>
      </c>
      <c r="Q3130" t="s">
        <v>6304</v>
      </c>
    </row>
    <row r="3131" spans="1:17" x14ac:dyDescent="0.3">
      <c r="A3131" t="s">
        <v>4382</v>
      </c>
      <c r="B3131" t="str">
        <f>"002448"</f>
        <v>002448</v>
      </c>
      <c r="C3131" t="s">
        <v>6305</v>
      </c>
      <c r="D3131" t="s">
        <v>27</v>
      </c>
      <c r="F3131">
        <v>46036293</v>
      </c>
      <c r="G3131">
        <v>-29208275</v>
      </c>
      <c r="H3131">
        <v>-33928876</v>
      </c>
      <c r="I3131">
        <v>-143375549</v>
      </c>
      <c r="J3131">
        <v>-66858659</v>
      </c>
      <c r="K3131">
        <v>96407822</v>
      </c>
      <c r="L3131">
        <v>29125506</v>
      </c>
      <c r="M3131">
        <v>-118539248</v>
      </c>
      <c r="N3131">
        <v>-88289404</v>
      </c>
      <c r="O3131">
        <v>17837496</v>
      </c>
      <c r="P3131">
        <v>194</v>
      </c>
      <c r="Q3131" t="s">
        <v>6306</v>
      </c>
    </row>
    <row r="3132" spans="1:17" x14ac:dyDescent="0.3">
      <c r="A3132" t="s">
        <v>4382</v>
      </c>
      <c r="B3132" t="str">
        <f>"002449"</f>
        <v>002449</v>
      </c>
      <c r="C3132" t="s">
        <v>6307</v>
      </c>
      <c r="D3132" t="s">
        <v>150</v>
      </c>
      <c r="F3132">
        <v>263285445</v>
      </c>
      <c r="G3132">
        <v>-174701285</v>
      </c>
      <c r="H3132">
        <v>185111854</v>
      </c>
      <c r="I3132">
        <v>29016446</v>
      </c>
      <c r="J3132">
        <v>24425766</v>
      </c>
      <c r="K3132">
        <v>127887405</v>
      </c>
      <c r="L3132">
        <v>-126182179</v>
      </c>
      <c r="M3132">
        <v>-282348931</v>
      </c>
      <c r="N3132">
        <v>-198132863</v>
      </c>
      <c r="O3132">
        <v>-265495222</v>
      </c>
      <c r="P3132">
        <v>392</v>
      </c>
      <c r="Q3132" t="s">
        <v>6308</v>
      </c>
    </row>
    <row r="3133" spans="1:17" x14ac:dyDescent="0.3">
      <c r="A3133" t="s">
        <v>4382</v>
      </c>
      <c r="B3133" t="str">
        <f>"002450"</f>
        <v>002450</v>
      </c>
      <c r="C3133" t="s">
        <v>6309</v>
      </c>
      <c r="G3133">
        <v>-35531246</v>
      </c>
      <c r="H3133">
        <v>-670292394</v>
      </c>
      <c r="I3133">
        <v>-514933988</v>
      </c>
      <c r="J3133">
        <v>1999963646</v>
      </c>
      <c r="K3133">
        <v>-59552975</v>
      </c>
      <c r="L3133">
        <v>119868373</v>
      </c>
      <c r="M3133">
        <v>-226535696</v>
      </c>
      <c r="N3133">
        <v>-1487085368</v>
      </c>
      <c r="O3133">
        <v>-280000105</v>
      </c>
      <c r="P3133">
        <v>1520</v>
      </c>
      <c r="Q3133" t="s">
        <v>6310</v>
      </c>
    </row>
    <row r="3134" spans="1:17" x14ac:dyDescent="0.3">
      <c r="A3134" t="s">
        <v>4382</v>
      </c>
      <c r="B3134" t="str">
        <f>"002451"</f>
        <v>002451</v>
      </c>
      <c r="C3134" t="s">
        <v>6311</v>
      </c>
      <c r="D3134" t="s">
        <v>188</v>
      </c>
      <c r="F3134">
        <v>-196010154</v>
      </c>
      <c r="G3134">
        <v>7169219</v>
      </c>
      <c r="H3134">
        <v>70617784</v>
      </c>
      <c r="I3134">
        <v>125458970</v>
      </c>
      <c r="J3134">
        <v>-82900713</v>
      </c>
      <c r="K3134">
        <v>3309725</v>
      </c>
      <c r="L3134">
        <v>-58060017</v>
      </c>
      <c r="M3134">
        <v>-74752800</v>
      </c>
      <c r="N3134">
        <v>-172298899</v>
      </c>
      <c r="O3134">
        <v>-45638306</v>
      </c>
      <c r="P3134">
        <v>105</v>
      </c>
      <c r="Q3134" t="s">
        <v>6312</v>
      </c>
    </row>
    <row r="3135" spans="1:17" x14ac:dyDescent="0.3">
      <c r="A3135" t="s">
        <v>4382</v>
      </c>
      <c r="B3135" t="str">
        <f>"002452"</f>
        <v>002452</v>
      </c>
      <c r="C3135" t="s">
        <v>6313</v>
      </c>
      <c r="D3135" t="s">
        <v>188</v>
      </c>
      <c r="F3135">
        <v>-193813799</v>
      </c>
      <c r="G3135">
        <v>-250125438</v>
      </c>
      <c r="H3135">
        <v>-140302246</v>
      </c>
      <c r="I3135">
        <v>-105035640</v>
      </c>
      <c r="J3135">
        <v>96270438</v>
      </c>
      <c r="K3135">
        <v>-154937050</v>
      </c>
      <c r="L3135">
        <v>-110513408</v>
      </c>
      <c r="M3135">
        <v>-9997073</v>
      </c>
      <c r="N3135">
        <v>-6650430</v>
      </c>
      <c r="O3135">
        <v>-123044374</v>
      </c>
      <c r="P3135">
        <v>173</v>
      </c>
      <c r="Q3135" t="s">
        <v>6314</v>
      </c>
    </row>
    <row r="3136" spans="1:17" x14ac:dyDescent="0.3">
      <c r="A3136" t="s">
        <v>4382</v>
      </c>
      <c r="B3136" t="str">
        <f>"002453"</f>
        <v>002453</v>
      </c>
      <c r="C3136" t="s">
        <v>6315</v>
      </c>
      <c r="D3136" t="s">
        <v>133</v>
      </c>
      <c r="F3136">
        <v>-146797682</v>
      </c>
      <c r="G3136">
        <v>176440821</v>
      </c>
      <c r="H3136">
        <v>153037269</v>
      </c>
      <c r="I3136">
        <v>109475944</v>
      </c>
      <c r="J3136">
        <v>32341746</v>
      </c>
      <c r="K3136">
        <v>46607166</v>
      </c>
      <c r="L3136">
        <v>18613485</v>
      </c>
      <c r="M3136">
        <v>-50916881</v>
      </c>
      <c r="N3136">
        <v>-73457390</v>
      </c>
      <c r="O3136">
        <v>-41347596</v>
      </c>
      <c r="P3136">
        <v>125</v>
      </c>
      <c r="Q3136" t="s">
        <v>6316</v>
      </c>
    </row>
    <row r="3137" spans="1:17" x14ac:dyDescent="0.3">
      <c r="A3137" t="s">
        <v>4382</v>
      </c>
      <c r="B3137" t="str">
        <f>"002454"</f>
        <v>002454</v>
      </c>
      <c r="C3137" t="s">
        <v>6317</v>
      </c>
      <c r="D3137" t="s">
        <v>27</v>
      </c>
      <c r="F3137">
        <v>262005167</v>
      </c>
      <c r="G3137">
        <v>413852293</v>
      </c>
      <c r="H3137">
        <v>162344096</v>
      </c>
      <c r="I3137">
        <v>67969938</v>
      </c>
      <c r="J3137">
        <v>-25066866</v>
      </c>
      <c r="K3137">
        <v>-34542366</v>
      </c>
      <c r="L3137">
        <v>-19728125</v>
      </c>
      <c r="M3137">
        <v>-33423698</v>
      </c>
      <c r="N3137">
        <v>108224575</v>
      </c>
      <c r="O3137">
        <v>107718100</v>
      </c>
      <c r="P3137">
        <v>191</v>
      </c>
      <c r="Q3137" t="s">
        <v>6318</v>
      </c>
    </row>
    <row r="3138" spans="1:17" x14ac:dyDescent="0.3">
      <c r="A3138" t="s">
        <v>4382</v>
      </c>
      <c r="B3138" t="str">
        <f>"002455"</f>
        <v>002455</v>
      </c>
      <c r="C3138" t="s">
        <v>6319</v>
      </c>
      <c r="D3138" t="s">
        <v>133</v>
      </c>
      <c r="F3138">
        <v>-1108458581</v>
      </c>
      <c r="G3138">
        <v>-487552054</v>
      </c>
      <c r="H3138">
        <v>-282587505</v>
      </c>
      <c r="I3138">
        <v>-24342311</v>
      </c>
      <c r="J3138">
        <v>65312573</v>
      </c>
      <c r="K3138">
        <v>115679120</v>
      </c>
      <c r="L3138">
        <v>296261239</v>
      </c>
      <c r="M3138">
        <v>147889425</v>
      </c>
      <c r="N3138">
        <v>-230088094</v>
      </c>
      <c r="O3138">
        <v>-211495687</v>
      </c>
      <c r="P3138">
        <v>209</v>
      </c>
      <c r="Q3138" t="s">
        <v>6320</v>
      </c>
    </row>
    <row r="3139" spans="1:17" x14ac:dyDescent="0.3">
      <c r="A3139" t="s">
        <v>4382</v>
      </c>
      <c r="B3139" t="str">
        <f>"002456"</f>
        <v>002456</v>
      </c>
      <c r="C3139" t="s">
        <v>6321</v>
      </c>
      <c r="D3139" t="s">
        <v>150</v>
      </c>
      <c r="F3139">
        <v>1633498545</v>
      </c>
      <c r="G3139">
        <v>1043820316</v>
      </c>
      <c r="H3139">
        <v>1545272484</v>
      </c>
      <c r="I3139">
        <v>-5078941912</v>
      </c>
      <c r="J3139">
        <v>-3035926072</v>
      </c>
      <c r="K3139">
        <v>-1480726777</v>
      </c>
      <c r="L3139">
        <v>-840581508</v>
      </c>
      <c r="M3139">
        <v>-1424588349</v>
      </c>
      <c r="N3139">
        <v>-1310245182</v>
      </c>
      <c r="O3139">
        <v>-293935714</v>
      </c>
      <c r="P3139">
        <v>1607</v>
      </c>
      <c r="Q3139" t="s">
        <v>6322</v>
      </c>
    </row>
    <row r="3140" spans="1:17" x14ac:dyDescent="0.3">
      <c r="A3140" t="s">
        <v>4382</v>
      </c>
      <c r="B3140" t="str">
        <f>"002457"</f>
        <v>002457</v>
      </c>
      <c r="C3140" t="s">
        <v>6323</v>
      </c>
      <c r="D3140" t="s">
        <v>350</v>
      </c>
      <c r="F3140">
        <v>-380817212</v>
      </c>
      <c r="G3140">
        <v>-232256844</v>
      </c>
      <c r="H3140">
        <v>-187924359</v>
      </c>
      <c r="I3140">
        <v>-276238193</v>
      </c>
      <c r="J3140">
        <v>-134446293</v>
      </c>
      <c r="K3140">
        <v>155697029</v>
      </c>
      <c r="L3140">
        <v>90574195</v>
      </c>
      <c r="M3140">
        <v>2913812</v>
      </c>
      <c r="N3140">
        <v>-277140355</v>
      </c>
      <c r="O3140">
        <v>-84382491</v>
      </c>
      <c r="P3140">
        <v>132</v>
      </c>
      <c r="Q3140" t="s">
        <v>6324</v>
      </c>
    </row>
    <row r="3141" spans="1:17" x14ac:dyDescent="0.3">
      <c r="A3141" t="s">
        <v>4382</v>
      </c>
      <c r="B3141" t="str">
        <f>"002458"</f>
        <v>002458</v>
      </c>
      <c r="C3141" t="s">
        <v>6325</v>
      </c>
      <c r="D3141" t="s">
        <v>205</v>
      </c>
      <c r="F3141">
        <v>-519326156</v>
      </c>
      <c r="G3141">
        <v>-730920388</v>
      </c>
      <c r="H3141">
        <v>1109313408</v>
      </c>
      <c r="I3141">
        <v>57191771</v>
      </c>
      <c r="J3141">
        <v>-277029049</v>
      </c>
      <c r="K3141">
        <v>334076622</v>
      </c>
      <c r="L3141">
        <v>-246892574</v>
      </c>
      <c r="M3141">
        <v>8720397</v>
      </c>
      <c r="N3141">
        <v>-190923820</v>
      </c>
      <c r="O3141">
        <v>-73073120</v>
      </c>
      <c r="P3141">
        <v>815</v>
      </c>
      <c r="Q3141" t="s">
        <v>6326</v>
      </c>
    </row>
    <row r="3142" spans="1:17" x14ac:dyDescent="0.3">
      <c r="A3142" t="s">
        <v>4382</v>
      </c>
      <c r="B3142" t="str">
        <f>"002459"</f>
        <v>002459</v>
      </c>
      <c r="C3142" t="s">
        <v>6327</v>
      </c>
      <c r="D3142" t="s">
        <v>188</v>
      </c>
      <c r="F3142">
        <v>-4869617964</v>
      </c>
      <c r="G3142">
        <v>-1616568136</v>
      </c>
      <c r="H3142">
        <v>-42471191</v>
      </c>
      <c r="I3142">
        <v>-27357496</v>
      </c>
      <c r="J3142">
        <v>-51236322</v>
      </c>
      <c r="K3142">
        <v>4132203</v>
      </c>
      <c r="L3142">
        <v>-101812409</v>
      </c>
      <c r="M3142">
        <v>55239827</v>
      </c>
      <c r="N3142">
        <v>238184455</v>
      </c>
      <c r="O3142">
        <v>-296857488</v>
      </c>
      <c r="P3142">
        <v>1227</v>
      </c>
      <c r="Q3142" t="s">
        <v>6328</v>
      </c>
    </row>
    <row r="3143" spans="1:17" x14ac:dyDescent="0.3">
      <c r="A3143" t="s">
        <v>4382</v>
      </c>
      <c r="B3143" t="str">
        <f>"002460"</f>
        <v>002460</v>
      </c>
      <c r="C3143" t="s">
        <v>6329</v>
      </c>
      <c r="D3143" t="s">
        <v>234</v>
      </c>
      <c r="F3143">
        <v>-472709267</v>
      </c>
      <c r="G3143">
        <v>-278795697</v>
      </c>
      <c r="H3143">
        <v>-481064307</v>
      </c>
      <c r="I3143">
        <v>-727418142</v>
      </c>
      <c r="J3143">
        <v>-273459865</v>
      </c>
      <c r="K3143">
        <v>275049236</v>
      </c>
      <c r="L3143">
        <v>33865055</v>
      </c>
      <c r="M3143">
        <v>-77950228</v>
      </c>
      <c r="N3143">
        <v>-100022081</v>
      </c>
      <c r="O3143">
        <v>-124709392</v>
      </c>
      <c r="P3143">
        <v>2488</v>
      </c>
      <c r="Q3143" t="s">
        <v>6330</v>
      </c>
    </row>
    <row r="3144" spans="1:17" x14ac:dyDescent="0.3">
      <c r="A3144" t="s">
        <v>4382</v>
      </c>
      <c r="B3144" t="str">
        <f>"002461"</f>
        <v>002461</v>
      </c>
      <c r="C3144" t="s">
        <v>6331</v>
      </c>
      <c r="D3144" t="s">
        <v>123</v>
      </c>
      <c r="F3144">
        <v>790487350</v>
      </c>
      <c r="G3144">
        <v>802688277</v>
      </c>
      <c r="H3144">
        <v>-1201498835</v>
      </c>
      <c r="I3144">
        <v>567364385</v>
      </c>
      <c r="J3144">
        <v>522598471</v>
      </c>
      <c r="K3144">
        <v>269031716</v>
      </c>
      <c r="L3144">
        <v>313926567</v>
      </c>
      <c r="M3144">
        <v>660286508</v>
      </c>
      <c r="N3144">
        <v>125786800</v>
      </c>
      <c r="O3144">
        <v>-1955822</v>
      </c>
      <c r="P3144">
        <v>461</v>
      </c>
      <c r="Q3144" t="s">
        <v>6332</v>
      </c>
    </row>
    <row r="3145" spans="1:17" x14ac:dyDescent="0.3">
      <c r="A3145" t="s">
        <v>4382</v>
      </c>
      <c r="B3145" t="str">
        <f>"002462"</f>
        <v>002462</v>
      </c>
      <c r="C3145" t="s">
        <v>6333</v>
      </c>
      <c r="D3145" t="s">
        <v>113</v>
      </c>
      <c r="F3145">
        <v>164506688</v>
      </c>
      <c r="G3145">
        <v>323719368</v>
      </c>
      <c r="H3145">
        <v>169738335</v>
      </c>
      <c r="I3145">
        <v>-444980205</v>
      </c>
      <c r="J3145">
        <v>310031754</v>
      </c>
      <c r="K3145">
        <v>-62898718</v>
      </c>
      <c r="L3145">
        <v>-510784634</v>
      </c>
      <c r="M3145">
        <v>-399012450</v>
      </c>
      <c r="N3145">
        <v>122725</v>
      </c>
      <c r="O3145">
        <v>-158187130</v>
      </c>
      <c r="P3145">
        <v>258</v>
      </c>
      <c r="Q3145" t="s">
        <v>6334</v>
      </c>
    </row>
    <row r="3146" spans="1:17" x14ac:dyDescent="0.3">
      <c r="A3146" t="s">
        <v>4382</v>
      </c>
      <c r="B3146" t="str">
        <f>"002463"</f>
        <v>002463</v>
      </c>
      <c r="C3146" t="s">
        <v>6335</v>
      </c>
      <c r="D3146" t="s">
        <v>150</v>
      </c>
      <c r="F3146">
        <v>833981871</v>
      </c>
      <c r="G3146">
        <v>1128242865</v>
      </c>
      <c r="H3146">
        <v>682786843</v>
      </c>
      <c r="I3146">
        <v>356343958</v>
      </c>
      <c r="J3146">
        <v>-48193114</v>
      </c>
      <c r="K3146">
        <v>-12943804</v>
      </c>
      <c r="L3146">
        <v>-366087721</v>
      </c>
      <c r="M3146">
        <v>-572303216</v>
      </c>
      <c r="N3146">
        <v>-324660380</v>
      </c>
      <c r="O3146">
        <v>70596972</v>
      </c>
      <c r="P3146">
        <v>3004</v>
      </c>
      <c r="Q3146" t="s">
        <v>6336</v>
      </c>
    </row>
    <row r="3147" spans="1:17" x14ac:dyDescent="0.3">
      <c r="A3147" t="s">
        <v>4382</v>
      </c>
      <c r="B3147" t="str">
        <f>"002464"</f>
        <v>002464</v>
      </c>
      <c r="C3147" t="s">
        <v>6337</v>
      </c>
      <c r="D3147" t="s">
        <v>89</v>
      </c>
      <c r="F3147">
        <v>84647891</v>
      </c>
      <c r="G3147">
        <v>-1630378</v>
      </c>
      <c r="H3147">
        <v>195466652</v>
      </c>
      <c r="I3147">
        <v>79936096</v>
      </c>
      <c r="J3147">
        <v>259719332</v>
      </c>
      <c r="K3147">
        <v>126673889</v>
      </c>
      <c r="L3147">
        <v>428916550</v>
      </c>
      <c r="M3147">
        <v>-44644343</v>
      </c>
      <c r="N3147">
        <v>60205128</v>
      </c>
      <c r="O3147">
        <v>-24152788</v>
      </c>
      <c r="P3147">
        <v>110</v>
      </c>
      <c r="Q3147" t="s">
        <v>6338</v>
      </c>
    </row>
    <row r="3148" spans="1:17" x14ac:dyDescent="0.3">
      <c r="A3148" t="s">
        <v>4382</v>
      </c>
      <c r="B3148" t="str">
        <f>"002465"</f>
        <v>002465</v>
      </c>
      <c r="C3148" t="s">
        <v>6339</v>
      </c>
      <c r="D3148" t="s">
        <v>92</v>
      </c>
      <c r="F3148">
        <v>-462704746</v>
      </c>
      <c r="G3148">
        <v>75990365</v>
      </c>
      <c r="H3148">
        <v>-571066844</v>
      </c>
      <c r="I3148">
        <v>-255788565</v>
      </c>
      <c r="J3148">
        <v>-647836063</v>
      </c>
      <c r="K3148">
        <v>-1083353477</v>
      </c>
      <c r="L3148">
        <v>-703051285</v>
      </c>
      <c r="M3148">
        <v>-1011039134</v>
      </c>
      <c r="N3148">
        <v>-551543721</v>
      </c>
      <c r="O3148">
        <v>-368881745</v>
      </c>
      <c r="P3148">
        <v>546</v>
      </c>
      <c r="Q3148" t="s">
        <v>6340</v>
      </c>
    </row>
    <row r="3149" spans="1:17" x14ac:dyDescent="0.3">
      <c r="A3149" t="s">
        <v>4382</v>
      </c>
      <c r="B3149" t="str">
        <f>"002466"</f>
        <v>002466</v>
      </c>
      <c r="C3149" t="s">
        <v>6341</v>
      </c>
      <c r="D3149" t="s">
        <v>234</v>
      </c>
      <c r="F3149">
        <v>727467225</v>
      </c>
      <c r="G3149">
        <v>-108093398</v>
      </c>
      <c r="H3149">
        <v>-1576674582</v>
      </c>
      <c r="I3149">
        <v>108429851</v>
      </c>
      <c r="J3149">
        <v>1347142367</v>
      </c>
      <c r="K3149">
        <v>1164995594</v>
      </c>
      <c r="L3149">
        <v>436911959</v>
      </c>
      <c r="M3149">
        <v>90944554</v>
      </c>
      <c r="N3149">
        <v>-115197175</v>
      </c>
      <c r="O3149">
        <v>-194651846</v>
      </c>
      <c r="P3149">
        <v>2365</v>
      </c>
      <c r="Q3149" t="s">
        <v>6342</v>
      </c>
    </row>
    <row r="3150" spans="1:17" x14ac:dyDescent="0.3">
      <c r="A3150" t="s">
        <v>4382</v>
      </c>
      <c r="B3150" t="str">
        <f>"002467"</f>
        <v>002467</v>
      </c>
      <c r="C3150" t="s">
        <v>6343</v>
      </c>
      <c r="D3150" t="s">
        <v>100</v>
      </c>
      <c r="F3150">
        <v>20879882</v>
      </c>
      <c r="G3150">
        <v>93675265</v>
      </c>
      <c r="H3150">
        <v>62993056</v>
      </c>
      <c r="I3150">
        <v>67897878</v>
      </c>
      <c r="J3150">
        <v>70344515</v>
      </c>
      <c r="K3150">
        <v>20223913</v>
      </c>
      <c r="L3150">
        <v>57458068</v>
      </c>
      <c r="M3150">
        <v>116884220</v>
      </c>
      <c r="N3150">
        <v>95293828</v>
      </c>
      <c r="O3150">
        <v>45180865</v>
      </c>
      <c r="P3150">
        <v>200</v>
      </c>
      <c r="Q3150" t="s">
        <v>6344</v>
      </c>
    </row>
    <row r="3151" spans="1:17" x14ac:dyDescent="0.3">
      <c r="A3151" t="s">
        <v>4382</v>
      </c>
      <c r="B3151" t="str">
        <f>"002468"</f>
        <v>002468</v>
      </c>
      <c r="C3151" t="s">
        <v>6345</v>
      </c>
      <c r="D3151" t="s">
        <v>22</v>
      </c>
      <c r="F3151">
        <v>-1130576062</v>
      </c>
      <c r="G3151">
        <v>-1786696983</v>
      </c>
      <c r="H3151">
        <v>-633226455</v>
      </c>
      <c r="I3151">
        <v>-897704814</v>
      </c>
      <c r="J3151">
        <v>-84526478</v>
      </c>
      <c r="K3151">
        <v>62885117</v>
      </c>
      <c r="L3151">
        <v>152592900</v>
      </c>
      <c r="M3151">
        <v>-15935943</v>
      </c>
      <c r="N3151">
        <v>-13457684</v>
      </c>
      <c r="O3151">
        <v>-209422016</v>
      </c>
      <c r="P3151">
        <v>638</v>
      </c>
      <c r="Q3151" t="s">
        <v>6346</v>
      </c>
    </row>
    <row r="3152" spans="1:17" x14ac:dyDescent="0.3">
      <c r="A3152" t="s">
        <v>4382</v>
      </c>
      <c r="B3152" t="str">
        <f>"002469"</f>
        <v>002469</v>
      </c>
      <c r="C3152" t="s">
        <v>6347</v>
      </c>
      <c r="D3152" t="s">
        <v>95</v>
      </c>
      <c r="F3152">
        <v>242667728</v>
      </c>
      <c r="G3152">
        <v>16636923</v>
      </c>
      <c r="H3152">
        <v>-7908754</v>
      </c>
      <c r="I3152">
        <v>35505050</v>
      </c>
      <c r="J3152">
        <v>-171803045</v>
      </c>
      <c r="K3152">
        <v>75697349</v>
      </c>
      <c r="L3152">
        <v>66216766</v>
      </c>
      <c r="M3152">
        <v>-68381100</v>
      </c>
      <c r="N3152">
        <v>80198982</v>
      </c>
      <c r="O3152">
        <v>-47254797</v>
      </c>
      <c r="P3152">
        <v>126</v>
      </c>
      <c r="Q3152" t="s">
        <v>6348</v>
      </c>
    </row>
    <row r="3153" spans="1:17" x14ac:dyDescent="0.3">
      <c r="A3153" t="s">
        <v>4382</v>
      </c>
      <c r="B3153" t="str">
        <f>"002470"</f>
        <v>002470</v>
      </c>
      <c r="C3153" t="s">
        <v>6349</v>
      </c>
      <c r="D3153" t="s">
        <v>133</v>
      </c>
      <c r="F3153">
        <v>706001805</v>
      </c>
      <c r="G3153">
        <v>-783369900</v>
      </c>
      <c r="H3153">
        <v>-1221967019</v>
      </c>
      <c r="I3153">
        <v>-167998823</v>
      </c>
      <c r="J3153">
        <v>870880344</v>
      </c>
      <c r="K3153">
        <v>1471435307</v>
      </c>
      <c r="L3153">
        <v>2677277364</v>
      </c>
      <c r="M3153">
        <v>-152476671</v>
      </c>
      <c r="N3153">
        <v>211481162</v>
      </c>
      <c r="O3153">
        <v>-113092450</v>
      </c>
      <c r="P3153">
        <v>4918</v>
      </c>
      <c r="Q3153" t="s">
        <v>6350</v>
      </c>
    </row>
    <row r="3154" spans="1:17" x14ac:dyDescent="0.3">
      <c r="A3154" t="s">
        <v>4382</v>
      </c>
      <c r="B3154" t="str">
        <f>"002471"</f>
        <v>002471</v>
      </c>
      <c r="C3154" t="s">
        <v>6351</v>
      </c>
      <c r="D3154" t="s">
        <v>188</v>
      </c>
      <c r="F3154">
        <v>-67662659</v>
      </c>
      <c r="G3154">
        <v>-206722619</v>
      </c>
      <c r="H3154">
        <v>304561942</v>
      </c>
      <c r="I3154">
        <v>118070820</v>
      </c>
      <c r="J3154">
        <v>-362627064</v>
      </c>
      <c r="K3154">
        <v>440879935</v>
      </c>
      <c r="L3154">
        <v>-63546983</v>
      </c>
      <c r="M3154">
        <v>-458933932</v>
      </c>
      <c r="N3154">
        <v>-60680574</v>
      </c>
      <c r="O3154">
        <v>-369819518</v>
      </c>
      <c r="P3154">
        <v>92</v>
      </c>
      <c r="Q3154" t="s">
        <v>6352</v>
      </c>
    </row>
    <row r="3155" spans="1:17" x14ac:dyDescent="0.3">
      <c r="A3155" t="s">
        <v>4382</v>
      </c>
      <c r="B3155" t="str">
        <f>"002472"</f>
        <v>002472</v>
      </c>
      <c r="C3155" t="s">
        <v>6353</v>
      </c>
      <c r="D3155" t="s">
        <v>27</v>
      </c>
      <c r="F3155">
        <v>-191012441</v>
      </c>
      <c r="G3155">
        <v>-35248499</v>
      </c>
      <c r="H3155">
        <v>-100824157</v>
      </c>
      <c r="I3155">
        <v>-1059004991</v>
      </c>
      <c r="J3155">
        <v>-935398416</v>
      </c>
      <c r="K3155">
        <v>-273661877</v>
      </c>
      <c r="L3155">
        <v>21473099</v>
      </c>
      <c r="M3155">
        <v>-24023788</v>
      </c>
      <c r="N3155">
        <v>-143847022</v>
      </c>
      <c r="O3155">
        <v>-83845937</v>
      </c>
      <c r="P3155">
        <v>259</v>
      </c>
      <c r="Q3155" t="s">
        <v>6354</v>
      </c>
    </row>
    <row r="3156" spans="1:17" x14ac:dyDescent="0.3">
      <c r="A3156" t="s">
        <v>4382</v>
      </c>
      <c r="B3156" t="str">
        <f>"002473"</f>
        <v>002473</v>
      </c>
      <c r="C3156" t="s">
        <v>6355</v>
      </c>
      <c r="D3156" t="s">
        <v>126</v>
      </c>
      <c r="F3156">
        <v>-39060026</v>
      </c>
      <c r="G3156">
        <v>-26436357</v>
      </c>
      <c r="H3156">
        <v>-39733458</v>
      </c>
      <c r="I3156">
        <v>-17961897</v>
      </c>
      <c r="J3156">
        <v>-20872295</v>
      </c>
      <c r="K3156">
        <v>-23605322</v>
      </c>
      <c r="L3156">
        <v>-21683063</v>
      </c>
      <c r="M3156">
        <v>-8848330</v>
      </c>
      <c r="N3156">
        <v>-11098164</v>
      </c>
      <c r="O3156">
        <v>-18874741</v>
      </c>
      <c r="P3156">
        <v>61</v>
      </c>
      <c r="Q3156" t="s">
        <v>6356</v>
      </c>
    </row>
    <row r="3157" spans="1:17" x14ac:dyDescent="0.3">
      <c r="A3157" t="s">
        <v>4382</v>
      </c>
      <c r="B3157" t="str">
        <f>"002474"</f>
        <v>002474</v>
      </c>
      <c r="C3157" t="s">
        <v>6357</v>
      </c>
      <c r="D3157" t="s">
        <v>212</v>
      </c>
      <c r="F3157">
        <v>-258808564</v>
      </c>
      <c r="G3157">
        <v>-99475595</v>
      </c>
      <c r="H3157">
        <v>-102931278</v>
      </c>
      <c r="I3157">
        <v>-192725339</v>
      </c>
      <c r="J3157">
        <v>-83347845</v>
      </c>
      <c r="K3157">
        <v>-172359831</v>
      </c>
      <c r="L3157">
        <v>-140024615</v>
      </c>
      <c r="M3157">
        <v>-83839534</v>
      </c>
      <c r="N3157">
        <v>-11360481</v>
      </c>
      <c r="O3157">
        <v>-5273170</v>
      </c>
      <c r="P3157">
        <v>180</v>
      </c>
      <c r="Q3157" t="s">
        <v>6358</v>
      </c>
    </row>
    <row r="3158" spans="1:17" x14ac:dyDescent="0.3">
      <c r="A3158" t="s">
        <v>4382</v>
      </c>
      <c r="B3158" t="str">
        <f>"002475"</f>
        <v>002475</v>
      </c>
      <c r="C3158" t="s">
        <v>6359</v>
      </c>
      <c r="D3158" t="s">
        <v>150</v>
      </c>
      <c r="F3158">
        <v>-757333089</v>
      </c>
      <c r="G3158">
        <v>-2702885692</v>
      </c>
      <c r="H3158">
        <v>1966096950</v>
      </c>
      <c r="I3158">
        <v>-1413598611</v>
      </c>
      <c r="J3158">
        <v>-2806649210</v>
      </c>
      <c r="K3158">
        <v>-774291167</v>
      </c>
      <c r="L3158">
        <v>-621002238</v>
      </c>
      <c r="M3158">
        <v>-438436802</v>
      </c>
      <c r="N3158">
        <v>-357423240</v>
      </c>
      <c r="O3158">
        <v>31328917</v>
      </c>
      <c r="P3158">
        <v>5901</v>
      </c>
      <c r="Q3158" t="s">
        <v>6360</v>
      </c>
    </row>
    <row r="3159" spans="1:17" x14ac:dyDescent="0.3">
      <c r="A3159" t="s">
        <v>4382</v>
      </c>
      <c r="B3159" t="str">
        <f>"002476"</f>
        <v>002476</v>
      </c>
      <c r="C3159" t="s">
        <v>6361</v>
      </c>
      <c r="D3159" t="s">
        <v>70</v>
      </c>
      <c r="F3159">
        <v>-28781748</v>
      </c>
      <c r="G3159">
        <v>17235178</v>
      </c>
      <c r="H3159">
        <v>18659633</v>
      </c>
      <c r="I3159">
        <v>7962559</v>
      </c>
      <c r="J3159">
        <v>-32822389</v>
      </c>
      <c r="K3159">
        <v>-37908099</v>
      </c>
      <c r="L3159">
        <v>-81910950</v>
      </c>
      <c r="M3159">
        <v>-78095068</v>
      </c>
      <c r="N3159">
        <v>-36689946</v>
      </c>
      <c r="O3159">
        <v>-29062223</v>
      </c>
      <c r="P3159">
        <v>85</v>
      </c>
      <c r="Q3159" t="s">
        <v>6362</v>
      </c>
    </row>
    <row r="3160" spans="1:17" x14ac:dyDescent="0.3">
      <c r="A3160" t="s">
        <v>4382</v>
      </c>
      <c r="B3160" t="str">
        <f>"002477"</f>
        <v>002477</v>
      </c>
      <c r="C3160" t="s">
        <v>6363</v>
      </c>
      <c r="I3160">
        <v>-586169268</v>
      </c>
      <c r="J3160">
        <v>672630807</v>
      </c>
      <c r="K3160">
        <v>448046532</v>
      </c>
      <c r="L3160">
        <v>-856826510</v>
      </c>
      <c r="M3160">
        <v>-1254358956</v>
      </c>
      <c r="N3160">
        <v>-532850200</v>
      </c>
      <c r="O3160">
        <v>-726972664</v>
      </c>
      <c r="P3160">
        <v>126</v>
      </c>
      <c r="Q3160" t="s">
        <v>6364</v>
      </c>
    </row>
    <row r="3161" spans="1:17" x14ac:dyDescent="0.3">
      <c r="A3161" t="s">
        <v>4382</v>
      </c>
      <c r="B3161" t="str">
        <f>"002478"</f>
        <v>002478</v>
      </c>
      <c r="C3161" t="s">
        <v>6365</v>
      </c>
      <c r="D3161" t="s">
        <v>38</v>
      </c>
      <c r="F3161">
        <v>-342189045</v>
      </c>
      <c r="G3161">
        <v>38561417</v>
      </c>
      <c r="H3161">
        <v>5916763</v>
      </c>
      <c r="I3161">
        <v>178510531</v>
      </c>
      <c r="J3161">
        <v>48085227</v>
      </c>
      <c r="K3161">
        <v>-17971743</v>
      </c>
      <c r="L3161">
        <v>98122574</v>
      </c>
      <c r="M3161">
        <v>474864748</v>
      </c>
      <c r="N3161">
        <v>-12739139</v>
      </c>
      <c r="O3161">
        <v>7713706</v>
      </c>
      <c r="P3161">
        <v>208</v>
      </c>
      <c r="Q3161" t="s">
        <v>6366</v>
      </c>
    </row>
    <row r="3162" spans="1:17" x14ac:dyDescent="0.3">
      <c r="A3162" t="s">
        <v>4382</v>
      </c>
      <c r="B3162" t="str">
        <f>"002479"</f>
        <v>002479</v>
      </c>
      <c r="C3162" t="s">
        <v>6367</v>
      </c>
      <c r="D3162" t="s">
        <v>41</v>
      </c>
      <c r="F3162">
        <v>1031739826</v>
      </c>
      <c r="G3162">
        <v>-569571474</v>
      </c>
      <c r="H3162">
        <v>169570928</v>
      </c>
      <c r="I3162">
        <v>-3348012</v>
      </c>
      <c r="J3162">
        <v>171352893</v>
      </c>
      <c r="K3162">
        <v>333268035</v>
      </c>
      <c r="L3162">
        <v>-63391195</v>
      </c>
      <c r="M3162">
        <v>115642136</v>
      </c>
      <c r="N3162">
        <v>212537375</v>
      </c>
      <c r="O3162">
        <v>-82227741</v>
      </c>
      <c r="P3162">
        <v>158</v>
      </c>
      <c r="Q3162" t="s">
        <v>6368</v>
      </c>
    </row>
    <row r="3163" spans="1:17" x14ac:dyDescent="0.3">
      <c r="A3163" t="s">
        <v>4382</v>
      </c>
      <c r="B3163" t="str">
        <f>"002480"</f>
        <v>002480</v>
      </c>
      <c r="C3163" t="s">
        <v>6369</v>
      </c>
      <c r="D3163" t="s">
        <v>78</v>
      </c>
      <c r="F3163">
        <v>-547052892</v>
      </c>
      <c r="G3163">
        <v>-278504155</v>
      </c>
      <c r="H3163">
        <v>-648702228</v>
      </c>
      <c r="I3163">
        <v>-449908684</v>
      </c>
      <c r="J3163">
        <v>-218572325</v>
      </c>
      <c r="K3163">
        <v>61676224</v>
      </c>
      <c r="L3163">
        <v>-139267530</v>
      </c>
      <c r="M3163">
        <v>-397174994</v>
      </c>
      <c r="N3163">
        <v>-277713797</v>
      </c>
      <c r="O3163">
        <v>-235336802</v>
      </c>
      <c r="P3163">
        <v>107</v>
      </c>
      <c r="Q3163" t="s">
        <v>6370</v>
      </c>
    </row>
    <row r="3164" spans="1:17" x14ac:dyDescent="0.3">
      <c r="A3164" t="s">
        <v>4382</v>
      </c>
      <c r="B3164" t="str">
        <f>"002481"</f>
        <v>002481</v>
      </c>
      <c r="C3164" t="s">
        <v>6371</v>
      </c>
      <c r="D3164" t="s">
        <v>205</v>
      </c>
      <c r="F3164">
        <v>-130879384</v>
      </c>
      <c r="G3164">
        <v>123012076</v>
      </c>
      <c r="H3164">
        <v>338866293</v>
      </c>
      <c r="I3164">
        <v>-65553889</v>
      </c>
      <c r="J3164">
        <v>-189375999</v>
      </c>
      <c r="K3164">
        <v>20016582</v>
      </c>
      <c r="L3164">
        <v>-139355769</v>
      </c>
      <c r="M3164">
        <v>164431622</v>
      </c>
      <c r="N3164">
        <v>26569853</v>
      </c>
      <c r="O3164">
        <v>-100535337</v>
      </c>
      <c r="P3164">
        <v>331</v>
      </c>
      <c r="Q3164" t="s">
        <v>6372</v>
      </c>
    </row>
    <row r="3165" spans="1:17" x14ac:dyDescent="0.3">
      <c r="A3165" t="s">
        <v>4382</v>
      </c>
      <c r="B3165" t="str">
        <f>"002482"</f>
        <v>002482</v>
      </c>
      <c r="C3165" t="s">
        <v>6373</v>
      </c>
      <c r="D3165" t="s">
        <v>95</v>
      </c>
      <c r="F3165">
        <v>614765876</v>
      </c>
      <c r="G3165">
        <v>-83494848</v>
      </c>
      <c r="H3165">
        <v>-1091955062</v>
      </c>
      <c r="I3165">
        <v>-570709150</v>
      </c>
      <c r="J3165">
        <v>-17028819</v>
      </c>
      <c r="K3165">
        <v>-465743323</v>
      </c>
      <c r="L3165">
        <v>-1528046639</v>
      </c>
      <c r="M3165">
        <v>-1095835244</v>
      </c>
      <c r="N3165">
        <v>-655846519</v>
      </c>
      <c r="O3165">
        <v>-972291485</v>
      </c>
      <c r="P3165">
        <v>112</v>
      </c>
      <c r="Q3165" t="s">
        <v>6374</v>
      </c>
    </row>
    <row r="3166" spans="1:17" x14ac:dyDescent="0.3">
      <c r="A3166" t="s">
        <v>4382</v>
      </c>
      <c r="B3166" t="str">
        <f>"002483"</f>
        <v>002483</v>
      </c>
      <c r="C3166" t="s">
        <v>6375</v>
      </c>
      <c r="D3166" t="s">
        <v>78</v>
      </c>
      <c r="F3166">
        <v>-240564386</v>
      </c>
      <c r="G3166">
        <v>9686524</v>
      </c>
      <c r="H3166">
        <v>308873236</v>
      </c>
      <c r="I3166">
        <v>-255617825</v>
      </c>
      <c r="J3166">
        <v>-96769545</v>
      </c>
      <c r="K3166">
        <v>113622976</v>
      </c>
      <c r="L3166">
        <v>-75058456</v>
      </c>
      <c r="M3166">
        <v>-300832739</v>
      </c>
      <c r="N3166">
        <v>-27754762</v>
      </c>
      <c r="O3166">
        <v>-514182331</v>
      </c>
      <c r="P3166">
        <v>94</v>
      </c>
      <c r="Q3166" t="s">
        <v>6376</v>
      </c>
    </row>
    <row r="3167" spans="1:17" x14ac:dyDescent="0.3">
      <c r="A3167" t="s">
        <v>4382</v>
      </c>
      <c r="B3167" t="str">
        <f>"002484"</f>
        <v>002484</v>
      </c>
      <c r="C3167" t="s">
        <v>6377</v>
      </c>
      <c r="D3167" t="s">
        <v>150</v>
      </c>
      <c r="F3167">
        <v>23325562</v>
      </c>
      <c r="G3167">
        <v>73527208</v>
      </c>
      <c r="H3167">
        <v>-150065720</v>
      </c>
      <c r="I3167">
        <v>-230525695</v>
      </c>
      <c r="J3167">
        <v>48484591</v>
      </c>
      <c r="K3167">
        <v>33927066</v>
      </c>
      <c r="L3167">
        <v>-12104282</v>
      </c>
      <c r="M3167">
        <v>29344119</v>
      </c>
      <c r="N3167">
        <v>25177067</v>
      </c>
      <c r="O3167">
        <v>8036424</v>
      </c>
      <c r="P3167">
        <v>312</v>
      </c>
      <c r="Q3167" t="s">
        <v>6378</v>
      </c>
    </row>
    <row r="3168" spans="1:17" x14ac:dyDescent="0.3">
      <c r="A3168" t="s">
        <v>4382</v>
      </c>
      <c r="B3168" t="str">
        <f>"002485"</f>
        <v>002485</v>
      </c>
      <c r="C3168" t="s">
        <v>6379</v>
      </c>
      <c r="D3168" t="s">
        <v>227</v>
      </c>
      <c r="F3168">
        <v>-55200986</v>
      </c>
      <c r="G3168">
        <v>-226029738</v>
      </c>
      <c r="H3168">
        <v>-108546960</v>
      </c>
      <c r="I3168">
        <v>-701436125</v>
      </c>
      <c r="J3168">
        <v>61887453</v>
      </c>
      <c r="K3168">
        <v>76773919</v>
      </c>
      <c r="L3168">
        <v>22825141</v>
      </c>
      <c r="M3168">
        <v>-164618364</v>
      </c>
      <c r="N3168">
        <v>-86881666</v>
      </c>
      <c r="O3168">
        <v>-343101693</v>
      </c>
      <c r="P3168">
        <v>80</v>
      </c>
      <c r="Q3168" t="s">
        <v>6380</v>
      </c>
    </row>
    <row r="3169" spans="1:17" x14ac:dyDescent="0.3">
      <c r="A3169" t="s">
        <v>4382</v>
      </c>
      <c r="B3169" t="str">
        <f>"002486"</f>
        <v>002486</v>
      </c>
      <c r="C3169" t="s">
        <v>6381</v>
      </c>
      <c r="D3169" t="s">
        <v>227</v>
      </c>
      <c r="F3169">
        <v>-220788455</v>
      </c>
      <c r="G3169">
        <v>158447722</v>
      </c>
      <c r="H3169">
        <v>-70984314</v>
      </c>
      <c r="I3169">
        <v>-69560177</v>
      </c>
      <c r="J3169">
        <v>189381053</v>
      </c>
      <c r="K3169">
        <v>-49947691</v>
      </c>
      <c r="L3169">
        <v>-170457628</v>
      </c>
      <c r="M3169">
        <v>-142585740</v>
      </c>
      <c r="N3169">
        <v>12826171</v>
      </c>
      <c r="O3169">
        <v>5411768</v>
      </c>
      <c r="P3169">
        <v>88</v>
      </c>
      <c r="Q3169" t="s">
        <v>6382</v>
      </c>
    </row>
    <row r="3170" spans="1:17" x14ac:dyDescent="0.3">
      <c r="A3170" t="s">
        <v>4382</v>
      </c>
      <c r="B3170" t="str">
        <f>"002487"</f>
        <v>002487</v>
      </c>
      <c r="C3170" t="s">
        <v>6383</v>
      </c>
      <c r="D3170" t="s">
        <v>188</v>
      </c>
      <c r="F3170">
        <v>-244884073</v>
      </c>
      <c r="G3170">
        <v>-40894677</v>
      </c>
      <c r="H3170">
        <v>67702050</v>
      </c>
      <c r="I3170">
        <v>-85831993</v>
      </c>
      <c r="J3170">
        <v>-181399469</v>
      </c>
      <c r="K3170">
        <v>-83738134</v>
      </c>
      <c r="L3170">
        <v>-43344721</v>
      </c>
      <c r="M3170">
        <v>-181257360</v>
      </c>
      <c r="N3170">
        <v>-103470575</v>
      </c>
      <c r="O3170">
        <v>-72777652</v>
      </c>
      <c r="P3170">
        <v>248</v>
      </c>
      <c r="Q3170" t="s">
        <v>6384</v>
      </c>
    </row>
    <row r="3171" spans="1:17" x14ac:dyDescent="0.3">
      <c r="A3171" t="s">
        <v>4382</v>
      </c>
      <c r="B3171" t="str">
        <f>"002488"</f>
        <v>002488</v>
      </c>
      <c r="C3171" t="s">
        <v>6385</v>
      </c>
      <c r="D3171" t="s">
        <v>27</v>
      </c>
      <c r="F3171">
        <v>-346439024</v>
      </c>
      <c r="G3171">
        <v>12833261</v>
      </c>
      <c r="H3171">
        <v>-462160209</v>
      </c>
      <c r="I3171">
        <v>-374726389</v>
      </c>
      <c r="J3171">
        <v>-270786302</v>
      </c>
      <c r="K3171">
        <v>-128038729</v>
      </c>
      <c r="L3171">
        <v>-50293453</v>
      </c>
      <c r="M3171">
        <v>16710097</v>
      </c>
      <c r="N3171">
        <v>-13044863</v>
      </c>
      <c r="O3171">
        <v>-175916506</v>
      </c>
      <c r="P3171">
        <v>152</v>
      </c>
      <c r="Q3171" t="s">
        <v>6386</v>
      </c>
    </row>
    <row r="3172" spans="1:17" x14ac:dyDescent="0.3">
      <c r="A3172" t="s">
        <v>4382</v>
      </c>
      <c r="B3172" t="str">
        <f>"002489"</f>
        <v>002489</v>
      </c>
      <c r="C3172" t="s">
        <v>6387</v>
      </c>
      <c r="D3172" t="s">
        <v>161</v>
      </c>
      <c r="F3172">
        <v>588137281</v>
      </c>
      <c r="G3172">
        <v>1155713560</v>
      </c>
      <c r="H3172">
        <v>921536904</v>
      </c>
      <c r="I3172">
        <v>443813949</v>
      </c>
      <c r="J3172">
        <v>389022885</v>
      </c>
      <c r="K3172">
        <v>465625416</v>
      </c>
      <c r="L3172">
        <v>225190838</v>
      </c>
      <c r="M3172">
        <v>-69691242</v>
      </c>
      <c r="N3172">
        <v>654397801</v>
      </c>
      <c r="O3172">
        <v>844144186</v>
      </c>
      <c r="P3172">
        <v>206</v>
      </c>
      <c r="Q3172" t="s">
        <v>6388</v>
      </c>
    </row>
    <row r="3173" spans="1:17" x14ac:dyDescent="0.3">
      <c r="A3173" t="s">
        <v>4382</v>
      </c>
      <c r="B3173" t="str">
        <f>"002490"</f>
        <v>002490</v>
      </c>
      <c r="C3173" t="s">
        <v>6389</v>
      </c>
      <c r="D3173" t="s">
        <v>78</v>
      </c>
      <c r="F3173">
        <v>-248472645</v>
      </c>
      <c r="G3173">
        <v>67086896</v>
      </c>
      <c r="H3173">
        <v>320104707</v>
      </c>
      <c r="I3173">
        <v>20970429</v>
      </c>
      <c r="J3173">
        <v>-135942345</v>
      </c>
      <c r="K3173">
        <v>-362008846</v>
      </c>
      <c r="L3173">
        <v>-51800875</v>
      </c>
      <c r="M3173">
        <v>66151891</v>
      </c>
      <c r="N3173">
        <v>-912584619</v>
      </c>
      <c r="O3173">
        <v>-241592308</v>
      </c>
      <c r="P3173">
        <v>82</v>
      </c>
      <c r="Q3173" t="s">
        <v>6390</v>
      </c>
    </row>
    <row r="3174" spans="1:17" x14ac:dyDescent="0.3">
      <c r="A3174" t="s">
        <v>4382</v>
      </c>
      <c r="B3174" t="str">
        <f>"002491"</f>
        <v>002491</v>
      </c>
      <c r="C3174" t="s">
        <v>6391</v>
      </c>
      <c r="D3174" t="s">
        <v>100</v>
      </c>
      <c r="F3174">
        <v>126070213</v>
      </c>
      <c r="G3174">
        <v>-93769450</v>
      </c>
      <c r="H3174">
        <v>58141819</v>
      </c>
      <c r="I3174">
        <v>-1070144992</v>
      </c>
      <c r="J3174">
        <v>-358477846</v>
      </c>
      <c r="K3174">
        <v>135013213</v>
      </c>
      <c r="L3174">
        <v>-78135816</v>
      </c>
      <c r="M3174">
        <v>113250822</v>
      </c>
      <c r="N3174">
        <v>-754065547</v>
      </c>
      <c r="O3174">
        <v>-871664502</v>
      </c>
      <c r="P3174">
        <v>214</v>
      </c>
      <c r="Q3174" t="s">
        <v>6392</v>
      </c>
    </row>
    <row r="3175" spans="1:17" x14ac:dyDescent="0.3">
      <c r="A3175" t="s">
        <v>4382</v>
      </c>
      <c r="B3175" t="str">
        <f>"002492"</f>
        <v>002492</v>
      </c>
      <c r="C3175" t="s">
        <v>6393</v>
      </c>
      <c r="D3175" t="s">
        <v>22</v>
      </c>
      <c r="F3175">
        <v>101911009</v>
      </c>
      <c r="G3175">
        <v>10663211</v>
      </c>
      <c r="H3175">
        <v>86266289</v>
      </c>
      <c r="I3175">
        <v>5100264</v>
      </c>
      <c r="J3175">
        <v>74520170</v>
      </c>
      <c r="K3175">
        <v>19019649</v>
      </c>
      <c r="L3175">
        <v>-66225436</v>
      </c>
      <c r="M3175">
        <v>623651</v>
      </c>
      <c r="N3175">
        <v>25459411</v>
      </c>
      <c r="O3175">
        <v>-31391966</v>
      </c>
      <c r="P3175">
        <v>94</v>
      </c>
      <c r="Q3175" t="s">
        <v>6394</v>
      </c>
    </row>
    <row r="3176" spans="1:17" x14ac:dyDescent="0.3">
      <c r="A3176" t="s">
        <v>4382</v>
      </c>
      <c r="B3176" t="str">
        <f>"002493"</f>
        <v>002493</v>
      </c>
      <c r="C3176" t="s">
        <v>6395</v>
      </c>
      <c r="D3176" t="s">
        <v>70</v>
      </c>
      <c r="F3176">
        <v>-13426131756</v>
      </c>
      <c r="G3176">
        <v>-31920188178</v>
      </c>
      <c r="H3176">
        <v>-28020765891</v>
      </c>
      <c r="I3176">
        <v>-20438991996</v>
      </c>
      <c r="J3176">
        <v>-4919858488</v>
      </c>
      <c r="K3176">
        <v>-1572635200</v>
      </c>
      <c r="L3176">
        <v>-2192696472</v>
      </c>
      <c r="M3176">
        <v>1375291856</v>
      </c>
      <c r="N3176">
        <v>-3507427920</v>
      </c>
      <c r="O3176">
        <v>-2536747669</v>
      </c>
      <c r="P3176">
        <v>852</v>
      </c>
      <c r="Q3176" t="s">
        <v>6396</v>
      </c>
    </row>
    <row r="3177" spans="1:17" x14ac:dyDescent="0.3">
      <c r="A3177" t="s">
        <v>4382</v>
      </c>
      <c r="B3177" t="str">
        <f>"002494"</f>
        <v>002494</v>
      </c>
      <c r="C3177" t="s">
        <v>6397</v>
      </c>
      <c r="D3177" t="s">
        <v>227</v>
      </c>
      <c r="F3177">
        <v>-79297473</v>
      </c>
      <c r="G3177">
        <v>128689556</v>
      </c>
      <c r="H3177">
        <v>-269002666</v>
      </c>
      <c r="I3177">
        <v>-267360604</v>
      </c>
      <c r="J3177">
        <v>186290273</v>
      </c>
      <c r="K3177">
        <v>-13884035</v>
      </c>
      <c r="L3177">
        <v>-132779924</v>
      </c>
      <c r="M3177">
        <v>-453623695</v>
      </c>
      <c r="N3177">
        <v>-204312748</v>
      </c>
      <c r="O3177">
        <v>-131553692</v>
      </c>
      <c r="P3177">
        <v>81</v>
      </c>
      <c r="Q3177" t="s">
        <v>6398</v>
      </c>
    </row>
    <row r="3178" spans="1:17" x14ac:dyDescent="0.3">
      <c r="A3178" t="s">
        <v>4382</v>
      </c>
      <c r="B3178" t="str">
        <f>"002495"</f>
        <v>002495</v>
      </c>
      <c r="C3178" t="s">
        <v>6399</v>
      </c>
      <c r="D3178" t="s">
        <v>123</v>
      </c>
      <c r="F3178">
        <v>5205803</v>
      </c>
      <c r="G3178">
        <v>-27361728</v>
      </c>
      <c r="H3178">
        <v>4230877</v>
      </c>
      <c r="I3178">
        <v>-33777374</v>
      </c>
      <c r="J3178">
        <v>-5742677</v>
      </c>
      <c r="K3178">
        <v>-61808131</v>
      </c>
      <c r="L3178">
        <v>5083463</v>
      </c>
      <c r="M3178">
        <v>-47019770</v>
      </c>
      <c r="N3178">
        <v>-91638477</v>
      </c>
      <c r="O3178">
        <v>-131973667</v>
      </c>
      <c r="P3178">
        <v>113</v>
      </c>
      <c r="Q3178" t="s">
        <v>6400</v>
      </c>
    </row>
    <row r="3179" spans="1:17" x14ac:dyDescent="0.3">
      <c r="A3179" t="s">
        <v>4382</v>
      </c>
      <c r="B3179" t="str">
        <f>"002496"</f>
        <v>002496</v>
      </c>
      <c r="C3179" t="s">
        <v>6401</v>
      </c>
      <c r="D3179" t="s">
        <v>133</v>
      </c>
      <c r="F3179">
        <v>-156944762</v>
      </c>
      <c r="G3179">
        <v>48784890</v>
      </c>
      <c r="H3179">
        <v>34698010</v>
      </c>
      <c r="I3179">
        <v>672246273</v>
      </c>
      <c r="J3179">
        <v>-176523102</v>
      </c>
      <c r="K3179">
        <v>-818742625</v>
      </c>
      <c r="L3179">
        <v>-435446288</v>
      </c>
      <c r="M3179">
        <v>-309402627</v>
      </c>
      <c r="N3179">
        <v>-182415246</v>
      </c>
      <c r="O3179">
        <v>-329730127</v>
      </c>
      <c r="P3179">
        <v>158</v>
      </c>
      <c r="Q3179" t="s">
        <v>6402</v>
      </c>
    </row>
    <row r="3180" spans="1:17" x14ac:dyDescent="0.3">
      <c r="A3180" t="s">
        <v>4382</v>
      </c>
      <c r="B3180" t="str">
        <f>"002497"</f>
        <v>002497</v>
      </c>
      <c r="C3180" t="s">
        <v>6403</v>
      </c>
      <c r="D3180" t="s">
        <v>133</v>
      </c>
      <c r="F3180">
        <v>47565576</v>
      </c>
      <c r="G3180">
        <v>324144971</v>
      </c>
      <c r="H3180">
        <v>-192869343</v>
      </c>
      <c r="I3180">
        <v>20121434</v>
      </c>
      <c r="J3180">
        <v>-20223411</v>
      </c>
      <c r="K3180">
        <v>-39351701</v>
      </c>
      <c r="L3180">
        <v>91451100</v>
      </c>
      <c r="M3180">
        <v>115828417</v>
      </c>
      <c r="N3180">
        <v>93110974</v>
      </c>
      <c r="O3180">
        <v>21963386</v>
      </c>
      <c r="P3180">
        <v>481</v>
      </c>
      <c r="Q3180" t="s">
        <v>6404</v>
      </c>
    </row>
    <row r="3181" spans="1:17" x14ac:dyDescent="0.3">
      <c r="A3181" t="s">
        <v>4382</v>
      </c>
      <c r="B3181" t="str">
        <f>"002498"</f>
        <v>002498</v>
      </c>
      <c r="C3181" t="s">
        <v>6405</v>
      </c>
      <c r="D3181" t="s">
        <v>188</v>
      </c>
      <c r="F3181">
        <v>-509888684</v>
      </c>
      <c r="G3181">
        <v>59771094</v>
      </c>
      <c r="H3181">
        <v>-161566026</v>
      </c>
      <c r="I3181">
        <v>-182931241</v>
      </c>
      <c r="J3181">
        <v>-672710598</v>
      </c>
      <c r="K3181">
        <v>121857876</v>
      </c>
      <c r="L3181">
        <v>-185480747</v>
      </c>
      <c r="M3181">
        <v>-178022304</v>
      </c>
      <c r="N3181">
        <v>-420586266</v>
      </c>
      <c r="O3181">
        <v>-224584567</v>
      </c>
      <c r="P3181">
        <v>282</v>
      </c>
      <c r="Q3181" t="s">
        <v>6406</v>
      </c>
    </row>
    <row r="3182" spans="1:17" x14ac:dyDescent="0.3">
      <c r="A3182" t="s">
        <v>4382</v>
      </c>
      <c r="B3182" t="str">
        <f>"002499"</f>
        <v>002499</v>
      </c>
      <c r="C3182" t="s">
        <v>6407</v>
      </c>
      <c r="D3182" t="s">
        <v>41</v>
      </c>
      <c r="F3182">
        <v>-10376696</v>
      </c>
      <c r="G3182">
        <v>8134703</v>
      </c>
      <c r="H3182">
        <v>-73457436</v>
      </c>
      <c r="I3182">
        <v>-345766233</v>
      </c>
      <c r="J3182">
        <v>-714217971</v>
      </c>
      <c r="K3182">
        <v>46364824</v>
      </c>
      <c r="L3182">
        <v>-32780786</v>
      </c>
      <c r="M3182">
        <v>2757863</v>
      </c>
      <c r="N3182">
        <v>-1127546</v>
      </c>
      <c r="O3182">
        <v>-107638271</v>
      </c>
      <c r="P3182">
        <v>51</v>
      </c>
      <c r="Q3182" t="s">
        <v>6408</v>
      </c>
    </row>
    <row r="3183" spans="1:17" x14ac:dyDescent="0.3">
      <c r="A3183" t="s">
        <v>4382</v>
      </c>
      <c r="B3183" t="str">
        <f>"002500"</f>
        <v>002500</v>
      </c>
      <c r="C3183" t="s">
        <v>6409</v>
      </c>
      <c r="D3183" t="s">
        <v>75</v>
      </c>
      <c r="F3183">
        <v>2945741146</v>
      </c>
      <c r="G3183">
        <v>-2270801838</v>
      </c>
      <c r="H3183">
        <v>2527136723</v>
      </c>
      <c r="I3183">
        <v>-2179249670</v>
      </c>
      <c r="J3183">
        <v>-114917998</v>
      </c>
      <c r="K3183">
        <v>-2835153377</v>
      </c>
      <c r="L3183">
        <v>4035437405</v>
      </c>
      <c r="M3183">
        <v>1961261127</v>
      </c>
      <c r="N3183">
        <v>-1733221140</v>
      </c>
      <c r="O3183">
        <v>-3116250599</v>
      </c>
      <c r="P3183">
        <v>1130</v>
      </c>
      <c r="Q3183" t="s">
        <v>6410</v>
      </c>
    </row>
    <row r="3184" spans="1:17" x14ac:dyDescent="0.3">
      <c r="A3184" t="s">
        <v>4382</v>
      </c>
      <c r="B3184" t="str">
        <f>"002501"</f>
        <v>002501</v>
      </c>
      <c r="C3184" t="s">
        <v>6411</v>
      </c>
      <c r="D3184" t="s">
        <v>234</v>
      </c>
      <c r="F3184">
        <v>-604002011</v>
      </c>
      <c r="G3184">
        <v>-4174014</v>
      </c>
      <c r="H3184">
        <v>-7614089</v>
      </c>
      <c r="I3184">
        <v>-208148853</v>
      </c>
      <c r="J3184">
        <v>-719319627</v>
      </c>
      <c r="K3184">
        <v>-145769628</v>
      </c>
      <c r="L3184">
        <v>-405287640</v>
      </c>
      <c r="M3184">
        <v>-151605393</v>
      </c>
      <c r="N3184">
        <v>-104605708</v>
      </c>
      <c r="O3184">
        <v>-507609631</v>
      </c>
      <c r="P3184">
        <v>107</v>
      </c>
      <c r="Q3184" t="s">
        <v>6412</v>
      </c>
    </row>
    <row r="3185" spans="1:17" x14ac:dyDescent="0.3">
      <c r="A3185" t="s">
        <v>4382</v>
      </c>
      <c r="B3185" t="str">
        <f>"002502"</f>
        <v>002502</v>
      </c>
      <c r="C3185" t="s">
        <v>6413</v>
      </c>
      <c r="D3185" t="s">
        <v>89</v>
      </c>
      <c r="F3185">
        <v>-427199794</v>
      </c>
      <c r="G3185">
        <v>125257759</v>
      </c>
      <c r="H3185">
        <v>-268724763</v>
      </c>
      <c r="I3185">
        <v>-69703062</v>
      </c>
      <c r="J3185">
        <v>76937938</v>
      </c>
      <c r="K3185">
        <v>284568081</v>
      </c>
      <c r="L3185">
        <v>27607659</v>
      </c>
      <c r="M3185">
        <v>-16719023</v>
      </c>
      <c r="N3185">
        <v>-98426403</v>
      </c>
      <c r="O3185">
        <v>-57511399</v>
      </c>
      <c r="P3185">
        <v>117</v>
      </c>
      <c r="Q3185" t="s">
        <v>6414</v>
      </c>
    </row>
    <row r="3186" spans="1:17" x14ac:dyDescent="0.3">
      <c r="A3186" t="s">
        <v>4382</v>
      </c>
      <c r="B3186" t="str">
        <f>"002503"</f>
        <v>002503</v>
      </c>
      <c r="C3186" t="s">
        <v>6415</v>
      </c>
      <c r="D3186" t="s">
        <v>227</v>
      </c>
      <c r="F3186">
        <v>-547922985</v>
      </c>
      <c r="G3186">
        <v>-696778828</v>
      </c>
      <c r="H3186">
        <v>-107320901</v>
      </c>
      <c r="I3186">
        <v>-833580681</v>
      </c>
      <c r="J3186">
        <v>-1351878493</v>
      </c>
      <c r="K3186">
        <v>-526036926</v>
      </c>
      <c r="L3186">
        <v>56646484</v>
      </c>
      <c r="M3186">
        <v>-272043308</v>
      </c>
      <c r="N3186">
        <v>-106334850</v>
      </c>
      <c r="O3186">
        <v>-44136284</v>
      </c>
      <c r="P3186">
        <v>244</v>
      </c>
      <c r="Q3186" t="s">
        <v>6416</v>
      </c>
    </row>
    <row r="3187" spans="1:17" x14ac:dyDescent="0.3">
      <c r="A3187" t="s">
        <v>4382</v>
      </c>
      <c r="B3187" t="str">
        <f>"002504"</f>
        <v>002504</v>
      </c>
      <c r="C3187" t="s">
        <v>6417</v>
      </c>
      <c r="D3187" t="s">
        <v>95</v>
      </c>
      <c r="F3187">
        <v>3874714</v>
      </c>
      <c r="G3187">
        <v>-32086478</v>
      </c>
      <c r="H3187">
        <v>-3734442</v>
      </c>
      <c r="I3187">
        <v>-9439008</v>
      </c>
      <c r="J3187">
        <v>-522706241</v>
      </c>
      <c r="K3187">
        <v>-133173595</v>
      </c>
      <c r="L3187">
        <v>-3848583</v>
      </c>
      <c r="M3187">
        <v>-62951849</v>
      </c>
      <c r="N3187">
        <v>-51877485</v>
      </c>
      <c r="O3187">
        <v>-86098219</v>
      </c>
      <c r="P3187">
        <v>66</v>
      </c>
      <c r="Q3187" t="s">
        <v>6418</v>
      </c>
    </row>
    <row r="3188" spans="1:17" x14ac:dyDescent="0.3">
      <c r="A3188" t="s">
        <v>4382</v>
      </c>
      <c r="B3188" t="str">
        <f>"002505"</f>
        <v>002505</v>
      </c>
      <c r="C3188" t="s">
        <v>6419</v>
      </c>
      <c r="D3188" t="s">
        <v>205</v>
      </c>
      <c r="F3188">
        <v>-900671498</v>
      </c>
      <c r="G3188">
        <v>329315841</v>
      </c>
      <c r="H3188">
        <v>-203505557</v>
      </c>
      <c r="I3188">
        <v>-204294966</v>
      </c>
      <c r="J3188">
        <v>-1587254888</v>
      </c>
      <c r="K3188">
        <v>-236383296</v>
      </c>
      <c r="L3188">
        <v>-190130276</v>
      </c>
      <c r="M3188">
        <v>-505507346</v>
      </c>
      <c r="N3188">
        <v>-98842779</v>
      </c>
      <c r="O3188">
        <v>-65785853</v>
      </c>
      <c r="P3188">
        <v>209</v>
      </c>
      <c r="Q3188" t="s">
        <v>6420</v>
      </c>
    </row>
    <row r="3189" spans="1:17" x14ac:dyDescent="0.3">
      <c r="A3189" t="s">
        <v>4382</v>
      </c>
      <c r="B3189" t="str">
        <f>"002506"</f>
        <v>002506</v>
      </c>
      <c r="C3189" t="s">
        <v>6421</v>
      </c>
      <c r="D3189" t="s">
        <v>188</v>
      </c>
      <c r="F3189">
        <v>-654206569</v>
      </c>
      <c r="G3189">
        <v>-207442981</v>
      </c>
      <c r="H3189">
        <v>221605665</v>
      </c>
      <c r="I3189">
        <v>2310766720</v>
      </c>
      <c r="J3189">
        <v>-229924872</v>
      </c>
      <c r="K3189">
        <v>-2753719530</v>
      </c>
      <c r="L3189">
        <v>-766334050</v>
      </c>
      <c r="M3189">
        <v>-309494691</v>
      </c>
      <c r="N3189">
        <v>6264008</v>
      </c>
      <c r="O3189">
        <v>-860624874</v>
      </c>
      <c r="P3189">
        <v>315</v>
      </c>
      <c r="Q3189" t="s">
        <v>6422</v>
      </c>
    </row>
    <row r="3190" spans="1:17" x14ac:dyDescent="0.3">
      <c r="A3190" t="s">
        <v>4382</v>
      </c>
      <c r="B3190" t="str">
        <f>"002507"</f>
        <v>002507</v>
      </c>
      <c r="C3190" t="s">
        <v>6423</v>
      </c>
      <c r="D3190" t="s">
        <v>123</v>
      </c>
      <c r="F3190">
        <v>406616813</v>
      </c>
      <c r="G3190">
        <v>621926815</v>
      </c>
      <c r="H3190">
        <v>-179435470</v>
      </c>
      <c r="I3190">
        <v>267216430</v>
      </c>
      <c r="J3190">
        <v>353231392</v>
      </c>
      <c r="K3190">
        <v>228715009</v>
      </c>
      <c r="L3190">
        <v>103366228</v>
      </c>
      <c r="M3190">
        <v>-8942152</v>
      </c>
      <c r="N3190">
        <v>117875550</v>
      </c>
      <c r="O3190">
        <v>57671060</v>
      </c>
      <c r="P3190">
        <v>4504</v>
      </c>
      <c r="Q3190" t="s">
        <v>6424</v>
      </c>
    </row>
    <row r="3191" spans="1:17" x14ac:dyDescent="0.3">
      <c r="A3191" t="s">
        <v>4382</v>
      </c>
      <c r="B3191" t="str">
        <f>"002508"</f>
        <v>002508</v>
      </c>
      <c r="C3191" t="s">
        <v>6425</v>
      </c>
      <c r="D3191" t="s">
        <v>126</v>
      </c>
      <c r="F3191">
        <v>724893004</v>
      </c>
      <c r="G3191">
        <v>756968616</v>
      </c>
      <c r="H3191">
        <v>824965012</v>
      </c>
      <c r="I3191">
        <v>1092697597</v>
      </c>
      <c r="J3191">
        <v>681399135</v>
      </c>
      <c r="K3191">
        <v>1065805181</v>
      </c>
      <c r="L3191">
        <v>535900056</v>
      </c>
      <c r="M3191">
        <v>362051854</v>
      </c>
      <c r="N3191">
        <v>180188327</v>
      </c>
      <c r="O3191">
        <v>156446730</v>
      </c>
      <c r="P3191">
        <v>40626</v>
      </c>
      <c r="Q3191" t="s">
        <v>6426</v>
      </c>
    </row>
    <row r="3192" spans="1:17" x14ac:dyDescent="0.3">
      <c r="A3192" t="s">
        <v>4382</v>
      </c>
      <c r="B3192" t="str">
        <f>"002509"</f>
        <v>002509</v>
      </c>
      <c r="C3192" t="s">
        <v>6427</v>
      </c>
      <c r="H3192">
        <v>-111158109</v>
      </c>
      <c r="I3192">
        <v>-391036989</v>
      </c>
      <c r="J3192">
        <v>-688520500</v>
      </c>
      <c r="K3192">
        <v>-254640080</v>
      </c>
      <c r="L3192">
        <v>-137200070</v>
      </c>
      <c r="M3192">
        <v>-194059518</v>
      </c>
      <c r="N3192">
        <v>-76394934</v>
      </c>
      <c r="O3192">
        <v>-40710329</v>
      </c>
      <c r="P3192">
        <v>60</v>
      </c>
      <c r="Q3192" t="s">
        <v>6428</v>
      </c>
    </row>
    <row r="3193" spans="1:17" x14ac:dyDescent="0.3">
      <c r="A3193" t="s">
        <v>4382</v>
      </c>
      <c r="B3193" t="str">
        <f>"002510"</f>
        <v>002510</v>
      </c>
      <c r="C3193" t="s">
        <v>6429</v>
      </c>
      <c r="D3193" t="s">
        <v>27</v>
      </c>
      <c r="F3193">
        <v>4102761</v>
      </c>
      <c r="G3193">
        <v>-10853928</v>
      </c>
      <c r="H3193">
        <v>52631225</v>
      </c>
      <c r="I3193">
        <v>-333993053</v>
      </c>
      <c r="J3193">
        <v>-48458217</v>
      </c>
      <c r="K3193">
        <v>-68197230</v>
      </c>
      <c r="L3193">
        <v>-24944929</v>
      </c>
      <c r="M3193">
        <v>-54689156</v>
      </c>
      <c r="N3193">
        <v>2963107</v>
      </c>
      <c r="O3193">
        <v>23712689</v>
      </c>
      <c r="P3193">
        <v>208</v>
      </c>
      <c r="Q3193" t="s">
        <v>6430</v>
      </c>
    </row>
    <row r="3194" spans="1:17" x14ac:dyDescent="0.3">
      <c r="A3194" t="s">
        <v>4382</v>
      </c>
      <c r="B3194" t="str">
        <f>"002511"</f>
        <v>002511</v>
      </c>
      <c r="C3194" t="s">
        <v>6431</v>
      </c>
      <c r="D3194" t="s">
        <v>481</v>
      </c>
      <c r="F3194">
        <v>366309504</v>
      </c>
      <c r="G3194">
        <v>118737769</v>
      </c>
      <c r="H3194">
        <v>518757817</v>
      </c>
      <c r="I3194">
        <v>-486996404</v>
      </c>
      <c r="J3194">
        <v>75169869</v>
      </c>
      <c r="K3194">
        <v>497310693</v>
      </c>
      <c r="L3194">
        <v>168377388</v>
      </c>
      <c r="M3194">
        <v>-137267328</v>
      </c>
      <c r="N3194">
        <v>-591379156</v>
      </c>
      <c r="O3194">
        <v>-143303653</v>
      </c>
      <c r="P3194">
        <v>2513</v>
      </c>
      <c r="Q3194" t="s">
        <v>6432</v>
      </c>
    </row>
    <row r="3195" spans="1:17" x14ac:dyDescent="0.3">
      <c r="A3195" t="s">
        <v>4382</v>
      </c>
      <c r="B3195" t="str">
        <f>"002512"</f>
        <v>002512</v>
      </c>
      <c r="C3195" t="s">
        <v>6433</v>
      </c>
      <c r="D3195" t="s">
        <v>212</v>
      </c>
      <c r="F3195">
        <v>57060104</v>
      </c>
      <c r="G3195">
        <v>-298933268</v>
      </c>
      <c r="H3195">
        <v>171723286</v>
      </c>
      <c r="I3195">
        <v>-33969206</v>
      </c>
      <c r="J3195">
        <v>-560584827</v>
      </c>
      <c r="K3195">
        <v>-2513672</v>
      </c>
      <c r="L3195">
        <v>-258646680</v>
      </c>
      <c r="M3195">
        <v>-154434798</v>
      </c>
      <c r="N3195">
        <v>-75965984</v>
      </c>
      <c r="O3195">
        <v>-64174479</v>
      </c>
      <c r="P3195">
        <v>162</v>
      </c>
      <c r="Q3195" t="s">
        <v>6434</v>
      </c>
    </row>
    <row r="3196" spans="1:17" x14ac:dyDescent="0.3">
      <c r="A3196" t="s">
        <v>4382</v>
      </c>
      <c r="B3196" t="str">
        <f>"002513"</f>
        <v>002513</v>
      </c>
      <c r="C3196" t="s">
        <v>6435</v>
      </c>
      <c r="D3196" t="s">
        <v>133</v>
      </c>
      <c r="F3196">
        <v>-34817534</v>
      </c>
      <c r="G3196">
        <v>-16637005</v>
      </c>
      <c r="H3196">
        <v>98104956</v>
      </c>
      <c r="I3196">
        <v>208645788</v>
      </c>
      <c r="J3196">
        <v>169090357</v>
      </c>
      <c r="K3196">
        <v>163391613</v>
      </c>
      <c r="L3196">
        <v>73782537</v>
      </c>
      <c r="M3196">
        <v>-61893174</v>
      </c>
      <c r="N3196">
        <v>-219801514</v>
      </c>
      <c r="O3196">
        <v>-349383710</v>
      </c>
      <c r="P3196">
        <v>46</v>
      </c>
      <c r="Q3196" t="s">
        <v>6436</v>
      </c>
    </row>
    <row r="3197" spans="1:17" x14ac:dyDescent="0.3">
      <c r="A3197" t="s">
        <v>4382</v>
      </c>
      <c r="B3197" t="str">
        <f>"002514"</f>
        <v>002514</v>
      </c>
      <c r="C3197" t="s">
        <v>6437</v>
      </c>
      <c r="D3197" t="s">
        <v>78</v>
      </c>
      <c r="F3197">
        <v>98552059</v>
      </c>
      <c r="G3197">
        <v>9443827</v>
      </c>
      <c r="H3197">
        <v>27244362</v>
      </c>
      <c r="I3197">
        <v>-99178949</v>
      </c>
      <c r="J3197">
        <v>-29834046</v>
      </c>
      <c r="K3197">
        <v>-1337212</v>
      </c>
      <c r="L3197">
        <v>-84290404</v>
      </c>
      <c r="M3197">
        <v>-38371438</v>
      </c>
      <c r="N3197">
        <v>-33541393</v>
      </c>
      <c r="O3197">
        <v>6301029</v>
      </c>
      <c r="P3197">
        <v>61</v>
      </c>
      <c r="Q3197" t="s">
        <v>6438</v>
      </c>
    </row>
    <row r="3198" spans="1:17" x14ac:dyDescent="0.3">
      <c r="A3198" t="s">
        <v>4382</v>
      </c>
      <c r="B3198" t="str">
        <f>"002515"</f>
        <v>002515</v>
      </c>
      <c r="C3198" t="s">
        <v>6439</v>
      </c>
      <c r="D3198" t="s">
        <v>123</v>
      </c>
      <c r="F3198">
        <v>108428811</v>
      </c>
      <c r="G3198">
        <v>-240025481</v>
      </c>
      <c r="H3198">
        <v>-38956038</v>
      </c>
      <c r="I3198">
        <v>-148221726</v>
      </c>
      <c r="J3198">
        <v>-148352866</v>
      </c>
      <c r="K3198">
        <v>71040361</v>
      </c>
      <c r="L3198">
        <v>75185949</v>
      </c>
      <c r="M3198">
        <v>-13868073</v>
      </c>
      <c r="N3198">
        <v>-98043457</v>
      </c>
      <c r="O3198">
        <v>-100900560</v>
      </c>
      <c r="P3198">
        <v>296</v>
      </c>
      <c r="Q3198" t="s">
        <v>6440</v>
      </c>
    </row>
    <row r="3199" spans="1:17" x14ac:dyDescent="0.3">
      <c r="A3199" t="s">
        <v>4382</v>
      </c>
      <c r="B3199" t="str">
        <f>"002516"</f>
        <v>002516</v>
      </c>
      <c r="C3199" t="s">
        <v>6441</v>
      </c>
      <c r="D3199" t="s">
        <v>27</v>
      </c>
      <c r="F3199">
        <v>58132450</v>
      </c>
      <c r="G3199">
        <v>160642189</v>
      </c>
      <c r="H3199">
        <v>119005288</v>
      </c>
      <c r="I3199">
        <v>107902684</v>
      </c>
      <c r="J3199">
        <v>227583693</v>
      </c>
      <c r="K3199">
        <v>-519603318</v>
      </c>
      <c r="L3199">
        <v>-662118346</v>
      </c>
      <c r="M3199">
        <v>-11900987</v>
      </c>
      <c r="N3199">
        <v>-39595874</v>
      </c>
      <c r="O3199">
        <v>85786130</v>
      </c>
      <c r="P3199">
        <v>160</v>
      </c>
      <c r="Q3199" t="s">
        <v>6442</v>
      </c>
    </row>
    <row r="3200" spans="1:17" x14ac:dyDescent="0.3">
      <c r="A3200" t="s">
        <v>4382</v>
      </c>
      <c r="B3200" t="str">
        <f>"002517"</f>
        <v>002517</v>
      </c>
      <c r="C3200" t="s">
        <v>6443</v>
      </c>
      <c r="D3200" t="s">
        <v>89</v>
      </c>
      <c r="F3200">
        <v>123631624</v>
      </c>
      <c r="G3200">
        <v>135284556</v>
      </c>
      <c r="H3200">
        <v>-35223045</v>
      </c>
      <c r="I3200">
        <v>515717434</v>
      </c>
      <c r="J3200">
        <v>513518030</v>
      </c>
      <c r="K3200">
        <v>273323446</v>
      </c>
      <c r="L3200">
        <v>18656303</v>
      </c>
      <c r="M3200">
        <v>-57870171</v>
      </c>
      <c r="N3200">
        <v>-128165812</v>
      </c>
      <c r="O3200">
        <v>-25180218</v>
      </c>
      <c r="P3200">
        <v>289</v>
      </c>
      <c r="Q3200" t="s">
        <v>6444</v>
      </c>
    </row>
    <row r="3201" spans="1:17" x14ac:dyDescent="0.3">
      <c r="A3201" t="s">
        <v>4382</v>
      </c>
      <c r="B3201" t="str">
        <f>"002518"</f>
        <v>002518</v>
      </c>
      <c r="C3201" t="s">
        <v>6445</v>
      </c>
      <c r="D3201" t="s">
        <v>188</v>
      </c>
      <c r="F3201">
        <v>79541906</v>
      </c>
      <c r="G3201">
        <v>-99045916</v>
      </c>
      <c r="H3201">
        <v>472012731</v>
      </c>
      <c r="I3201">
        <v>-450482974</v>
      </c>
      <c r="J3201">
        <v>-67013461</v>
      </c>
      <c r="K3201">
        <v>-134356003</v>
      </c>
      <c r="L3201">
        <v>6444662</v>
      </c>
      <c r="M3201">
        <v>-84627939</v>
      </c>
      <c r="N3201">
        <v>-142130310</v>
      </c>
      <c r="O3201">
        <v>-141158340</v>
      </c>
      <c r="P3201">
        <v>401</v>
      </c>
      <c r="Q3201" t="s">
        <v>6446</v>
      </c>
    </row>
    <row r="3202" spans="1:17" x14ac:dyDescent="0.3">
      <c r="A3202" t="s">
        <v>4382</v>
      </c>
      <c r="B3202" t="str">
        <f>"002519"</f>
        <v>002519</v>
      </c>
      <c r="C3202" t="s">
        <v>6447</v>
      </c>
      <c r="D3202" t="s">
        <v>126</v>
      </c>
      <c r="F3202">
        <v>-244776533</v>
      </c>
      <c r="G3202">
        <v>96342111</v>
      </c>
      <c r="H3202">
        <v>80616558</v>
      </c>
      <c r="I3202">
        <v>-155841469</v>
      </c>
      <c r="J3202">
        <v>-170110403</v>
      </c>
      <c r="K3202">
        <v>-39945295</v>
      </c>
      <c r="L3202">
        <v>45718534</v>
      </c>
      <c r="M3202">
        <v>-52368059</v>
      </c>
      <c r="N3202">
        <v>-44233026</v>
      </c>
      <c r="O3202">
        <v>63788530</v>
      </c>
      <c r="P3202">
        <v>160</v>
      </c>
      <c r="Q3202" t="s">
        <v>6448</v>
      </c>
    </row>
    <row r="3203" spans="1:17" x14ac:dyDescent="0.3">
      <c r="A3203" t="s">
        <v>4382</v>
      </c>
      <c r="B3203" t="str">
        <f>"002520"</f>
        <v>002520</v>
      </c>
      <c r="C3203" t="s">
        <v>6449</v>
      </c>
      <c r="D3203" t="s">
        <v>78</v>
      </c>
      <c r="F3203">
        <v>57271937</v>
      </c>
      <c r="G3203">
        <v>-340291956</v>
      </c>
      <c r="H3203">
        <v>-452191159</v>
      </c>
      <c r="I3203">
        <v>-162710416</v>
      </c>
      <c r="J3203">
        <v>41553507</v>
      </c>
      <c r="K3203">
        <v>-103020935</v>
      </c>
      <c r="L3203">
        <v>-84177738</v>
      </c>
      <c r="M3203">
        <v>-28165211</v>
      </c>
      <c r="N3203">
        <v>-107980850</v>
      </c>
      <c r="O3203">
        <v>-87307623</v>
      </c>
      <c r="P3203">
        <v>99</v>
      </c>
      <c r="Q3203" t="s">
        <v>6450</v>
      </c>
    </row>
    <row r="3204" spans="1:17" x14ac:dyDescent="0.3">
      <c r="A3204" t="s">
        <v>4382</v>
      </c>
      <c r="B3204" t="str">
        <f>"002521"</f>
        <v>002521</v>
      </c>
      <c r="C3204" t="s">
        <v>6451</v>
      </c>
      <c r="D3204" t="s">
        <v>161</v>
      </c>
      <c r="F3204">
        <v>107495953</v>
      </c>
      <c r="G3204">
        <v>391489925</v>
      </c>
      <c r="H3204">
        <v>269222412</v>
      </c>
      <c r="I3204">
        <v>148830260</v>
      </c>
      <c r="J3204">
        <v>-433865935</v>
      </c>
      <c r="K3204">
        <v>123841507</v>
      </c>
      <c r="L3204">
        <v>-112920907</v>
      </c>
      <c r="M3204">
        <v>125181049</v>
      </c>
      <c r="N3204">
        <v>-288162944</v>
      </c>
      <c r="O3204">
        <v>-234707294</v>
      </c>
      <c r="P3204">
        <v>132</v>
      </c>
      <c r="Q3204" t="s">
        <v>6452</v>
      </c>
    </row>
    <row r="3205" spans="1:17" x14ac:dyDescent="0.3">
      <c r="A3205" t="s">
        <v>4382</v>
      </c>
      <c r="B3205" t="str">
        <f>"002522"</f>
        <v>002522</v>
      </c>
      <c r="C3205" t="s">
        <v>6453</v>
      </c>
      <c r="D3205" t="s">
        <v>133</v>
      </c>
      <c r="F3205">
        <v>39262952</v>
      </c>
      <c r="G3205">
        <v>158075341</v>
      </c>
      <c r="H3205">
        <v>58054848</v>
      </c>
      <c r="I3205">
        <v>-150581826</v>
      </c>
      <c r="J3205">
        <v>-394238970</v>
      </c>
      <c r="K3205">
        <v>-175192359</v>
      </c>
      <c r="L3205">
        <v>26535704</v>
      </c>
      <c r="M3205">
        <v>-36369960</v>
      </c>
      <c r="N3205">
        <v>-68906281</v>
      </c>
      <c r="O3205">
        <v>-100183058</v>
      </c>
      <c r="P3205">
        <v>367</v>
      </c>
      <c r="Q3205" t="s">
        <v>6454</v>
      </c>
    </row>
    <row r="3206" spans="1:17" x14ac:dyDescent="0.3">
      <c r="A3206" t="s">
        <v>4382</v>
      </c>
      <c r="B3206" t="str">
        <f>"002523"</f>
        <v>002523</v>
      </c>
      <c r="C3206" t="s">
        <v>6455</v>
      </c>
      <c r="D3206" t="s">
        <v>78</v>
      </c>
      <c r="F3206">
        <v>-49289609</v>
      </c>
      <c r="G3206">
        <v>-29389397</v>
      </c>
      <c r="H3206">
        <v>50750464</v>
      </c>
      <c r="I3206">
        <v>-211547618</v>
      </c>
      <c r="J3206">
        <v>39386568</v>
      </c>
      <c r="K3206">
        <v>-40460328</v>
      </c>
      <c r="L3206">
        <v>-4301417</v>
      </c>
      <c r="M3206">
        <v>-41533322</v>
      </c>
      <c r="N3206">
        <v>-62392112</v>
      </c>
      <c r="O3206">
        <v>-50964569</v>
      </c>
      <c r="P3206">
        <v>53</v>
      </c>
      <c r="Q3206" t="s">
        <v>6456</v>
      </c>
    </row>
    <row r="3207" spans="1:17" x14ac:dyDescent="0.3">
      <c r="A3207" t="s">
        <v>4382</v>
      </c>
      <c r="B3207" t="str">
        <f>"002524"</f>
        <v>002524</v>
      </c>
      <c r="C3207" t="s">
        <v>6457</v>
      </c>
      <c r="D3207" t="s">
        <v>113</v>
      </c>
      <c r="F3207">
        <v>-2645739</v>
      </c>
      <c r="G3207">
        <v>104156896</v>
      </c>
      <c r="H3207">
        <v>11615490</v>
      </c>
      <c r="I3207">
        <v>120170593</v>
      </c>
      <c r="J3207">
        <v>19838120</v>
      </c>
      <c r="K3207">
        <v>38889225</v>
      </c>
      <c r="L3207">
        <v>49286879</v>
      </c>
      <c r="M3207">
        <v>-25334424</v>
      </c>
      <c r="N3207">
        <v>-125499618</v>
      </c>
      <c r="O3207">
        <v>-138526662</v>
      </c>
      <c r="P3207">
        <v>180</v>
      </c>
      <c r="Q3207" t="s">
        <v>6458</v>
      </c>
    </row>
    <row r="3208" spans="1:17" x14ac:dyDescent="0.3">
      <c r="A3208" t="s">
        <v>4382</v>
      </c>
      <c r="B3208" t="str">
        <f>"002526"</f>
        <v>002526</v>
      </c>
      <c r="C3208" t="s">
        <v>6459</v>
      </c>
      <c r="D3208" t="s">
        <v>78</v>
      </c>
      <c r="F3208">
        <v>-55265960</v>
      </c>
      <c r="G3208">
        <v>211038997</v>
      </c>
      <c r="H3208">
        <v>276951067</v>
      </c>
      <c r="I3208">
        <v>167740448</v>
      </c>
      <c r="J3208">
        <v>126453229</v>
      </c>
      <c r="K3208">
        <v>96972614</v>
      </c>
      <c r="L3208">
        <v>208310802</v>
      </c>
      <c r="M3208">
        <v>-78493676</v>
      </c>
      <c r="N3208">
        <v>-165914720</v>
      </c>
      <c r="O3208">
        <v>-125216154</v>
      </c>
      <c r="P3208">
        <v>103</v>
      </c>
      <c r="Q3208" t="s">
        <v>6460</v>
      </c>
    </row>
    <row r="3209" spans="1:17" x14ac:dyDescent="0.3">
      <c r="A3209" t="s">
        <v>4382</v>
      </c>
      <c r="B3209" t="str">
        <f>"002527"</f>
        <v>002527</v>
      </c>
      <c r="C3209" t="s">
        <v>6461</v>
      </c>
      <c r="D3209" t="s">
        <v>78</v>
      </c>
      <c r="F3209">
        <v>-49915487</v>
      </c>
      <c r="G3209">
        <v>-59995543</v>
      </c>
      <c r="H3209">
        <v>-72032922</v>
      </c>
      <c r="I3209">
        <v>-553451766</v>
      </c>
      <c r="J3209">
        <v>-208408579</v>
      </c>
      <c r="K3209">
        <v>-95644175</v>
      </c>
      <c r="L3209">
        <v>-39432386</v>
      </c>
      <c r="M3209">
        <v>-30332828</v>
      </c>
      <c r="N3209">
        <v>6115758</v>
      </c>
      <c r="O3209">
        <v>3402850</v>
      </c>
      <c r="P3209">
        <v>161</v>
      </c>
      <c r="Q3209" t="s">
        <v>6462</v>
      </c>
    </row>
    <row r="3210" spans="1:17" x14ac:dyDescent="0.3">
      <c r="A3210" t="s">
        <v>4382</v>
      </c>
      <c r="B3210" t="str">
        <f>"002528"</f>
        <v>002528</v>
      </c>
      <c r="C3210" t="s">
        <v>6463</v>
      </c>
      <c r="D3210" t="s">
        <v>212</v>
      </c>
      <c r="F3210">
        <v>88339849</v>
      </c>
      <c r="G3210">
        <v>-507867875</v>
      </c>
      <c r="H3210">
        <v>-551027102</v>
      </c>
      <c r="I3210">
        <v>-208669626</v>
      </c>
      <c r="J3210">
        <v>-88873780</v>
      </c>
      <c r="K3210">
        <v>-106080966</v>
      </c>
      <c r="L3210">
        <v>-206048338</v>
      </c>
      <c r="M3210">
        <v>-5212646</v>
      </c>
      <c r="N3210">
        <v>-54926317</v>
      </c>
      <c r="O3210">
        <v>12287290</v>
      </c>
      <c r="P3210">
        <v>169</v>
      </c>
      <c r="Q3210" t="s">
        <v>6464</v>
      </c>
    </row>
    <row r="3211" spans="1:17" x14ac:dyDescent="0.3">
      <c r="A3211" t="s">
        <v>4382</v>
      </c>
      <c r="B3211" t="str">
        <f>"002529"</f>
        <v>002529</v>
      </c>
      <c r="C3211" t="s">
        <v>6465</v>
      </c>
      <c r="D3211" t="s">
        <v>78</v>
      </c>
      <c r="F3211">
        <v>-19461404</v>
      </c>
      <c r="G3211">
        <v>128673610</v>
      </c>
      <c r="H3211">
        <v>-40862052</v>
      </c>
      <c r="I3211">
        <v>-121793186</v>
      </c>
      <c r="J3211">
        <v>-185335611</v>
      </c>
      <c r="K3211">
        <v>-99599175</v>
      </c>
      <c r="L3211">
        <v>-32928637</v>
      </c>
      <c r="M3211">
        <v>-84914461</v>
      </c>
      <c r="N3211">
        <v>-72201700</v>
      </c>
      <c r="O3211">
        <v>-137865328</v>
      </c>
      <c r="P3211">
        <v>68</v>
      </c>
      <c r="Q3211" t="s">
        <v>6466</v>
      </c>
    </row>
    <row r="3212" spans="1:17" x14ac:dyDescent="0.3">
      <c r="A3212" t="s">
        <v>4382</v>
      </c>
      <c r="B3212" t="str">
        <f>"002530"</f>
        <v>002530</v>
      </c>
      <c r="C3212" t="s">
        <v>6467</v>
      </c>
      <c r="D3212" t="s">
        <v>212</v>
      </c>
      <c r="F3212">
        <v>-259870102</v>
      </c>
      <c r="G3212">
        <v>-233056215</v>
      </c>
      <c r="H3212">
        <v>-299075313</v>
      </c>
      <c r="I3212">
        <v>-257091211</v>
      </c>
      <c r="J3212">
        <v>12574936</v>
      </c>
      <c r="K3212">
        <v>29460509</v>
      </c>
      <c r="L3212">
        <v>-35322049</v>
      </c>
      <c r="M3212">
        <v>-39563020</v>
      </c>
      <c r="N3212">
        <v>-30546086</v>
      </c>
      <c r="O3212">
        <v>-14115192</v>
      </c>
      <c r="P3212">
        <v>135</v>
      </c>
      <c r="Q3212" t="s">
        <v>6468</v>
      </c>
    </row>
    <row r="3213" spans="1:17" x14ac:dyDescent="0.3">
      <c r="A3213" t="s">
        <v>4382</v>
      </c>
      <c r="B3213" t="str">
        <f>"002531"</f>
        <v>002531</v>
      </c>
      <c r="C3213" t="s">
        <v>6469</v>
      </c>
      <c r="D3213" t="s">
        <v>188</v>
      </c>
      <c r="F3213">
        <v>-77014820</v>
      </c>
      <c r="G3213">
        <v>-1316764360</v>
      </c>
      <c r="H3213">
        <v>92453451</v>
      </c>
      <c r="I3213">
        <v>-1135638305</v>
      </c>
      <c r="J3213">
        <v>-1781783832</v>
      </c>
      <c r="K3213">
        <v>134135709</v>
      </c>
      <c r="L3213">
        <v>-179882356</v>
      </c>
      <c r="M3213">
        <v>-115347475</v>
      </c>
      <c r="N3213">
        <v>-240841242</v>
      </c>
      <c r="O3213">
        <v>-49329365</v>
      </c>
      <c r="P3213">
        <v>599</v>
      </c>
      <c r="Q3213" t="s">
        <v>6470</v>
      </c>
    </row>
    <row r="3214" spans="1:17" x14ac:dyDescent="0.3">
      <c r="A3214" t="s">
        <v>4382</v>
      </c>
      <c r="B3214" t="str">
        <f>"002532"</f>
        <v>002532</v>
      </c>
      <c r="C3214" t="s">
        <v>6471</v>
      </c>
      <c r="D3214" t="s">
        <v>234</v>
      </c>
      <c r="F3214">
        <v>-2173507238</v>
      </c>
      <c r="G3214">
        <v>1469880236</v>
      </c>
      <c r="H3214">
        <v>91505894</v>
      </c>
      <c r="I3214">
        <v>-70040440</v>
      </c>
      <c r="J3214">
        <v>-21975124</v>
      </c>
      <c r="K3214">
        <v>-111328439</v>
      </c>
      <c r="L3214">
        <v>-24395624</v>
      </c>
      <c r="M3214">
        <v>-13340816</v>
      </c>
      <c r="N3214">
        <v>-167470614</v>
      </c>
      <c r="O3214">
        <v>-17482668</v>
      </c>
      <c r="P3214">
        <v>424</v>
      </c>
      <c r="Q3214" t="s">
        <v>6472</v>
      </c>
    </row>
    <row r="3215" spans="1:17" x14ac:dyDescent="0.3">
      <c r="A3215" t="s">
        <v>4382</v>
      </c>
      <c r="B3215" t="str">
        <f>"002533"</f>
        <v>002533</v>
      </c>
      <c r="C3215" t="s">
        <v>6473</v>
      </c>
      <c r="D3215" t="s">
        <v>188</v>
      </c>
      <c r="F3215">
        <v>-289371220</v>
      </c>
      <c r="G3215">
        <v>-358689497</v>
      </c>
      <c r="H3215">
        <v>92097314</v>
      </c>
      <c r="I3215">
        <v>-386077620</v>
      </c>
      <c r="J3215">
        <v>-535434848</v>
      </c>
      <c r="K3215">
        <v>136322157</v>
      </c>
      <c r="L3215">
        <v>69256855</v>
      </c>
      <c r="M3215">
        <v>-164839304</v>
      </c>
      <c r="N3215">
        <v>-127776801</v>
      </c>
      <c r="O3215">
        <v>61584149</v>
      </c>
      <c r="P3215">
        <v>193</v>
      </c>
      <c r="Q3215" t="s">
        <v>6474</v>
      </c>
    </row>
    <row r="3216" spans="1:17" x14ac:dyDescent="0.3">
      <c r="A3216" t="s">
        <v>4382</v>
      </c>
      <c r="B3216" t="str">
        <f>"002534"</f>
        <v>002534</v>
      </c>
      <c r="C3216" t="s">
        <v>6475</v>
      </c>
      <c r="D3216" t="s">
        <v>188</v>
      </c>
      <c r="F3216">
        <v>-320181185</v>
      </c>
      <c r="G3216">
        <v>98083837</v>
      </c>
      <c r="H3216">
        <v>161739969</v>
      </c>
      <c r="I3216">
        <v>10159773</v>
      </c>
      <c r="J3216">
        <v>186014497</v>
      </c>
      <c r="K3216">
        <v>349281163</v>
      </c>
      <c r="L3216">
        <v>91154305</v>
      </c>
      <c r="M3216">
        <v>-6795481</v>
      </c>
      <c r="N3216">
        <v>45652456</v>
      </c>
      <c r="O3216">
        <v>-762598181</v>
      </c>
      <c r="P3216">
        <v>192</v>
      </c>
      <c r="Q3216" t="s">
        <v>6476</v>
      </c>
    </row>
    <row r="3217" spans="1:17" x14ac:dyDescent="0.3">
      <c r="A3217" t="s">
        <v>4382</v>
      </c>
      <c r="B3217" t="str">
        <f>"002535"</f>
        <v>002535</v>
      </c>
      <c r="C3217" t="s">
        <v>6477</v>
      </c>
      <c r="D3217" t="s">
        <v>78</v>
      </c>
      <c r="F3217">
        <v>55983561</v>
      </c>
      <c r="G3217">
        <v>-115839159</v>
      </c>
      <c r="H3217">
        <v>16688172</v>
      </c>
      <c r="I3217">
        <v>401801406</v>
      </c>
      <c r="J3217">
        <v>-39056057</v>
      </c>
      <c r="K3217">
        <v>-429625765</v>
      </c>
      <c r="L3217">
        <v>-360856317</v>
      </c>
      <c r="M3217">
        <v>-214109984</v>
      </c>
      <c r="N3217">
        <v>151443315</v>
      </c>
      <c r="O3217">
        <v>-223620706</v>
      </c>
      <c r="P3217">
        <v>89</v>
      </c>
      <c r="Q3217" t="s">
        <v>6478</v>
      </c>
    </row>
    <row r="3218" spans="1:17" x14ac:dyDescent="0.3">
      <c r="A3218" t="s">
        <v>4382</v>
      </c>
      <c r="B3218" t="str">
        <f>"002536"</f>
        <v>002536</v>
      </c>
      <c r="C3218" t="s">
        <v>6479</v>
      </c>
      <c r="D3218" t="s">
        <v>27</v>
      </c>
      <c r="F3218">
        <v>-111562776</v>
      </c>
      <c r="G3218">
        <v>189953723</v>
      </c>
      <c r="H3218">
        <v>262993663</v>
      </c>
      <c r="I3218">
        <v>-7277478</v>
      </c>
      <c r="J3218">
        <v>87719889</v>
      </c>
      <c r="K3218">
        <v>36409909</v>
      </c>
      <c r="L3218">
        <v>-45275084</v>
      </c>
      <c r="M3218">
        <v>-33344793</v>
      </c>
      <c r="N3218">
        <v>-66043856</v>
      </c>
      <c r="O3218">
        <v>-144276309</v>
      </c>
      <c r="P3218">
        <v>254</v>
      </c>
      <c r="Q3218" t="s">
        <v>6480</v>
      </c>
    </row>
    <row r="3219" spans="1:17" x14ac:dyDescent="0.3">
      <c r="A3219" t="s">
        <v>4382</v>
      </c>
      <c r="B3219" t="str">
        <f>"002537"</f>
        <v>002537</v>
      </c>
      <c r="C3219" t="s">
        <v>6481</v>
      </c>
      <c r="D3219" t="s">
        <v>27</v>
      </c>
      <c r="F3219">
        <v>410975819</v>
      </c>
      <c r="G3219">
        <v>651954056</v>
      </c>
      <c r="H3219">
        <v>-4780975</v>
      </c>
      <c r="I3219">
        <v>-140730600</v>
      </c>
      <c r="J3219">
        <v>-362915211</v>
      </c>
      <c r="K3219">
        <v>161510716</v>
      </c>
      <c r="L3219">
        <v>385703045</v>
      </c>
      <c r="M3219">
        <v>223243514</v>
      </c>
      <c r="N3219">
        <v>-146898929</v>
      </c>
      <c r="O3219">
        <v>-231705643</v>
      </c>
      <c r="P3219">
        <v>182</v>
      </c>
      <c r="Q3219" t="s">
        <v>6482</v>
      </c>
    </row>
    <row r="3220" spans="1:17" x14ac:dyDescent="0.3">
      <c r="A3220" t="s">
        <v>4382</v>
      </c>
      <c r="B3220" t="str">
        <f>"002538"</f>
        <v>002538</v>
      </c>
      <c r="C3220" t="s">
        <v>6483</v>
      </c>
      <c r="D3220" t="s">
        <v>133</v>
      </c>
      <c r="F3220">
        <v>-72854377</v>
      </c>
      <c r="G3220">
        <v>675113174</v>
      </c>
      <c r="H3220">
        <v>151327547</v>
      </c>
      <c r="I3220">
        <v>-455377136</v>
      </c>
      <c r="J3220">
        <v>-338017254</v>
      </c>
      <c r="K3220">
        <v>170811855</v>
      </c>
      <c r="L3220">
        <v>332703919</v>
      </c>
      <c r="M3220">
        <v>153399514</v>
      </c>
      <c r="N3220">
        <v>120578691</v>
      </c>
      <c r="O3220">
        <v>34717020</v>
      </c>
      <c r="P3220">
        <v>174</v>
      </c>
      <c r="Q3220" t="s">
        <v>6484</v>
      </c>
    </row>
    <row r="3221" spans="1:17" x14ac:dyDescent="0.3">
      <c r="A3221" t="s">
        <v>4382</v>
      </c>
      <c r="B3221" t="str">
        <f>"002539"</f>
        <v>002539</v>
      </c>
      <c r="C3221" t="s">
        <v>6485</v>
      </c>
      <c r="D3221" t="s">
        <v>133</v>
      </c>
      <c r="F3221">
        <v>42697642</v>
      </c>
      <c r="G3221">
        <v>459513898</v>
      </c>
      <c r="H3221">
        <v>548751988</v>
      </c>
      <c r="I3221">
        <v>284496837</v>
      </c>
      <c r="J3221">
        <v>597172268</v>
      </c>
      <c r="K3221">
        <v>101642466</v>
      </c>
      <c r="L3221">
        <v>-510099317</v>
      </c>
      <c r="M3221">
        <v>-604558814</v>
      </c>
      <c r="N3221">
        <v>-177239480</v>
      </c>
      <c r="O3221">
        <v>-725010497</v>
      </c>
      <c r="P3221">
        <v>240</v>
      </c>
      <c r="Q3221" t="s">
        <v>6486</v>
      </c>
    </row>
    <row r="3222" spans="1:17" x14ac:dyDescent="0.3">
      <c r="A3222" t="s">
        <v>4382</v>
      </c>
      <c r="B3222" t="str">
        <f>"002540"</f>
        <v>002540</v>
      </c>
      <c r="C3222" t="s">
        <v>6487</v>
      </c>
      <c r="D3222" t="s">
        <v>234</v>
      </c>
      <c r="F3222">
        <v>-528495405</v>
      </c>
      <c r="G3222">
        <v>47629075</v>
      </c>
      <c r="H3222">
        <v>186572124</v>
      </c>
      <c r="I3222">
        <v>368352220</v>
      </c>
      <c r="J3222">
        <v>-180195233</v>
      </c>
      <c r="K3222">
        <v>-47798976</v>
      </c>
      <c r="L3222">
        <v>21783565</v>
      </c>
      <c r="M3222">
        <v>16602692</v>
      </c>
      <c r="N3222">
        <v>-89166624</v>
      </c>
      <c r="O3222">
        <v>-198877716</v>
      </c>
      <c r="P3222">
        <v>162</v>
      </c>
      <c r="Q3222" t="s">
        <v>6488</v>
      </c>
    </row>
    <row r="3223" spans="1:17" x14ac:dyDescent="0.3">
      <c r="A3223" t="s">
        <v>4382</v>
      </c>
      <c r="B3223" t="str">
        <f>"002541"</f>
        <v>002541</v>
      </c>
      <c r="C3223" t="s">
        <v>6489</v>
      </c>
      <c r="D3223" t="s">
        <v>95</v>
      </c>
      <c r="F3223">
        <v>-1332654598</v>
      </c>
      <c r="G3223">
        <v>-445408913</v>
      </c>
      <c r="H3223">
        <v>-398118058</v>
      </c>
      <c r="I3223">
        <v>173184896</v>
      </c>
      <c r="J3223">
        <v>-512069921</v>
      </c>
      <c r="K3223">
        <v>74244220</v>
      </c>
      <c r="L3223">
        <v>262252203</v>
      </c>
      <c r="M3223">
        <v>128043277</v>
      </c>
      <c r="N3223">
        <v>-280598450</v>
      </c>
      <c r="O3223">
        <v>-237435392</v>
      </c>
      <c r="P3223">
        <v>443</v>
      </c>
      <c r="Q3223" t="s">
        <v>6490</v>
      </c>
    </row>
    <row r="3224" spans="1:17" x14ac:dyDescent="0.3">
      <c r="A3224" t="s">
        <v>4382</v>
      </c>
      <c r="B3224" t="str">
        <f>"002542"</f>
        <v>002542</v>
      </c>
      <c r="C3224" t="s">
        <v>6491</v>
      </c>
      <c r="D3224" t="s">
        <v>95</v>
      </c>
      <c r="F3224">
        <v>-725459154</v>
      </c>
      <c r="G3224">
        <v>-712975174</v>
      </c>
      <c r="H3224">
        <v>-51705622</v>
      </c>
      <c r="I3224">
        <v>-299736887</v>
      </c>
      <c r="J3224">
        <v>-197351706</v>
      </c>
      <c r="K3224">
        <v>-340341124</v>
      </c>
      <c r="L3224">
        <v>-193845774</v>
      </c>
      <c r="M3224">
        <v>-249358528</v>
      </c>
      <c r="N3224">
        <v>-21377834</v>
      </c>
      <c r="O3224">
        <v>-166610304</v>
      </c>
      <c r="P3224">
        <v>161</v>
      </c>
      <c r="Q3224" t="s">
        <v>6492</v>
      </c>
    </row>
    <row r="3225" spans="1:17" x14ac:dyDescent="0.3">
      <c r="A3225" t="s">
        <v>4382</v>
      </c>
      <c r="B3225" t="str">
        <f>"002543"</f>
        <v>002543</v>
      </c>
      <c r="C3225" t="s">
        <v>6493</v>
      </c>
      <c r="D3225" t="s">
        <v>126</v>
      </c>
      <c r="F3225">
        <v>236883603</v>
      </c>
      <c r="G3225">
        <v>952790897</v>
      </c>
      <c r="H3225">
        <v>764459266</v>
      </c>
      <c r="I3225">
        <v>22984929</v>
      </c>
      <c r="J3225">
        <v>641639254</v>
      </c>
      <c r="K3225">
        <v>561040372</v>
      </c>
      <c r="L3225">
        <v>502039290</v>
      </c>
      <c r="M3225">
        <v>170633761</v>
      </c>
      <c r="N3225">
        <v>218443851</v>
      </c>
      <c r="O3225">
        <v>-96321514</v>
      </c>
      <c r="P3225">
        <v>434</v>
      </c>
      <c r="Q3225" t="s">
        <v>6494</v>
      </c>
    </row>
    <row r="3226" spans="1:17" x14ac:dyDescent="0.3">
      <c r="A3226" t="s">
        <v>4382</v>
      </c>
      <c r="B3226" t="str">
        <f>"002544"</f>
        <v>002544</v>
      </c>
      <c r="C3226" t="s">
        <v>6495</v>
      </c>
      <c r="D3226" t="s">
        <v>100</v>
      </c>
      <c r="F3226">
        <v>-568304070</v>
      </c>
      <c r="G3226">
        <v>-104699098</v>
      </c>
      <c r="H3226">
        <v>-861270482</v>
      </c>
      <c r="I3226">
        <v>-790539800</v>
      </c>
      <c r="J3226">
        <v>-455462292</v>
      </c>
      <c r="K3226">
        <v>-516082967</v>
      </c>
      <c r="L3226">
        <v>-553883390</v>
      </c>
      <c r="M3226">
        <v>-664094915</v>
      </c>
      <c r="N3226">
        <v>-398322010</v>
      </c>
      <c r="O3226">
        <v>-255449301</v>
      </c>
      <c r="P3226">
        <v>324</v>
      </c>
      <c r="Q3226" t="s">
        <v>6496</v>
      </c>
    </row>
    <row r="3227" spans="1:17" x14ac:dyDescent="0.3">
      <c r="A3227" t="s">
        <v>4382</v>
      </c>
      <c r="B3227" t="str">
        <f>"002545"</f>
        <v>002545</v>
      </c>
      <c r="C3227" t="s">
        <v>6497</v>
      </c>
      <c r="D3227" t="s">
        <v>95</v>
      </c>
      <c r="F3227">
        <v>-81338097</v>
      </c>
      <c r="G3227">
        <v>255373259</v>
      </c>
      <c r="H3227">
        <v>16433379</v>
      </c>
      <c r="I3227">
        <v>152833739</v>
      </c>
      <c r="J3227">
        <v>-134174343</v>
      </c>
      <c r="K3227">
        <v>212202244</v>
      </c>
      <c r="L3227">
        <v>77389548</v>
      </c>
      <c r="M3227">
        <v>88649425</v>
      </c>
      <c r="N3227">
        <v>-66590464</v>
      </c>
      <c r="O3227">
        <v>-58690343</v>
      </c>
      <c r="P3227">
        <v>138</v>
      </c>
      <c r="Q3227" t="s">
        <v>6498</v>
      </c>
    </row>
    <row r="3228" spans="1:17" x14ac:dyDescent="0.3">
      <c r="A3228" t="s">
        <v>4382</v>
      </c>
      <c r="B3228" t="str">
        <f>"002546"</f>
        <v>002546</v>
      </c>
      <c r="C3228" t="s">
        <v>6499</v>
      </c>
      <c r="D3228" t="s">
        <v>188</v>
      </c>
      <c r="F3228">
        <v>-23090523</v>
      </c>
      <c r="G3228">
        <v>-7680321</v>
      </c>
      <c r="H3228">
        <v>34860727</v>
      </c>
      <c r="I3228">
        <v>-61450014</v>
      </c>
      <c r="J3228">
        <v>19664318</v>
      </c>
      <c r="K3228">
        <v>-71116170</v>
      </c>
      <c r="L3228">
        <v>-19487861</v>
      </c>
      <c r="M3228">
        <v>-46482182</v>
      </c>
      <c r="N3228">
        <v>-105783795</v>
      </c>
      <c r="O3228">
        <v>1199939</v>
      </c>
      <c r="P3228">
        <v>76</v>
      </c>
      <c r="Q3228" t="s">
        <v>6500</v>
      </c>
    </row>
    <row r="3229" spans="1:17" x14ac:dyDescent="0.3">
      <c r="A3229" t="s">
        <v>4382</v>
      </c>
      <c r="B3229" t="str">
        <f>"002547"</f>
        <v>002547</v>
      </c>
      <c r="C3229" t="s">
        <v>6501</v>
      </c>
      <c r="D3229" t="s">
        <v>150</v>
      </c>
      <c r="F3229">
        <v>63295931</v>
      </c>
      <c r="G3229">
        <v>283661970</v>
      </c>
      <c r="H3229">
        <v>259377001</v>
      </c>
      <c r="I3229">
        <v>184716861</v>
      </c>
      <c r="J3229">
        <v>-1309691321</v>
      </c>
      <c r="K3229">
        <v>-543305124</v>
      </c>
      <c r="L3229">
        <v>-266152880</v>
      </c>
      <c r="M3229">
        <v>4195999</v>
      </c>
      <c r="N3229">
        <v>-61073161</v>
      </c>
      <c r="O3229">
        <v>28700931</v>
      </c>
      <c r="P3229">
        <v>306</v>
      </c>
      <c r="Q3229" t="s">
        <v>6502</v>
      </c>
    </row>
    <row r="3230" spans="1:17" x14ac:dyDescent="0.3">
      <c r="A3230" t="s">
        <v>4382</v>
      </c>
      <c r="B3230" t="str">
        <f>"002548"</f>
        <v>002548</v>
      </c>
      <c r="C3230" t="s">
        <v>6503</v>
      </c>
      <c r="D3230" t="s">
        <v>205</v>
      </c>
      <c r="F3230">
        <v>-719288801</v>
      </c>
      <c r="G3230">
        <v>-758996954</v>
      </c>
      <c r="H3230">
        <v>-210807263</v>
      </c>
      <c r="I3230">
        <v>-521065167</v>
      </c>
      <c r="J3230">
        <v>-38986549</v>
      </c>
      <c r="K3230">
        <v>-149338495</v>
      </c>
      <c r="L3230">
        <v>49263799</v>
      </c>
      <c r="M3230">
        <v>-90868834</v>
      </c>
      <c r="N3230">
        <v>-69901427</v>
      </c>
      <c r="O3230">
        <v>-47075551</v>
      </c>
      <c r="P3230">
        <v>260</v>
      </c>
      <c r="Q3230" t="s">
        <v>6504</v>
      </c>
    </row>
    <row r="3231" spans="1:17" x14ac:dyDescent="0.3">
      <c r="A3231" t="s">
        <v>4382</v>
      </c>
      <c r="B3231" t="str">
        <f>"002549"</f>
        <v>002549</v>
      </c>
      <c r="C3231" t="s">
        <v>6505</v>
      </c>
      <c r="D3231" t="s">
        <v>133</v>
      </c>
      <c r="F3231">
        <v>118333772</v>
      </c>
      <c r="G3231">
        <v>75582917</v>
      </c>
      <c r="H3231">
        <v>-39596534</v>
      </c>
      <c r="I3231">
        <v>-11098257</v>
      </c>
      <c r="J3231">
        <v>60195482</v>
      </c>
      <c r="K3231">
        <v>-55483261</v>
      </c>
      <c r="L3231">
        <v>-77092367</v>
      </c>
      <c r="M3231">
        <v>-30542871</v>
      </c>
      <c r="N3231">
        <v>-121275831</v>
      </c>
      <c r="O3231">
        <v>-87308251</v>
      </c>
      <c r="P3231">
        <v>173</v>
      </c>
      <c r="Q3231" t="s">
        <v>6506</v>
      </c>
    </row>
    <row r="3232" spans="1:17" x14ac:dyDescent="0.3">
      <c r="A3232" t="s">
        <v>4382</v>
      </c>
      <c r="B3232" t="str">
        <f>"002550"</f>
        <v>002550</v>
      </c>
      <c r="C3232" t="s">
        <v>6507</v>
      </c>
      <c r="D3232" t="s">
        <v>113</v>
      </c>
      <c r="F3232">
        <v>-39062829</v>
      </c>
      <c r="G3232">
        <v>192979435</v>
      </c>
      <c r="H3232">
        <v>99447505</v>
      </c>
      <c r="I3232">
        <v>-59263051</v>
      </c>
      <c r="J3232">
        <v>29372963</v>
      </c>
      <c r="K3232">
        <v>73619668</v>
      </c>
      <c r="L3232">
        <v>102632259</v>
      </c>
      <c r="M3232">
        <v>170986697</v>
      </c>
      <c r="N3232">
        <v>34233919</v>
      </c>
      <c r="O3232">
        <v>98582338</v>
      </c>
      <c r="P3232">
        <v>172</v>
      </c>
      <c r="Q3232" t="s">
        <v>6508</v>
      </c>
    </row>
    <row r="3233" spans="1:17" x14ac:dyDescent="0.3">
      <c r="A3233" t="s">
        <v>4382</v>
      </c>
      <c r="B3233" t="str">
        <f>"002551"</f>
        <v>002551</v>
      </c>
      <c r="C3233" t="s">
        <v>6509</v>
      </c>
      <c r="D3233" t="s">
        <v>113</v>
      </c>
      <c r="F3233">
        <v>-507745</v>
      </c>
      <c r="G3233">
        <v>128151258</v>
      </c>
      <c r="H3233">
        <v>-185337038</v>
      </c>
      <c r="I3233">
        <v>-245649553</v>
      </c>
      <c r="J3233">
        <v>2514030</v>
      </c>
      <c r="K3233">
        <v>-40147122</v>
      </c>
      <c r="L3233">
        <v>102378149</v>
      </c>
      <c r="M3233">
        <v>-79279765</v>
      </c>
      <c r="N3233">
        <v>-110429975</v>
      </c>
      <c r="O3233">
        <v>-9906245</v>
      </c>
      <c r="P3233">
        <v>242</v>
      </c>
      <c r="Q3233" t="s">
        <v>6510</v>
      </c>
    </row>
    <row r="3234" spans="1:17" x14ac:dyDescent="0.3">
      <c r="A3234" t="s">
        <v>4382</v>
      </c>
      <c r="B3234" t="str">
        <f>"002552"</f>
        <v>002552</v>
      </c>
      <c r="C3234" t="s">
        <v>6511</v>
      </c>
      <c r="D3234" t="s">
        <v>78</v>
      </c>
      <c r="F3234">
        <v>62563200</v>
      </c>
      <c r="G3234">
        <v>18274639</v>
      </c>
      <c r="H3234">
        <v>3899834</v>
      </c>
      <c r="I3234">
        <v>-23780317</v>
      </c>
      <c r="J3234">
        <v>-13111724</v>
      </c>
      <c r="K3234">
        <v>44379525</v>
      </c>
      <c r="L3234">
        <v>19409944</v>
      </c>
      <c r="M3234">
        <v>-34661074</v>
      </c>
      <c r="N3234">
        <v>-68601809</v>
      </c>
      <c r="O3234">
        <v>-74654452</v>
      </c>
      <c r="P3234">
        <v>83</v>
      </c>
      <c r="Q3234" t="s">
        <v>6512</v>
      </c>
    </row>
    <row r="3235" spans="1:17" x14ac:dyDescent="0.3">
      <c r="A3235" t="s">
        <v>4382</v>
      </c>
      <c r="B3235" t="str">
        <f>"002553"</f>
        <v>002553</v>
      </c>
      <c r="C3235" t="s">
        <v>6513</v>
      </c>
      <c r="D3235" t="s">
        <v>27</v>
      </c>
      <c r="F3235">
        <v>10332790</v>
      </c>
      <c r="G3235">
        <v>40131307</v>
      </c>
      <c r="H3235">
        <v>33976649</v>
      </c>
      <c r="I3235">
        <v>30557179</v>
      </c>
      <c r="J3235">
        <v>46587938</v>
      </c>
      <c r="K3235">
        <v>35982368</v>
      </c>
      <c r="L3235">
        <v>25506521</v>
      </c>
      <c r="M3235">
        <v>34656033</v>
      </c>
      <c r="N3235">
        <v>39137440</v>
      </c>
      <c r="O3235">
        <v>21526575</v>
      </c>
      <c r="P3235">
        <v>140</v>
      </c>
      <c r="Q3235" t="s">
        <v>6514</v>
      </c>
    </row>
    <row r="3236" spans="1:17" x14ac:dyDescent="0.3">
      <c r="A3236" t="s">
        <v>4382</v>
      </c>
      <c r="B3236" t="str">
        <f>"002554"</f>
        <v>002554</v>
      </c>
      <c r="C3236" t="s">
        <v>6515</v>
      </c>
      <c r="D3236" t="s">
        <v>70</v>
      </c>
      <c r="F3236">
        <v>180051271</v>
      </c>
      <c r="G3236">
        <v>-160678595</v>
      </c>
      <c r="H3236">
        <v>-29912428</v>
      </c>
      <c r="I3236">
        <v>-390068103</v>
      </c>
      <c r="J3236">
        <v>59110314</v>
      </c>
      <c r="K3236">
        <v>-287360322</v>
      </c>
      <c r="L3236">
        <v>-134442300</v>
      </c>
      <c r="M3236">
        <v>8924143</v>
      </c>
      <c r="N3236">
        <v>-174459951</v>
      </c>
      <c r="O3236">
        <v>-176820682</v>
      </c>
      <c r="P3236">
        <v>112</v>
      </c>
      <c r="Q3236" t="s">
        <v>6516</v>
      </c>
    </row>
    <row r="3237" spans="1:17" x14ac:dyDescent="0.3">
      <c r="A3237" t="s">
        <v>4382</v>
      </c>
      <c r="B3237" t="str">
        <f>"002555"</f>
        <v>002555</v>
      </c>
      <c r="C3237" t="s">
        <v>6517</v>
      </c>
      <c r="D3237" t="s">
        <v>89</v>
      </c>
      <c r="F3237">
        <v>1819993764</v>
      </c>
      <c r="G3237">
        <v>1427458124</v>
      </c>
      <c r="H3237">
        <v>1805850309</v>
      </c>
      <c r="I3237">
        <v>1160492686</v>
      </c>
      <c r="J3237">
        <v>426599931</v>
      </c>
      <c r="K3237">
        <v>503500830</v>
      </c>
      <c r="L3237">
        <v>698402078</v>
      </c>
      <c r="M3237">
        <v>-5180288</v>
      </c>
      <c r="N3237">
        <v>7787729</v>
      </c>
      <c r="O3237">
        <v>-27070869</v>
      </c>
      <c r="P3237">
        <v>2929</v>
      </c>
      <c r="Q3237" t="s">
        <v>6518</v>
      </c>
    </row>
    <row r="3238" spans="1:17" x14ac:dyDescent="0.3">
      <c r="A3238" t="s">
        <v>4382</v>
      </c>
      <c r="B3238" t="str">
        <f>"002556"</f>
        <v>002556</v>
      </c>
      <c r="C3238" t="s">
        <v>6519</v>
      </c>
      <c r="D3238" t="s">
        <v>205</v>
      </c>
      <c r="F3238">
        <v>89456812</v>
      </c>
      <c r="G3238">
        <v>381688307</v>
      </c>
      <c r="H3238">
        <v>717841384</v>
      </c>
      <c r="I3238">
        <v>-829845822</v>
      </c>
      <c r="J3238">
        <v>-123183253</v>
      </c>
      <c r="K3238">
        <v>-74109397</v>
      </c>
      <c r="L3238">
        <v>730577081</v>
      </c>
      <c r="M3238">
        <v>-21790095</v>
      </c>
      <c r="N3238">
        <v>269493440</v>
      </c>
      <c r="O3238">
        <v>668716773</v>
      </c>
      <c r="P3238">
        <v>111</v>
      </c>
      <c r="Q3238" t="s">
        <v>6520</v>
      </c>
    </row>
    <row r="3239" spans="1:17" x14ac:dyDescent="0.3">
      <c r="A3239" t="s">
        <v>4382</v>
      </c>
      <c r="B3239" t="str">
        <f>"002557"</f>
        <v>002557</v>
      </c>
      <c r="C3239" t="s">
        <v>6521</v>
      </c>
      <c r="D3239" t="s">
        <v>123</v>
      </c>
      <c r="F3239">
        <v>1166046198</v>
      </c>
      <c r="G3239">
        <v>933275801</v>
      </c>
      <c r="H3239">
        <v>839890035</v>
      </c>
      <c r="I3239">
        <v>924798047</v>
      </c>
      <c r="J3239">
        <v>587732755</v>
      </c>
      <c r="K3239">
        <v>823499147</v>
      </c>
      <c r="L3239">
        <v>625182110</v>
      </c>
      <c r="M3239">
        <v>416313906</v>
      </c>
      <c r="N3239">
        <v>31530851</v>
      </c>
      <c r="O3239">
        <v>337498406</v>
      </c>
      <c r="P3239">
        <v>1825</v>
      </c>
      <c r="Q3239" t="s">
        <v>6522</v>
      </c>
    </row>
    <row r="3240" spans="1:17" x14ac:dyDescent="0.3">
      <c r="A3240" t="s">
        <v>4382</v>
      </c>
      <c r="B3240" t="str">
        <f>"002558"</f>
        <v>002558</v>
      </c>
      <c r="C3240" t="s">
        <v>6523</v>
      </c>
      <c r="D3240" t="s">
        <v>89</v>
      </c>
      <c r="F3240">
        <v>199128356</v>
      </c>
      <c r="G3240">
        <v>582316359</v>
      </c>
      <c r="H3240">
        <v>1075017633</v>
      </c>
      <c r="I3240">
        <v>-613250895</v>
      </c>
      <c r="J3240">
        <v>1021447314</v>
      </c>
      <c r="K3240">
        <v>492684367</v>
      </c>
      <c r="L3240">
        <v>9433369</v>
      </c>
      <c r="M3240">
        <v>32398061</v>
      </c>
      <c r="N3240">
        <v>-110488662</v>
      </c>
      <c r="O3240">
        <v>-70064033</v>
      </c>
      <c r="P3240">
        <v>458</v>
      </c>
      <c r="Q3240" t="s">
        <v>6524</v>
      </c>
    </row>
    <row r="3241" spans="1:17" x14ac:dyDescent="0.3">
      <c r="A3241" t="s">
        <v>4382</v>
      </c>
      <c r="B3241" t="str">
        <f>"002559"</f>
        <v>002559</v>
      </c>
      <c r="C3241" t="s">
        <v>6525</v>
      </c>
      <c r="D3241" t="s">
        <v>78</v>
      </c>
      <c r="F3241">
        <v>52160171</v>
      </c>
      <c r="G3241">
        <v>80355618</v>
      </c>
      <c r="H3241">
        <v>131096536</v>
      </c>
      <c r="I3241">
        <v>-50390431</v>
      </c>
      <c r="J3241">
        <v>-19864255</v>
      </c>
      <c r="K3241">
        <v>-6345152</v>
      </c>
      <c r="L3241">
        <v>18655721</v>
      </c>
      <c r="M3241">
        <v>-45514009</v>
      </c>
      <c r="N3241">
        <v>61635520</v>
      </c>
      <c r="O3241">
        <v>-61063470</v>
      </c>
      <c r="P3241">
        <v>149</v>
      </c>
      <c r="Q3241" t="s">
        <v>6526</v>
      </c>
    </row>
    <row r="3242" spans="1:17" x14ac:dyDescent="0.3">
      <c r="A3242" t="s">
        <v>4382</v>
      </c>
      <c r="B3242" t="str">
        <f>"002560"</f>
        <v>002560</v>
      </c>
      <c r="C3242" t="s">
        <v>6527</v>
      </c>
      <c r="D3242" t="s">
        <v>188</v>
      </c>
      <c r="F3242">
        <v>-486510081</v>
      </c>
      <c r="G3242">
        <v>4673821</v>
      </c>
      <c r="H3242">
        <v>-372204770</v>
      </c>
      <c r="I3242">
        <v>-503879052</v>
      </c>
      <c r="J3242">
        <v>-309409238</v>
      </c>
      <c r="K3242">
        <v>-258512047</v>
      </c>
      <c r="L3242">
        <v>-8049080</v>
      </c>
      <c r="M3242">
        <v>-185785618</v>
      </c>
      <c r="N3242">
        <v>-199827480</v>
      </c>
      <c r="O3242">
        <v>-212966024</v>
      </c>
      <c r="P3242">
        <v>138</v>
      </c>
      <c r="Q3242" t="s">
        <v>6528</v>
      </c>
    </row>
    <row r="3243" spans="1:17" x14ac:dyDescent="0.3">
      <c r="A3243" t="s">
        <v>4382</v>
      </c>
      <c r="B3243" t="str">
        <f>"002561"</f>
        <v>002561</v>
      </c>
      <c r="C3243" t="s">
        <v>6529</v>
      </c>
      <c r="D3243" t="s">
        <v>120</v>
      </c>
      <c r="F3243">
        <v>32685010</v>
      </c>
      <c r="G3243">
        <v>16397807</v>
      </c>
      <c r="H3243">
        <v>88721443</v>
      </c>
      <c r="I3243">
        <v>84465505</v>
      </c>
      <c r="J3243">
        <v>121210653</v>
      </c>
      <c r="K3243">
        <v>204724195</v>
      </c>
      <c r="L3243">
        <v>140640742</v>
      </c>
      <c r="M3243">
        <v>150444431</v>
      </c>
      <c r="N3243">
        <v>111575203</v>
      </c>
      <c r="O3243">
        <v>129169419</v>
      </c>
      <c r="P3243">
        <v>183</v>
      </c>
      <c r="Q3243" t="s">
        <v>6530</v>
      </c>
    </row>
    <row r="3244" spans="1:17" x14ac:dyDescent="0.3">
      <c r="A3244" t="s">
        <v>4382</v>
      </c>
      <c r="B3244" t="str">
        <f>"002562"</f>
        <v>002562</v>
      </c>
      <c r="C3244" t="s">
        <v>6531</v>
      </c>
      <c r="D3244" t="s">
        <v>133</v>
      </c>
      <c r="F3244">
        <v>-318831240</v>
      </c>
      <c r="G3244">
        <v>-322653317</v>
      </c>
      <c r="H3244">
        <v>-512608101</v>
      </c>
      <c r="I3244">
        <v>-94056797</v>
      </c>
      <c r="J3244">
        <v>-232183794</v>
      </c>
      <c r="K3244">
        <v>-65138672</v>
      </c>
      <c r="L3244">
        <v>-54963996</v>
      </c>
      <c r="M3244">
        <v>22975108</v>
      </c>
      <c r="N3244">
        <v>25981452</v>
      </c>
      <c r="O3244">
        <v>19859675</v>
      </c>
      <c r="P3244">
        <v>260</v>
      </c>
      <c r="Q3244" t="s">
        <v>6532</v>
      </c>
    </row>
    <row r="3245" spans="1:17" x14ac:dyDescent="0.3">
      <c r="A3245" t="s">
        <v>4382</v>
      </c>
      <c r="B3245" t="str">
        <f>"002563"</f>
        <v>002563</v>
      </c>
      <c r="C3245" t="s">
        <v>6533</v>
      </c>
      <c r="D3245" t="s">
        <v>227</v>
      </c>
      <c r="F3245">
        <v>848075035</v>
      </c>
      <c r="G3245">
        <v>1901461407</v>
      </c>
      <c r="H3245">
        <v>-674135328</v>
      </c>
      <c r="I3245">
        <v>-378953051</v>
      </c>
      <c r="J3245">
        <v>103407072</v>
      </c>
      <c r="K3245">
        <v>-636360405</v>
      </c>
      <c r="L3245">
        <v>61285676</v>
      </c>
      <c r="M3245">
        <v>426262937</v>
      </c>
      <c r="N3245">
        <v>566958732</v>
      </c>
      <c r="O3245">
        <v>31082511</v>
      </c>
      <c r="P3245">
        <v>904</v>
      </c>
      <c r="Q3245" t="s">
        <v>6534</v>
      </c>
    </row>
    <row r="3246" spans="1:17" x14ac:dyDescent="0.3">
      <c r="A3246" t="s">
        <v>4382</v>
      </c>
      <c r="B3246" t="str">
        <f>"002564"</f>
        <v>002564</v>
      </c>
      <c r="C3246" t="s">
        <v>6535</v>
      </c>
      <c r="D3246" t="s">
        <v>78</v>
      </c>
      <c r="F3246">
        <v>-2038161647</v>
      </c>
      <c r="G3246">
        <v>-1408318232</v>
      </c>
      <c r="H3246">
        <v>-1317354129</v>
      </c>
      <c r="I3246">
        <v>-1441394216</v>
      </c>
      <c r="J3246">
        <v>-402540926</v>
      </c>
      <c r="K3246">
        <v>25201943</v>
      </c>
      <c r="L3246">
        <v>-185400735</v>
      </c>
      <c r="M3246">
        <v>-438144614</v>
      </c>
      <c r="N3246">
        <v>-511551578</v>
      </c>
      <c r="O3246">
        <v>-622365627</v>
      </c>
      <c r="P3246">
        <v>130</v>
      </c>
      <c r="Q3246" t="s">
        <v>6536</v>
      </c>
    </row>
    <row r="3247" spans="1:17" x14ac:dyDescent="0.3">
      <c r="A3247" t="s">
        <v>4382</v>
      </c>
      <c r="B3247" t="str">
        <f>"002565"</f>
        <v>002565</v>
      </c>
      <c r="C3247" t="s">
        <v>6537</v>
      </c>
      <c r="D3247" t="s">
        <v>161</v>
      </c>
      <c r="F3247">
        <v>133955501</v>
      </c>
      <c r="G3247">
        <v>76375501</v>
      </c>
      <c r="H3247">
        <v>190009780</v>
      </c>
      <c r="I3247">
        <v>-43980259</v>
      </c>
      <c r="J3247">
        <v>-56201684</v>
      </c>
      <c r="K3247">
        <v>-66069798</v>
      </c>
      <c r="L3247">
        <v>-47079920</v>
      </c>
      <c r="M3247">
        <v>-59270573</v>
      </c>
      <c r="N3247">
        <v>100578316</v>
      </c>
      <c r="O3247">
        <v>-6431109</v>
      </c>
      <c r="P3247">
        <v>107</v>
      </c>
      <c r="Q3247" t="s">
        <v>6538</v>
      </c>
    </row>
    <row r="3248" spans="1:17" x14ac:dyDescent="0.3">
      <c r="A3248" t="s">
        <v>4382</v>
      </c>
      <c r="B3248" t="str">
        <f>"002566"</f>
        <v>002566</v>
      </c>
      <c r="C3248" t="s">
        <v>6539</v>
      </c>
      <c r="D3248" t="s">
        <v>113</v>
      </c>
      <c r="F3248">
        <v>62319236</v>
      </c>
      <c r="G3248">
        <v>75945880</v>
      </c>
      <c r="H3248">
        <v>113308909</v>
      </c>
      <c r="I3248">
        <v>44949712</v>
      </c>
      <c r="J3248">
        <v>115066812</v>
      </c>
      <c r="K3248">
        <v>-52113497</v>
      </c>
      <c r="L3248">
        <v>-407044982</v>
      </c>
      <c r="M3248">
        <v>-254393380</v>
      </c>
      <c r="N3248">
        <v>-106834557</v>
      </c>
      <c r="O3248">
        <v>-49386152</v>
      </c>
      <c r="P3248">
        <v>134</v>
      </c>
      <c r="Q3248" t="s">
        <v>6540</v>
      </c>
    </row>
    <row r="3249" spans="1:17" x14ac:dyDescent="0.3">
      <c r="A3249" t="s">
        <v>4382</v>
      </c>
      <c r="B3249" t="str">
        <f>"002567"</f>
        <v>002567</v>
      </c>
      <c r="C3249" t="s">
        <v>6541</v>
      </c>
      <c r="D3249" t="s">
        <v>205</v>
      </c>
      <c r="F3249">
        <v>-1953023924</v>
      </c>
      <c r="G3249">
        <v>-525722895</v>
      </c>
      <c r="H3249">
        <v>-320002079</v>
      </c>
      <c r="I3249">
        <v>-66984626</v>
      </c>
      <c r="J3249">
        <v>293274208</v>
      </c>
      <c r="K3249">
        <v>144346656</v>
      </c>
      <c r="L3249">
        <v>317222639</v>
      </c>
      <c r="M3249">
        <v>86175929</v>
      </c>
      <c r="N3249">
        <v>-156390455</v>
      </c>
      <c r="O3249">
        <v>-217679982</v>
      </c>
      <c r="P3249">
        <v>451</v>
      </c>
      <c r="Q3249" t="s">
        <v>6542</v>
      </c>
    </row>
    <row r="3250" spans="1:17" x14ac:dyDescent="0.3">
      <c r="A3250" t="s">
        <v>4382</v>
      </c>
      <c r="B3250" t="str">
        <f>"002568"</f>
        <v>002568</v>
      </c>
      <c r="C3250" t="s">
        <v>6543</v>
      </c>
      <c r="D3250" t="s">
        <v>123</v>
      </c>
      <c r="F3250">
        <v>-39572876</v>
      </c>
      <c r="G3250">
        <v>300229227</v>
      </c>
      <c r="H3250">
        <v>57886224</v>
      </c>
      <c r="I3250">
        <v>51019410</v>
      </c>
      <c r="J3250">
        <v>7844043</v>
      </c>
      <c r="K3250">
        <v>-469244888</v>
      </c>
      <c r="L3250">
        <v>282963917</v>
      </c>
      <c r="M3250">
        <v>24742543</v>
      </c>
      <c r="N3250">
        <v>6463333</v>
      </c>
      <c r="O3250">
        <v>39052025</v>
      </c>
      <c r="P3250">
        <v>1074</v>
      </c>
      <c r="Q3250" t="s">
        <v>6544</v>
      </c>
    </row>
    <row r="3251" spans="1:17" x14ac:dyDescent="0.3">
      <c r="A3251" t="s">
        <v>4382</v>
      </c>
      <c r="B3251" t="str">
        <f>"002569"</f>
        <v>002569</v>
      </c>
      <c r="C3251" t="s">
        <v>6545</v>
      </c>
      <c r="D3251" t="s">
        <v>227</v>
      </c>
      <c r="F3251">
        <v>-58114337</v>
      </c>
      <c r="G3251">
        <v>-47136063</v>
      </c>
      <c r="H3251">
        <v>-73109077</v>
      </c>
      <c r="I3251">
        <v>-95161728</v>
      </c>
      <c r="J3251">
        <v>-57722607</v>
      </c>
      <c r="K3251">
        <v>-46020842</v>
      </c>
      <c r="L3251">
        <v>-41343315</v>
      </c>
      <c r="M3251">
        <v>-103881878</v>
      </c>
      <c r="N3251">
        <v>-190668050</v>
      </c>
      <c r="O3251">
        <v>-184124787</v>
      </c>
      <c r="P3251">
        <v>59</v>
      </c>
      <c r="Q3251" t="s">
        <v>6546</v>
      </c>
    </row>
    <row r="3252" spans="1:17" x14ac:dyDescent="0.3">
      <c r="A3252" t="s">
        <v>4382</v>
      </c>
      <c r="B3252" t="str">
        <f>"002570"</f>
        <v>002570</v>
      </c>
      <c r="C3252" t="s">
        <v>6547</v>
      </c>
      <c r="D3252" t="s">
        <v>123</v>
      </c>
      <c r="F3252">
        <v>21929487</v>
      </c>
      <c r="G3252">
        <v>-56433507</v>
      </c>
      <c r="H3252">
        <v>-125979542</v>
      </c>
      <c r="I3252">
        <v>176268836</v>
      </c>
      <c r="J3252">
        <v>-174555207</v>
      </c>
      <c r="K3252">
        <v>-727458605</v>
      </c>
      <c r="L3252">
        <v>-411070037</v>
      </c>
      <c r="M3252">
        <v>-569982511</v>
      </c>
      <c r="N3252">
        <v>210365728</v>
      </c>
      <c r="O3252">
        <v>528534478</v>
      </c>
      <c r="P3252">
        <v>261</v>
      </c>
      <c r="Q3252" t="s">
        <v>6548</v>
      </c>
    </row>
    <row r="3253" spans="1:17" x14ac:dyDescent="0.3">
      <c r="A3253" t="s">
        <v>4382</v>
      </c>
      <c r="B3253" t="str">
        <f>"002571"</f>
        <v>002571</v>
      </c>
      <c r="C3253" t="s">
        <v>6549</v>
      </c>
      <c r="D3253" t="s">
        <v>161</v>
      </c>
      <c r="F3253">
        <v>-286357610</v>
      </c>
      <c r="G3253">
        <v>-69677002</v>
      </c>
      <c r="H3253">
        <v>-49788423</v>
      </c>
      <c r="I3253">
        <v>-81813863</v>
      </c>
      <c r="J3253">
        <v>39040202</v>
      </c>
      <c r="K3253">
        <v>-3597337</v>
      </c>
      <c r="L3253">
        <v>-72444062</v>
      </c>
      <c r="M3253">
        <v>-131063273</v>
      </c>
      <c r="N3253">
        <v>-125394758</v>
      </c>
      <c r="O3253">
        <v>-197225074</v>
      </c>
      <c r="P3253">
        <v>92</v>
      </c>
      <c r="Q3253" t="s">
        <v>6550</v>
      </c>
    </row>
    <row r="3254" spans="1:17" x14ac:dyDescent="0.3">
      <c r="A3254" t="s">
        <v>4382</v>
      </c>
      <c r="B3254" t="str">
        <f>"002572"</f>
        <v>002572</v>
      </c>
      <c r="C3254" t="s">
        <v>6551</v>
      </c>
      <c r="D3254" t="s">
        <v>161</v>
      </c>
      <c r="F3254">
        <v>-1174949604</v>
      </c>
      <c r="G3254">
        <v>147427290</v>
      </c>
      <c r="H3254">
        <v>47004542</v>
      </c>
      <c r="I3254">
        <v>-157283326</v>
      </c>
      <c r="J3254">
        <v>-143436261</v>
      </c>
      <c r="K3254">
        <v>211492997</v>
      </c>
      <c r="L3254">
        <v>-51383447</v>
      </c>
      <c r="M3254">
        <v>85749769</v>
      </c>
      <c r="N3254">
        <v>6431313</v>
      </c>
      <c r="O3254">
        <v>-13502142</v>
      </c>
      <c r="P3254">
        <v>9137</v>
      </c>
      <c r="Q3254" t="s">
        <v>6552</v>
      </c>
    </row>
    <row r="3255" spans="1:17" x14ac:dyDescent="0.3">
      <c r="A3255" t="s">
        <v>4382</v>
      </c>
      <c r="B3255" t="str">
        <f>"002573"</f>
        <v>002573</v>
      </c>
      <c r="C3255" t="s">
        <v>6553</v>
      </c>
      <c r="D3255" t="s">
        <v>33</v>
      </c>
      <c r="F3255">
        <v>-71562403</v>
      </c>
      <c r="G3255">
        <v>178489778</v>
      </c>
      <c r="H3255">
        <v>969607192</v>
      </c>
      <c r="I3255">
        <v>672299719</v>
      </c>
      <c r="J3255">
        <v>-821640159</v>
      </c>
      <c r="K3255">
        <v>-1049062874</v>
      </c>
      <c r="L3255">
        <v>-508160051</v>
      </c>
      <c r="M3255">
        <v>-452765523</v>
      </c>
      <c r="N3255">
        <v>-557977107</v>
      </c>
      <c r="O3255">
        <v>76903828</v>
      </c>
      <c r="P3255">
        <v>613</v>
      </c>
      <c r="Q3255" t="s">
        <v>6554</v>
      </c>
    </row>
    <row r="3256" spans="1:17" x14ac:dyDescent="0.3">
      <c r="A3256" t="s">
        <v>4382</v>
      </c>
      <c r="B3256" t="str">
        <f>"002574"</f>
        <v>002574</v>
      </c>
      <c r="C3256" t="s">
        <v>6555</v>
      </c>
      <c r="D3256" t="s">
        <v>227</v>
      </c>
      <c r="F3256">
        <v>-76620750</v>
      </c>
      <c r="G3256">
        <v>129861718</v>
      </c>
      <c r="H3256">
        <v>-16349322</v>
      </c>
      <c r="I3256">
        <v>-92613113</v>
      </c>
      <c r="J3256">
        <v>-57713293</v>
      </c>
      <c r="K3256">
        <v>233805866</v>
      </c>
      <c r="L3256">
        <v>39248468</v>
      </c>
      <c r="M3256">
        <v>572114041</v>
      </c>
      <c r="N3256">
        <v>73144670</v>
      </c>
      <c r="O3256">
        <v>155846567</v>
      </c>
      <c r="P3256">
        <v>105</v>
      </c>
      <c r="Q3256" t="s">
        <v>6556</v>
      </c>
    </row>
    <row r="3257" spans="1:17" x14ac:dyDescent="0.3">
      <c r="A3257" t="s">
        <v>4382</v>
      </c>
      <c r="B3257" t="str">
        <f>"002575"</f>
        <v>002575</v>
      </c>
      <c r="C3257" t="s">
        <v>6557</v>
      </c>
      <c r="D3257" t="s">
        <v>161</v>
      </c>
      <c r="F3257">
        <v>-33243446</v>
      </c>
      <c r="G3257">
        <v>-7237062</v>
      </c>
      <c r="H3257">
        <v>-2861833</v>
      </c>
      <c r="I3257">
        <v>-3934656</v>
      </c>
      <c r="J3257">
        <v>115018327</v>
      </c>
      <c r="K3257">
        <v>7469407</v>
      </c>
      <c r="L3257">
        <v>-19116192</v>
      </c>
      <c r="M3257">
        <v>-85230538</v>
      </c>
      <c r="N3257">
        <v>-64013831</v>
      </c>
      <c r="O3257">
        <v>-45760545</v>
      </c>
      <c r="P3257">
        <v>57</v>
      </c>
      <c r="Q3257" t="s">
        <v>6558</v>
      </c>
    </row>
    <row r="3258" spans="1:17" x14ac:dyDescent="0.3">
      <c r="A3258" t="s">
        <v>4382</v>
      </c>
      <c r="B3258" t="str">
        <f>"002576"</f>
        <v>002576</v>
      </c>
      <c r="C3258" t="s">
        <v>6559</v>
      </c>
      <c r="D3258" t="s">
        <v>188</v>
      </c>
      <c r="F3258">
        <v>-929696</v>
      </c>
      <c r="G3258">
        <v>36192073</v>
      </c>
      <c r="H3258">
        <v>20895781</v>
      </c>
      <c r="I3258">
        <v>19106748</v>
      </c>
      <c r="J3258">
        <v>-10274616</v>
      </c>
      <c r="K3258">
        <v>1071236</v>
      </c>
      <c r="L3258">
        <v>13478501</v>
      </c>
      <c r="M3258">
        <v>-111376213</v>
      </c>
      <c r="N3258">
        <v>-48446118</v>
      </c>
      <c r="O3258">
        <v>74617</v>
      </c>
      <c r="P3258">
        <v>123</v>
      </c>
      <c r="Q3258" t="s">
        <v>6560</v>
      </c>
    </row>
    <row r="3259" spans="1:17" x14ac:dyDescent="0.3">
      <c r="A3259" t="s">
        <v>4382</v>
      </c>
      <c r="B3259" t="str">
        <f>"002577"</f>
        <v>002577</v>
      </c>
      <c r="C3259" t="s">
        <v>6561</v>
      </c>
      <c r="D3259" t="s">
        <v>212</v>
      </c>
      <c r="F3259">
        <v>29072010</v>
      </c>
      <c r="G3259">
        <v>-40566277</v>
      </c>
      <c r="H3259">
        <v>35660868</v>
      </c>
      <c r="I3259">
        <v>-53622187</v>
      </c>
      <c r="J3259">
        <v>-9571644</v>
      </c>
      <c r="K3259">
        <v>-64343071</v>
      </c>
      <c r="L3259">
        <v>-54515921</v>
      </c>
      <c r="M3259">
        <v>-4430702</v>
      </c>
      <c r="N3259">
        <v>-12016773</v>
      </c>
      <c r="O3259">
        <v>-99267633</v>
      </c>
      <c r="P3259">
        <v>83</v>
      </c>
      <c r="Q3259" t="s">
        <v>6562</v>
      </c>
    </row>
    <row r="3260" spans="1:17" x14ac:dyDescent="0.3">
      <c r="A3260" t="s">
        <v>4382</v>
      </c>
      <c r="B3260" t="str">
        <f>"002578"</f>
        <v>002578</v>
      </c>
      <c r="C3260" t="s">
        <v>6563</v>
      </c>
      <c r="D3260" t="s">
        <v>234</v>
      </c>
      <c r="F3260">
        <v>-222704912</v>
      </c>
      <c r="G3260">
        <v>80368217</v>
      </c>
      <c r="H3260">
        <v>161793663</v>
      </c>
      <c r="I3260">
        <v>-25729297</v>
      </c>
      <c r="J3260">
        <v>-73584961</v>
      </c>
      <c r="K3260">
        <v>-1459242</v>
      </c>
      <c r="L3260">
        <v>-169770678</v>
      </c>
      <c r="M3260">
        <v>-50603286</v>
      </c>
      <c r="N3260">
        <v>-15382181</v>
      </c>
      <c r="O3260">
        <v>-40994181</v>
      </c>
      <c r="P3260">
        <v>91</v>
      </c>
      <c r="Q3260" t="s">
        <v>6564</v>
      </c>
    </row>
    <row r="3261" spans="1:17" x14ac:dyDescent="0.3">
      <c r="A3261" t="s">
        <v>4382</v>
      </c>
      <c r="B3261" t="str">
        <f>"002579"</f>
        <v>002579</v>
      </c>
      <c r="C3261" t="s">
        <v>6565</v>
      </c>
      <c r="D3261" t="s">
        <v>150</v>
      </c>
      <c r="F3261">
        <v>-956395025</v>
      </c>
      <c r="G3261">
        <v>-337688214</v>
      </c>
      <c r="H3261">
        <v>-4742420</v>
      </c>
      <c r="I3261">
        <v>-86787664</v>
      </c>
      <c r="J3261">
        <v>18534941</v>
      </c>
      <c r="K3261">
        <v>-73850465</v>
      </c>
      <c r="L3261">
        <v>-14246606</v>
      </c>
      <c r="M3261">
        <v>-191662172</v>
      </c>
      <c r="N3261">
        <v>-88432010</v>
      </c>
      <c r="O3261">
        <v>-17044919</v>
      </c>
      <c r="P3261">
        <v>279</v>
      </c>
      <c r="Q3261" t="s">
        <v>6566</v>
      </c>
    </row>
    <row r="3262" spans="1:17" x14ac:dyDescent="0.3">
      <c r="A3262" t="s">
        <v>4382</v>
      </c>
      <c r="B3262" t="str">
        <f>"002580"</f>
        <v>002580</v>
      </c>
      <c r="C3262" t="s">
        <v>6567</v>
      </c>
      <c r="D3262" t="s">
        <v>188</v>
      </c>
      <c r="F3262">
        <v>-181840950</v>
      </c>
      <c r="G3262">
        <v>-37848045</v>
      </c>
      <c r="H3262">
        <v>-27323616</v>
      </c>
      <c r="I3262">
        <v>-144870620</v>
      </c>
      <c r="J3262">
        <v>-198204995</v>
      </c>
      <c r="K3262">
        <v>-175613615</v>
      </c>
      <c r="L3262">
        <v>-75531407</v>
      </c>
      <c r="M3262">
        <v>-89015714</v>
      </c>
      <c r="N3262">
        <v>-195436451</v>
      </c>
      <c r="O3262">
        <v>-294148969</v>
      </c>
      <c r="P3262">
        <v>114</v>
      </c>
      <c r="Q3262" t="s">
        <v>6568</v>
      </c>
    </row>
    <row r="3263" spans="1:17" x14ac:dyDescent="0.3">
      <c r="A3263" t="s">
        <v>4382</v>
      </c>
      <c r="B3263" t="str">
        <f>"002581"</f>
        <v>002581</v>
      </c>
      <c r="C3263" t="s">
        <v>6569</v>
      </c>
      <c r="D3263" t="s">
        <v>113</v>
      </c>
      <c r="F3263">
        <v>-54715670</v>
      </c>
      <c r="G3263">
        <v>-31671285</v>
      </c>
      <c r="H3263">
        <v>-53505801</v>
      </c>
      <c r="I3263">
        <v>-340899975</v>
      </c>
      <c r="J3263">
        <v>143461125</v>
      </c>
      <c r="K3263">
        <v>134165255</v>
      </c>
      <c r="L3263">
        <v>17849876</v>
      </c>
      <c r="M3263">
        <v>59345619</v>
      </c>
      <c r="N3263">
        <v>25856779</v>
      </c>
      <c r="O3263">
        <v>-693570</v>
      </c>
      <c r="P3263">
        <v>228</v>
      </c>
      <c r="Q3263" t="s">
        <v>6570</v>
      </c>
    </row>
    <row r="3264" spans="1:17" x14ac:dyDescent="0.3">
      <c r="A3264" t="s">
        <v>4382</v>
      </c>
      <c r="B3264" t="str">
        <f>"002582"</f>
        <v>002582</v>
      </c>
      <c r="C3264" t="s">
        <v>6571</v>
      </c>
      <c r="D3264" t="s">
        <v>123</v>
      </c>
      <c r="F3264">
        <v>117180058</v>
      </c>
      <c r="G3264">
        <v>-311492676</v>
      </c>
      <c r="H3264">
        <v>420782703</v>
      </c>
      <c r="I3264">
        <v>341553144</v>
      </c>
      <c r="J3264">
        <v>570548010</v>
      </c>
      <c r="K3264">
        <v>-74093022</v>
      </c>
      <c r="L3264">
        <v>126552324</v>
      </c>
      <c r="M3264">
        <v>-131801295</v>
      </c>
      <c r="N3264">
        <v>167161903</v>
      </c>
      <c r="O3264">
        <v>147897870</v>
      </c>
      <c r="P3264">
        <v>439</v>
      </c>
      <c r="Q3264" t="s">
        <v>6572</v>
      </c>
    </row>
    <row r="3265" spans="1:17" x14ac:dyDescent="0.3">
      <c r="A3265" t="s">
        <v>4382</v>
      </c>
      <c r="B3265" t="str">
        <f>"002583"</f>
        <v>002583</v>
      </c>
      <c r="C3265" t="s">
        <v>6573</v>
      </c>
      <c r="D3265" t="s">
        <v>100</v>
      </c>
      <c r="F3265">
        <v>302501461</v>
      </c>
      <c r="G3265">
        <v>-51676269</v>
      </c>
      <c r="H3265">
        <v>-170754317</v>
      </c>
      <c r="I3265">
        <v>-2098185435</v>
      </c>
      <c r="J3265">
        <v>-1878174844</v>
      </c>
      <c r="K3265">
        <v>-1025744653</v>
      </c>
      <c r="L3265">
        <v>-198852693</v>
      </c>
      <c r="M3265">
        <v>-222204015</v>
      </c>
      <c r="N3265">
        <v>-362832763</v>
      </c>
      <c r="O3265">
        <v>-312731089</v>
      </c>
      <c r="P3265">
        <v>397</v>
      </c>
      <c r="Q3265" t="s">
        <v>6574</v>
      </c>
    </row>
    <row r="3266" spans="1:17" x14ac:dyDescent="0.3">
      <c r="A3266" t="s">
        <v>4382</v>
      </c>
      <c r="B3266" t="str">
        <f>"002584"</f>
        <v>002584</v>
      </c>
      <c r="C3266" t="s">
        <v>6575</v>
      </c>
      <c r="D3266" t="s">
        <v>150</v>
      </c>
      <c r="F3266">
        <v>2391280</v>
      </c>
      <c r="G3266">
        <v>-357120727</v>
      </c>
      <c r="H3266">
        <v>-200502541</v>
      </c>
      <c r="I3266">
        <v>36733146</v>
      </c>
      <c r="J3266">
        <v>-64446006</v>
      </c>
      <c r="K3266">
        <v>-71032391</v>
      </c>
      <c r="L3266">
        <v>-92698138</v>
      </c>
      <c r="M3266">
        <v>-40683619</v>
      </c>
      <c r="N3266">
        <v>-133737784</v>
      </c>
      <c r="O3266">
        <v>-32698961</v>
      </c>
      <c r="P3266">
        <v>119</v>
      </c>
      <c r="Q3266" t="s">
        <v>6576</v>
      </c>
    </row>
    <row r="3267" spans="1:17" x14ac:dyDescent="0.3">
      <c r="A3267" t="s">
        <v>4382</v>
      </c>
      <c r="B3267" t="str">
        <f>"002585"</f>
        <v>002585</v>
      </c>
      <c r="C3267" t="s">
        <v>6577</v>
      </c>
      <c r="D3267" t="s">
        <v>133</v>
      </c>
      <c r="F3267">
        <v>-132752566</v>
      </c>
      <c r="G3267">
        <v>388465924</v>
      </c>
      <c r="H3267">
        <v>277076772</v>
      </c>
      <c r="I3267">
        <v>-242805416</v>
      </c>
      <c r="J3267">
        <v>-604876386</v>
      </c>
      <c r="K3267">
        <v>-103345762</v>
      </c>
      <c r="L3267">
        <v>-392102180</v>
      </c>
      <c r="M3267">
        <v>-268700649</v>
      </c>
      <c r="N3267">
        <v>-58503164</v>
      </c>
      <c r="O3267">
        <v>-650808019</v>
      </c>
      <c r="P3267">
        <v>383</v>
      </c>
      <c r="Q3267" t="s">
        <v>6578</v>
      </c>
    </row>
    <row r="3268" spans="1:17" x14ac:dyDescent="0.3">
      <c r="A3268" t="s">
        <v>4382</v>
      </c>
      <c r="B3268" t="str">
        <f>"002586"</f>
        <v>002586</v>
      </c>
      <c r="C3268" t="s">
        <v>6579</v>
      </c>
      <c r="D3268" t="s">
        <v>95</v>
      </c>
      <c r="F3268">
        <v>-66031499</v>
      </c>
      <c r="G3268">
        <v>-12296271</v>
      </c>
      <c r="H3268">
        <v>-185674968</v>
      </c>
      <c r="I3268">
        <v>-149877450</v>
      </c>
      <c r="J3268">
        <v>-9995699</v>
      </c>
      <c r="K3268">
        <v>-152179400</v>
      </c>
      <c r="L3268">
        <v>-113814906</v>
      </c>
      <c r="M3268">
        <v>-170372559</v>
      </c>
      <c r="N3268">
        <v>-148311736</v>
      </c>
      <c r="O3268">
        <v>-145763164</v>
      </c>
      <c r="P3268">
        <v>62</v>
      </c>
      <c r="Q3268" t="s">
        <v>6580</v>
      </c>
    </row>
    <row r="3269" spans="1:17" x14ac:dyDescent="0.3">
      <c r="A3269" t="s">
        <v>4382</v>
      </c>
      <c r="B3269" t="str">
        <f>"002587"</f>
        <v>002587</v>
      </c>
      <c r="C3269" t="s">
        <v>6581</v>
      </c>
      <c r="D3269" t="s">
        <v>150</v>
      </c>
      <c r="F3269">
        <v>-183664674</v>
      </c>
      <c r="G3269">
        <v>-181984026</v>
      </c>
      <c r="H3269">
        <v>-100446114</v>
      </c>
      <c r="I3269">
        <v>-67940155</v>
      </c>
      <c r="J3269">
        <v>-118635610</v>
      </c>
      <c r="K3269">
        <v>-28718673</v>
      </c>
      <c r="L3269">
        <v>-99624879</v>
      </c>
      <c r="M3269">
        <v>-91011524</v>
      </c>
      <c r="N3269">
        <v>-46287664</v>
      </c>
      <c r="O3269">
        <v>-17726755</v>
      </c>
      <c r="P3269">
        <v>142</v>
      </c>
      <c r="Q3269" t="s">
        <v>6582</v>
      </c>
    </row>
    <row r="3270" spans="1:17" x14ac:dyDescent="0.3">
      <c r="A3270" t="s">
        <v>4382</v>
      </c>
      <c r="B3270" t="str">
        <f>"002588"</f>
        <v>002588</v>
      </c>
      <c r="C3270" t="s">
        <v>6583</v>
      </c>
      <c r="D3270" t="s">
        <v>133</v>
      </c>
      <c r="F3270">
        <v>655023440</v>
      </c>
      <c r="G3270">
        <v>1498064267</v>
      </c>
      <c r="H3270">
        <v>990093356</v>
      </c>
      <c r="I3270">
        <v>-91771373</v>
      </c>
      <c r="J3270">
        <v>42058263</v>
      </c>
      <c r="K3270">
        <v>615997590</v>
      </c>
      <c r="L3270">
        <v>-61851474</v>
      </c>
      <c r="M3270">
        <v>492981006</v>
      </c>
      <c r="N3270">
        <v>486939540</v>
      </c>
      <c r="O3270">
        <v>869201000</v>
      </c>
      <c r="P3270">
        <v>164</v>
      </c>
      <c r="Q3270" t="s">
        <v>6584</v>
      </c>
    </row>
    <row r="3271" spans="1:17" x14ac:dyDescent="0.3">
      <c r="A3271" t="s">
        <v>4382</v>
      </c>
      <c r="B3271" t="str">
        <f>"002589"</f>
        <v>002589</v>
      </c>
      <c r="C3271" t="s">
        <v>6585</v>
      </c>
      <c r="D3271" t="s">
        <v>113</v>
      </c>
      <c r="F3271">
        <v>500665440</v>
      </c>
      <c r="G3271">
        <v>-104797017</v>
      </c>
      <c r="H3271">
        <v>1404015911</v>
      </c>
      <c r="I3271">
        <v>-1319432689</v>
      </c>
      <c r="J3271">
        <v>-2498644376</v>
      </c>
      <c r="K3271">
        <v>-1781651026</v>
      </c>
      <c r="L3271">
        <v>-840537307</v>
      </c>
      <c r="M3271">
        <v>-416464802</v>
      </c>
      <c r="N3271">
        <v>-507421543</v>
      </c>
      <c r="O3271">
        <v>-387400519</v>
      </c>
      <c r="P3271">
        <v>460</v>
      </c>
      <c r="Q3271" t="s">
        <v>6586</v>
      </c>
    </row>
    <row r="3272" spans="1:17" x14ac:dyDescent="0.3">
      <c r="A3272" t="s">
        <v>4382</v>
      </c>
      <c r="B3272" t="str">
        <f>"002590"</f>
        <v>002590</v>
      </c>
      <c r="C3272" t="s">
        <v>6587</v>
      </c>
      <c r="D3272" t="s">
        <v>27</v>
      </c>
      <c r="F3272">
        <v>-26540692</v>
      </c>
      <c r="G3272">
        <v>-22729815</v>
      </c>
      <c r="H3272">
        <v>-49339486</v>
      </c>
      <c r="I3272">
        <v>7221911</v>
      </c>
      <c r="J3272">
        <v>-58302218</v>
      </c>
      <c r="K3272">
        <v>-105400559</v>
      </c>
      <c r="L3272">
        <v>55099528</v>
      </c>
      <c r="M3272">
        <v>5227399</v>
      </c>
      <c r="N3272">
        <v>-63510103</v>
      </c>
      <c r="O3272">
        <v>-13010476</v>
      </c>
      <c r="P3272">
        <v>119</v>
      </c>
      <c r="Q3272" t="s">
        <v>6588</v>
      </c>
    </row>
    <row r="3273" spans="1:17" x14ac:dyDescent="0.3">
      <c r="A3273" t="s">
        <v>4382</v>
      </c>
      <c r="B3273" t="str">
        <f>"002591"</f>
        <v>002591</v>
      </c>
      <c r="C3273" t="s">
        <v>6589</v>
      </c>
      <c r="D3273" t="s">
        <v>89</v>
      </c>
      <c r="F3273">
        <v>-84621766</v>
      </c>
      <c r="G3273">
        <v>33428539</v>
      </c>
      <c r="H3273">
        <v>10602916</v>
      </c>
      <c r="I3273">
        <v>6806553</v>
      </c>
      <c r="J3273">
        <v>-14175402</v>
      </c>
      <c r="K3273">
        <v>-12472571</v>
      </c>
      <c r="L3273">
        <v>-41674528</v>
      </c>
      <c r="M3273">
        <v>-76613690</v>
      </c>
      <c r="N3273">
        <v>-73036353</v>
      </c>
      <c r="O3273">
        <v>-40648138</v>
      </c>
      <c r="P3273">
        <v>113</v>
      </c>
      <c r="Q3273" t="s">
        <v>6590</v>
      </c>
    </row>
    <row r="3274" spans="1:17" x14ac:dyDescent="0.3">
      <c r="A3274" t="s">
        <v>4382</v>
      </c>
      <c r="B3274" t="str">
        <f>"002592"</f>
        <v>002592</v>
      </c>
      <c r="C3274" t="s">
        <v>6591</v>
      </c>
      <c r="D3274" t="s">
        <v>27</v>
      </c>
      <c r="F3274">
        <v>153266680</v>
      </c>
      <c r="G3274">
        <v>144665535</v>
      </c>
      <c r="H3274">
        <v>-23920871</v>
      </c>
      <c r="I3274">
        <v>46878709</v>
      </c>
      <c r="J3274">
        <v>-6518728</v>
      </c>
      <c r="K3274">
        <v>-48642769</v>
      </c>
      <c r="L3274">
        <v>-93114271</v>
      </c>
      <c r="M3274">
        <v>-31617006</v>
      </c>
      <c r="N3274">
        <v>-39195339</v>
      </c>
      <c r="O3274">
        <v>16990616</v>
      </c>
      <c r="P3274">
        <v>76</v>
      </c>
      <c r="Q3274" t="s">
        <v>6592</v>
      </c>
    </row>
    <row r="3275" spans="1:17" x14ac:dyDescent="0.3">
      <c r="A3275" t="s">
        <v>4382</v>
      </c>
      <c r="B3275" t="str">
        <f>"002593"</f>
        <v>002593</v>
      </c>
      <c r="C3275" t="s">
        <v>6593</v>
      </c>
      <c r="D3275" t="s">
        <v>95</v>
      </c>
      <c r="F3275">
        <v>-207885678</v>
      </c>
      <c r="G3275">
        <v>-87873831</v>
      </c>
      <c r="H3275">
        <v>-90412238</v>
      </c>
      <c r="I3275">
        <v>-97699618</v>
      </c>
      <c r="J3275">
        <v>-125489781</v>
      </c>
      <c r="K3275">
        <v>140037000</v>
      </c>
      <c r="L3275">
        <v>27858015</v>
      </c>
      <c r="M3275">
        <v>-59698467</v>
      </c>
      <c r="N3275">
        <v>-172243030</v>
      </c>
      <c r="O3275">
        <v>-316884004</v>
      </c>
      <c r="P3275">
        <v>88</v>
      </c>
      <c r="Q3275" t="s">
        <v>6594</v>
      </c>
    </row>
    <row r="3276" spans="1:17" x14ac:dyDescent="0.3">
      <c r="A3276" t="s">
        <v>4382</v>
      </c>
      <c r="B3276" t="str">
        <f>"002594"</f>
        <v>002594</v>
      </c>
      <c r="C3276" t="s">
        <v>6595</v>
      </c>
      <c r="D3276" t="s">
        <v>27</v>
      </c>
      <c r="F3276">
        <v>11804523000</v>
      </c>
      <c r="G3276">
        <v>19688313000</v>
      </c>
      <c r="H3276">
        <v>-11335404000</v>
      </c>
      <c r="I3276">
        <v>-2115781000</v>
      </c>
      <c r="J3276">
        <v>-9478711000</v>
      </c>
      <c r="K3276">
        <v>-11860023000</v>
      </c>
      <c r="L3276">
        <v>-8352398000</v>
      </c>
      <c r="M3276">
        <v>-7031293000</v>
      </c>
      <c r="N3276">
        <v>-2192500000</v>
      </c>
      <c r="O3276">
        <v>79481000</v>
      </c>
      <c r="P3276">
        <v>5221</v>
      </c>
      <c r="Q3276" t="s">
        <v>6596</v>
      </c>
    </row>
    <row r="3277" spans="1:17" x14ac:dyDescent="0.3">
      <c r="A3277" t="s">
        <v>4382</v>
      </c>
      <c r="B3277" t="str">
        <f>"002595"</f>
        <v>002595</v>
      </c>
      <c r="C3277" t="s">
        <v>6597</v>
      </c>
      <c r="D3277" t="s">
        <v>78</v>
      </c>
      <c r="F3277">
        <v>-837484360</v>
      </c>
      <c r="G3277">
        <v>-319812950</v>
      </c>
      <c r="H3277">
        <v>-465089869</v>
      </c>
      <c r="I3277">
        <v>-62588262</v>
      </c>
      <c r="J3277">
        <v>191953613</v>
      </c>
      <c r="K3277">
        <v>316147625</v>
      </c>
      <c r="L3277">
        <v>324508412</v>
      </c>
      <c r="M3277">
        <v>-274218298</v>
      </c>
      <c r="N3277">
        <v>15333718</v>
      </c>
      <c r="O3277">
        <v>18574112</v>
      </c>
      <c r="P3277">
        <v>4168</v>
      </c>
      <c r="Q3277" t="s">
        <v>6598</v>
      </c>
    </row>
    <row r="3278" spans="1:17" x14ac:dyDescent="0.3">
      <c r="A3278" t="s">
        <v>4382</v>
      </c>
      <c r="B3278" t="str">
        <f>"002596"</f>
        <v>002596</v>
      </c>
      <c r="C3278" t="s">
        <v>6599</v>
      </c>
      <c r="D3278" t="s">
        <v>350</v>
      </c>
      <c r="F3278">
        <v>-193499994</v>
      </c>
      <c r="G3278">
        <v>27556582</v>
      </c>
      <c r="H3278">
        <v>3177439</v>
      </c>
      <c r="I3278">
        <v>-110260227</v>
      </c>
      <c r="J3278">
        <v>-198221043</v>
      </c>
      <c r="K3278">
        <v>-162136810</v>
      </c>
      <c r="L3278">
        <v>-46937603</v>
      </c>
      <c r="M3278">
        <v>-52736230</v>
      </c>
      <c r="N3278">
        <v>-55611886</v>
      </c>
      <c r="O3278">
        <v>-137361294</v>
      </c>
      <c r="P3278">
        <v>100</v>
      </c>
      <c r="Q3278" t="s">
        <v>6600</v>
      </c>
    </row>
    <row r="3279" spans="1:17" x14ac:dyDescent="0.3">
      <c r="A3279" t="s">
        <v>4382</v>
      </c>
      <c r="B3279" t="str">
        <f>"002597"</f>
        <v>002597</v>
      </c>
      <c r="C3279" t="s">
        <v>6601</v>
      </c>
      <c r="D3279" t="s">
        <v>133</v>
      </c>
      <c r="F3279">
        <v>-17654559</v>
      </c>
      <c r="G3279">
        <v>153495487</v>
      </c>
      <c r="H3279">
        <v>153876716</v>
      </c>
      <c r="I3279">
        <v>311355230</v>
      </c>
      <c r="J3279">
        <v>147965044</v>
      </c>
      <c r="K3279">
        <v>366935144</v>
      </c>
      <c r="L3279">
        <v>173454222</v>
      </c>
      <c r="M3279">
        <v>33095510</v>
      </c>
      <c r="N3279">
        <v>-53593219</v>
      </c>
      <c r="O3279">
        <v>-144547097</v>
      </c>
      <c r="P3279">
        <v>1880</v>
      </c>
      <c r="Q3279" t="s">
        <v>6602</v>
      </c>
    </row>
    <row r="3280" spans="1:17" x14ac:dyDescent="0.3">
      <c r="A3280" t="s">
        <v>4382</v>
      </c>
      <c r="B3280" t="str">
        <f>"002598"</f>
        <v>002598</v>
      </c>
      <c r="C3280" t="s">
        <v>6603</v>
      </c>
      <c r="D3280" t="s">
        <v>78</v>
      </c>
      <c r="F3280">
        <v>15801265</v>
      </c>
      <c r="G3280">
        <v>34120693</v>
      </c>
      <c r="H3280">
        <v>31168787</v>
      </c>
      <c r="I3280">
        <v>-14291567</v>
      </c>
      <c r="J3280">
        <v>12213332</v>
      </c>
      <c r="K3280">
        <v>3061113</v>
      </c>
      <c r="L3280">
        <v>2531679</v>
      </c>
      <c r="M3280">
        <v>37135237</v>
      </c>
      <c r="N3280">
        <v>11237696</v>
      </c>
      <c r="O3280">
        <v>71864589</v>
      </c>
      <c r="P3280">
        <v>88</v>
      </c>
      <c r="Q3280" t="s">
        <v>6604</v>
      </c>
    </row>
    <row r="3281" spans="1:17" x14ac:dyDescent="0.3">
      <c r="A3281" t="s">
        <v>4382</v>
      </c>
      <c r="B3281" t="str">
        <f>"002599"</f>
        <v>002599</v>
      </c>
      <c r="C3281" t="s">
        <v>6605</v>
      </c>
      <c r="D3281" t="s">
        <v>161</v>
      </c>
      <c r="F3281">
        <v>-162007248</v>
      </c>
      <c r="G3281">
        <v>65464099</v>
      </c>
      <c r="H3281">
        <v>71035264</v>
      </c>
      <c r="I3281">
        <v>-225806735</v>
      </c>
      <c r="J3281">
        <v>-150258538</v>
      </c>
      <c r="K3281">
        <v>29523798</v>
      </c>
      <c r="L3281">
        <v>-5879400</v>
      </c>
      <c r="M3281">
        <v>-91007107</v>
      </c>
      <c r="N3281">
        <v>-68718703</v>
      </c>
      <c r="O3281">
        <v>-19540566</v>
      </c>
      <c r="P3281">
        <v>87</v>
      </c>
      <c r="Q3281" t="s">
        <v>6606</v>
      </c>
    </row>
    <row r="3282" spans="1:17" x14ac:dyDescent="0.3">
      <c r="A3282" t="s">
        <v>4382</v>
      </c>
      <c r="B3282" t="str">
        <f>"002600"</f>
        <v>002600</v>
      </c>
      <c r="C3282" t="s">
        <v>6607</v>
      </c>
      <c r="D3282" t="s">
        <v>150</v>
      </c>
      <c r="F3282">
        <v>-4027719326</v>
      </c>
      <c r="G3282">
        <v>-792359361</v>
      </c>
      <c r="H3282">
        <v>1052564848</v>
      </c>
      <c r="I3282">
        <v>537377245</v>
      </c>
      <c r="J3282">
        <v>-714030031</v>
      </c>
      <c r="K3282">
        <v>15474275</v>
      </c>
      <c r="L3282">
        <v>301501875</v>
      </c>
      <c r="M3282">
        <v>-103798597</v>
      </c>
      <c r="N3282">
        <v>-188827530</v>
      </c>
      <c r="O3282">
        <v>-194050852</v>
      </c>
      <c r="P3282">
        <v>877</v>
      </c>
      <c r="Q3282" t="s">
        <v>6608</v>
      </c>
    </row>
    <row r="3283" spans="1:17" x14ac:dyDescent="0.3">
      <c r="A3283" t="s">
        <v>4382</v>
      </c>
      <c r="B3283" t="str">
        <f>"002601"</f>
        <v>002601</v>
      </c>
      <c r="C3283" t="s">
        <v>6609</v>
      </c>
      <c r="D3283" t="s">
        <v>133</v>
      </c>
      <c r="F3283">
        <v>1344667381</v>
      </c>
      <c r="G3283">
        <v>441171596</v>
      </c>
      <c r="H3283">
        <v>459706546</v>
      </c>
      <c r="I3283">
        <v>884726440</v>
      </c>
      <c r="J3283">
        <v>1127133768</v>
      </c>
      <c r="K3283">
        <v>-545001404</v>
      </c>
      <c r="L3283">
        <v>-635067363</v>
      </c>
      <c r="M3283">
        <v>-414230608</v>
      </c>
      <c r="N3283">
        <v>-362727177</v>
      </c>
      <c r="O3283">
        <v>-220723955</v>
      </c>
      <c r="P3283">
        <v>1263</v>
      </c>
      <c r="Q3283" t="s">
        <v>6610</v>
      </c>
    </row>
    <row r="3284" spans="1:17" x14ac:dyDescent="0.3">
      <c r="A3284" t="s">
        <v>4382</v>
      </c>
      <c r="B3284" t="str">
        <f>"002602"</f>
        <v>002602</v>
      </c>
      <c r="C3284" t="s">
        <v>6611</v>
      </c>
      <c r="D3284" t="s">
        <v>89</v>
      </c>
      <c r="F3284">
        <v>-225684127</v>
      </c>
      <c r="G3284">
        <v>1044389448</v>
      </c>
      <c r="H3284">
        <v>650966254</v>
      </c>
      <c r="I3284">
        <v>300222893</v>
      </c>
      <c r="J3284">
        <v>-11931008</v>
      </c>
      <c r="K3284">
        <v>284013432</v>
      </c>
      <c r="L3284">
        <v>128997531</v>
      </c>
      <c r="M3284">
        <v>-41654564</v>
      </c>
      <c r="N3284">
        <v>-59700019</v>
      </c>
      <c r="O3284">
        <v>-126974580</v>
      </c>
      <c r="P3284">
        <v>718</v>
      </c>
      <c r="Q3284" t="s">
        <v>6612</v>
      </c>
    </row>
    <row r="3285" spans="1:17" x14ac:dyDescent="0.3">
      <c r="A3285" t="s">
        <v>4382</v>
      </c>
      <c r="B3285" t="str">
        <f>"002603"</f>
        <v>002603</v>
      </c>
      <c r="C3285" t="s">
        <v>6613</v>
      </c>
      <c r="D3285" t="s">
        <v>113</v>
      </c>
      <c r="F3285">
        <v>-190177157</v>
      </c>
      <c r="G3285">
        <v>826378384</v>
      </c>
      <c r="H3285">
        <v>-721971</v>
      </c>
      <c r="I3285">
        <v>77813977</v>
      </c>
      <c r="J3285">
        <v>-307826306</v>
      </c>
      <c r="K3285">
        <v>-44109582</v>
      </c>
      <c r="L3285">
        <v>-499048042</v>
      </c>
      <c r="M3285">
        <v>-391261667</v>
      </c>
      <c r="N3285">
        <v>-241633467</v>
      </c>
      <c r="O3285">
        <v>-226062766</v>
      </c>
      <c r="P3285">
        <v>832</v>
      </c>
      <c r="Q3285" t="s">
        <v>6614</v>
      </c>
    </row>
    <row r="3286" spans="1:17" x14ac:dyDescent="0.3">
      <c r="A3286" t="s">
        <v>4382</v>
      </c>
      <c r="B3286" t="str">
        <f>"002604"</f>
        <v>002604</v>
      </c>
      <c r="C3286" t="s">
        <v>6615</v>
      </c>
      <c r="H3286">
        <v>10339512</v>
      </c>
      <c r="I3286">
        <v>263017992</v>
      </c>
      <c r="J3286">
        <v>14567959</v>
      </c>
      <c r="K3286">
        <v>67839318</v>
      </c>
      <c r="L3286">
        <v>94683988</v>
      </c>
      <c r="M3286">
        <v>48244381</v>
      </c>
      <c r="N3286">
        <v>74072871</v>
      </c>
      <c r="O3286">
        <v>77902414</v>
      </c>
      <c r="P3286">
        <v>49</v>
      </c>
      <c r="Q3286" t="s">
        <v>6616</v>
      </c>
    </row>
    <row r="3287" spans="1:17" x14ac:dyDescent="0.3">
      <c r="A3287" t="s">
        <v>4382</v>
      </c>
      <c r="B3287" t="str">
        <f>"002605"</f>
        <v>002605</v>
      </c>
      <c r="C3287" t="s">
        <v>6617</v>
      </c>
      <c r="D3287" t="s">
        <v>89</v>
      </c>
      <c r="F3287">
        <v>266165407</v>
      </c>
      <c r="G3287">
        <v>490059059</v>
      </c>
      <c r="H3287">
        <v>525403736</v>
      </c>
      <c r="I3287">
        <v>135831944</v>
      </c>
      <c r="J3287">
        <v>-29084119</v>
      </c>
      <c r="K3287">
        <v>45472516</v>
      </c>
      <c r="L3287">
        <v>-8077944</v>
      </c>
      <c r="M3287">
        <v>-237957155</v>
      </c>
      <c r="N3287">
        <v>79515412</v>
      </c>
      <c r="O3287">
        <v>73535156</v>
      </c>
      <c r="P3287">
        <v>433</v>
      </c>
      <c r="Q3287" t="s">
        <v>6618</v>
      </c>
    </row>
    <row r="3288" spans="1:17" x14ac:dyDescent="0.3">
      <c r="A3288" t="s">
        <v>4382</v>
      </c>
      <c r="B3288" t="str">
        <f>"002606"</f>
        <v>002606</v>
      </c>
      <c r="C3288" t="s">
        <v>6619</v>
      </c>
      <c r="D3288" t="s">
        <v>188</v>
      </c>
      <c r="F3288">
        <v>-22530076</v>
      </c>
      <c r="G3288">
        <v>40282382</v>
      </c>
      <c r="H3288">
        <v>45163331</v>
      </c>
      <c r="I3288">
        <v>21455980</v>
      </c>
      <c r="J3288">
        <v>46793824</v>
      </c>
      <c r="K3288">
        <v>70337642</v>
      </c>
      <c r="L3288">
        <v>53623948</v>
      </c>
      <c r="M3288">
        <v>3064637</v>
      </c>
      <c r="N3288">
        <v>-8241353</v>
      </c>
      <c r="O3288">
        <v>-56493352</v>
      </c>
      <c r="P3288">
        <v>160</v>
      </c>
      <c r="Q3288" t="s">
        <v>6620</v>
      </c>
    </row>
    <row r="3289" spans="1:17" x14ac:dyDescent="0.3">
      <c r="A3289" t="s">
        <v>4382</v>
      </c>
      <c r="B3289" t="str">
        <f>"002607"</f>
        <v>002607</v>
      </c>
      <c r="C3289" t="s">
        <v>6621</v>
      </c>
      <c r="D3289" t="s">
        <v>110</v>
      </c>
      <c r="F3289">
        <v>-6472414167</v>
      </c>
      <c r="G3289">
        <v>5820432485</v>
      </c>
      <c r="H3289">
        <v>2526625112</v>
      </c>
      <c r="I3289">
        <v>-301837079</v>
      </c>
      <c r="J3289">
        <v>-274875416</v>
      </c>
      <c r="K3289">
        <v>-321640171</v>
      </c>
      <c r="L3289">
        <v>154311175</v>
      </c>
      <c r="M3289">
        <v>-260822792</v>
      </c>
      <c r="N3289">
        <v>-206034818</v>
      </c>
      <c r="O3289">
        <v>-541426212</v>
      </c>
      <c r="P3289">
        <v>1791</v>
      </c>
      <c r="Q3289" t="s">
        <v>6622</v>
      </c>
    </row>
    <row r="3290" spans="1:17" x14ac:dyDescent="0.3">
      <c r="A3290" t="s">
        <v>4382</v>
      </c>
      <c r="B3290" t="str">
        <f>"002608"</f>
        <v>002608</v>
      </c>
      <c r="C3290" t="s">
        <v>6623</v>
      </c>
      <c r="D3290" t="s">
        <v>41</v>
      </c>
      <c r="F3290">
        <v>-985206110</v>
      </c>
      <c r="G3290">
        <v>5165071043</v>
      </c>
      <c r="H3290">
        <v>3122265471</v>
      </c>
      <c r="I3290">
        <v>524177899</v>
      </c>
      <c r="J3290">
        <v>714666437</v>
      </c>
      <c r="K3290">
        <v>-95937614</v>
      </c>
      <c r="L3290">
        <v>-304878227</v>
      </c>
      <c r="M3290">
        <v>-328073569</v>
      </c>
      <c r="N3290">
        <v>-694250626</v>
      </c>
      <c r="O3290">
        <v>-587210305</v>
      </c>
      <c r="P3290">
        <v>138</v>
      </c>
      <c r="Q3290" t="s">
        <v>6624</v>
      </c>
    </row>
    <row r="3291" spans="1:17" x14ac:dyDescent="0.3">
      <c r="A3291" t="s">
        <v>4382</v>
      </c>
      <c r="B3291" t="str">
        <f>"002609"</f>
        <v>002609</v>
      </c>
      <c r="C3291" t="s">
        <v>6625</v>
      </c>
      <c r="D3291" t="s">
        <v>212</v>
      </c>
      <c r="F3291">
        <v>-319564214</v>
      </c>
      <c r="G3291">
        <v>-144116869</v>
      </c>
      <c r="H3291">
        <v>-234059919</v>
      </c>
      <c r="I3291">
        <v>-197019271</v>
      </c>
      <c r="J3291">
        <v>-83342905</v>
      </c>
      <c r="K3291">
        <v>-15508891</v>
      </c>
      <c r="L3291">
        <v>-171356421</v>
      </c>
      <c r="M3291">
        <v>28377377</v>
      </c>
      <c r="N3291">
        <v>-10855709</v>
      </c>
      <c r="O3291">
        <v>-40849821</v>
      </c>
      <c r="P3291">
        <v>213</v>
      </c>
      <c r="Q3291" t="s">
        <v>6626</v>
      </c>
    </row>
    <row r="3292" spans="1:17" x14ac:dyDescent="0.3">
      <c r="A3292" t="s">
        <v>4382</v>
      </c>
      <c r="B3292" t="str">
        <f>"002610"</f>
        <v>002610</v>
      </c>
      <c r="C3292" t="s">
        <v>6627</v>
      </c>
      <c r="D3292" t="s">
        <v>188</v>
      </c>
      <c r="F3292">
        <v>-112591640</v>
      </c>
      <c r="G3292">
        <v>281094221</v>
      </c>
      <c r="H3292">
        <v>-185198892</v>
      </c>
      <c r="I3292">
        <v>-92686527</v>
      </c>
      <c r="J3292">
        <v>-830777121</v>
      </c>
      <c r="K3292">
        <v>-2382230841</v>
      </c>
      <c r="L3292">
        <v>-1051614731</v>
      </c>
      <c r="M3292">
        <v>-417302102</v>
      </c>
      <c r="N3292">
        <v>-748704097</v>
      </c>
      <c r="O3292">
        <v>-420133974</v>
      </c>
      <c r="P3292">
        <v>301</v>
      </c>
      <c r="Q3292" t="s">
        <v>6628</v>
      </c>
    </row>
    <row r="3293" spans="1:17" x14ac:dyDescent="0.3">
      <c r="A3293" t="s">
        <v>4382</v>
      </c>
      <c r="B3293" t="str">
        <f>"002611"</f>
        <v>002611</v>
      </c>
      <c r="C3293" t="s">
        <v>6629</v>
      </c>
      <c r="D3293" t="s">
        <v>78</v>
      </c>
      <c r="F3293">
        <v>78356164</v>
      </c>
      <c r="G3293">
        <v>151301265</v>
      </c>
      <c r="H3293">
        <v>1481057571</v>
      </c>
      <c r="I3293">
        <v>572366002</v>
      </c>
      <c r="J3293">
        <v>174015044</v>
      </c>
      <c r="K3293">
        <v>50317809</v>
      </c>
      <c r="L3293">
        <v>38395062</v>
      </c>
      <c r="M3293">
        <v>-92386971</v>
      </c>
      <c r="N3293">
        <v>-73845469</v>
      </c>
      <c r="O3293">
        <v>11011056</v>
      </c>
      <c r="P3293">
        <v>208</v>
      </c>
      <c r="Q3293" t="s">
        <v>6630</v>
      </c>
    </row>
    <row r="3294" spans="1:17" x14ac:dyDescent="0.3">
      <c r="A3294" t="s">
        <v>4382</v>
      </c>
      <c r="B3294" t="str">
        <f>"002612"</f>
        <v>002612</v>
      </c>
      <c r="C3294" t="s">
        <v>6631</v>
      </c>
      <c r="D3294" t="s">
        <v>227</v>
      </c>
      <c r="F3294">
        <v>259306575</v>
      </c>
      <c r="G3294">
        <v>273999183</v>
      </c>
      <c r="H3294">
        <v>584868643</v>
      </c>
      <c r="I3294">
        <v>-14858011</v>
      </c>
      <c r="J3294">
        <v>14209607</v>
      </c>
      <c r="K3294">
        <v>88584196</v>
      </c>
      <c r="L3294">
        <v>371217537</v>
      </c>
      <c r="M3294">
        <v>4669388</v>
      </c>
      <c r="N3294">
        <v>47183883</v>
      </c>
      <c r="O3294">
        <v>-258749276</v>
      </c>
      <c r="P3294">
        <v>370</v>
      </c>
      <c r="Q3294" t="s">
        <v>6632</v>
      </c>
    </row>
    <row r="3295" spans="1:17" x14ac:dyDescent="0.3">
      <c r="A3295" t="s">
        <v>4382</v>
      </c>
      <c r="B3295" t="str">
        <f>"002613"</f>
        <v>002613</v>
      </c>
      <c r="C3295" t="s">
        <v>6633</v>
      </c>
      <c r="D3295" t="s">
        <v>350</v>
      </c>
      <c r="F3295">
        <v>-48982243</v>
      </c>
      <c r="G3295">
        <v>-40355337</v>
      </c>
      <c r="H3295">
        <v>19993827</v>
      </c>
      <c r="I3295">
        <v>-37458421</v>
      </c>
      <c r="J3295">
        <v>-9426520</v>
      </c>
      <c r="K3295">
        <v>11568926</v>
      </c>
      <c r="L3295">
        <v>-12772570</v>
      </c>
      <c r="M3295">
        <v>-92985518</v>
      </c>
      <c r="N3295">
        <v>-93055127</v>
      </c>
      <c r="O3295">
        <v>8037299</v>
      </c>
      <c r="P3295">
        <v>91</v>
      </c>
      <c r="Q3295" t="s">
        <v>6634</v>
      </c>
    </row>
    <row r="3296" spans="1:17" x14ac:dyDescent="0.3">
      <c r="A3296" t="s">
        <v>4382</v>
      </c>
      <c r="B3296" t="str">
        <f>"002614"</f>
        <v>002614</v>
      </c>
      <c r="C3296" t="s">
        <v>6635</v>
      </c>
      <c r="D3296" t="s">
        <v>126</v>
      </c>
      <c r="F3296">
        <v>-660750332</v>
      </c>
      <c r="G3296">
        <v>409077441</v>
      </c>
      <c r="H3296">
        <v>-806501745</v>
      </c>
      <c r="I3296">
        <v>-191496383</v>
      </c>
      <c r="J3296">
        <v>35229056</v>
      </c>
      <c r="K3296">
        <v>-177932635</v>
      </c>
      <c r="L3296">
        <v>-226728722</v>
      </c>
      <c r="M3296">
        <v>-192470959</v>
      </c>
      <c r="N3296">
        <v>18826301</v>
      </c>
      <c r="O3296">
        <v>-218064842</v>
      </c>
      <c r="P3296">
        <v>525</v>
      </c>
      <c r="Q3296" t="s">
        <v>6636</v>
      </c>
    </row>
    <row r="3297" spans="1:17" x14ac:dyDescent="0.3">
      <c r="A3297" t="s">
        <v>4382</v>
      </c>
      <c r="B3297" t="str">
        <f>"002615"</f>
        <v>002615</v>
      </c>
      <c r="C3297" t="s">
        <v>6637</v>
      </c>
      <c r="D3297" t="s">
        <v>161</v>
      </c>
      <c r="F3297">
        <v>116202843</v>
      </c>
      <c r="G3297">
        <v>190936961</v>
      </c>
      <c r="H3297">
        <v>533251</v>
      </c>
      <c r="I3297">
        <v>-185585525</v>
      </c>
      <c r="J3297">
        <v>-266781109</v>
      </c>
      <c r="K3297">
        <v>-63157490</v>
      </c>
      <c r="L3297">
        <v>-150805075</v>
      </c>
      <c r="M3297">
        <v>-120185514</v>
      </c>
      <c r="N3297">
        <v>-52932375</v>
      </c>
      <c r="O3297">
        <v>-47814361</v>
      </c>
      <c r="P3297">
        <v>178</v>
      </c>
      <c r="Q3297" t="s">
        <v>6638</v>
      </c>
    </row>
    <row r="3298" spans="1:17" x14ac:dyDescent="0.3">
      <c r="A3298" t="s">
        <v>4382</v>
      </c>
      <c r="B3298" t="str">
        <f>"002616"</f>
        <v>002616</v>
      </c>
      <c r="C3298" t="s">
        <v>6639</v>
      </c>
      <c r="D3298" t="s">
        <v>41</v>
      </c>
      <c r="F3298">
        <v>-718352235</v>
      </c>
      <c r="G3298">
        <v>-1354802920</v>
      </c>
      <c r="H3298">
        <v>-832356793</v>
      </c>
      <c r="I3298">
        <v>-2528077</v>
      </c>
      <c r="J3298">
        <v>-433325398</v>
      </c>
      <c r="K3298">
        <v>-361725702</v>
      </c>
      <c r="L3298">
        <v>-216053196</v>
      </c>
      <c r="M3298">
        <v>-121559243</v>
      </c>
      <c r="N3298">
        <v>-88703572</v>
      </c>
      <c r="O3298">
        <v>-244450321</v>
      </c>
      <c r="P3298">
        <v>202</v>
      </c>
      <c r="Q3298" t="s">
        <v>6640</v>
      </c>
    </row>
    <row r="3299" spans="1:17" x14ac:dyDescent="0.3">
      <c r="A3299" t="s">
        <v>4382</v>
      </c>
      <c r="B3299" t="str">
        <f>"002617"</f>
        <v>002617</v>
      </c>
      <c r="C3299" t="s">
        <v>6641</v>
      </c>
      <c r="D3299" t="s">
        <v>41</v>
      </c>
      <c r="F3299">
        <v>-670791557</v>
      </c>
      <c r="G3299">
        <v>17805720</v>
      </c>
      <c r="H3299">
        <v>-238556626</v>
      </c>
      <c r="I3299">
        <v>101503593</v>
      </c>
      <c r="J3299">
        <v>-844563634</v>
      </c>
      <c r="K3299">
        <v>-76474578</v>
      </c>
      <c r="L3299">
        <v>64255651</v>
      </c>
      <c r="M3299">
        <v>148965559</v>
      </c>
      <c r="N3299">
        <v>-43260499</v>
      </c>
      <c r="O3299">
        <v>-4107449</v>
      </c>
      <c r="P3299">
        <v>321</v>
      </c>
      <c r="Q3299" t="s">
        <v>6642</v>
      </c>
    </row>
    <row r="3300" spans="1:17" x14ac:dyDescent="0.3">
      <c r="A3300" t="s">
        <v>4382</v>
      </c>
      <c r="B3300" t="str">
        <f>"002618"</f>
        <v>002618</v>
      </c>
      <c r="C3300" t="s">
        <v>6643</v>
      </c>
      <c r="D3300" t="s">
        <v>150</v>
      </c>
      <c r="F3300">
        <v>-23478244</v>
      </c>
      <c r="G3300">
        <v>-22983740</v>
      </c>
      <c r="H3300">
        <v>-63879421</v>
      </c>
      <c r="I3300">
        <v>177952408</v>
      </c>
      <c r="J3300">
        <v>-122866698</v>
      </c>
      <c r="K3300">
        <v>-49927485</v>
      </c>
      <c r="L3300">
        <v>49738111</v>
      </c>
      <c r="M3300">
        <v>-147191557</v>
      </c>
      <c r="N3300">
        <v>20862441</v>
      </c>
      <c r="O3300">
        <v>-303352599</v>
      </c>
      <c r="P3300">
        <v>135</v>
      </c>
      <c r="Q3300" t="s">
        <v>6644</v>
      </c>
    </row>
    <row r="3301" spans="1:17" x14ac:dyDescent="0.3">
      <c r="A3301" t="s">
        <v>4382</v>
      </c>
      <c r="B3301" t="str">
        <f>"002619"</f>
        <v>002619</v>
      </c>
      <c r="C3301" t="s">
        <v>6645</v>
      </c>
      <c r="D3301" t="s">
        <v>89</v>
      </c>
      <c r="F3301">
        <v>851371260</v>
      </c>
      <c r="G3301">
        <v>-63936098</v>
      </c>
      <c r="H3301">
        <v>-128931057</v>
      </c>
      <c r="I3301">
        <v>317336450</v>
      </c>
      <c r="J3301">
        <v>336502594</v>
      </c>
      <c r="K3301">
        <v>105533918</v>
      </c>
      <c r="L3301">
        <v>57810666</v>
      </c>
      <c r="M3301">
        <v>-45150596</v>
      </c>
      <c r="N3301">
        <v>-64076392</v>
      </c>
      <c r="O3301">
        <v>-109637489</v>
      </c>
      <c r="P3301">
        <v>124</v>
      </c>
      <c r="Q3301" t="s">
        <v>6646</v>
      </c>
    </row>
    <row r="3302" spans="1:17" x14ac:dyDescent="0.3">
      <c r="A3302" t="s">
        <v>4382</v>
      </c>
      <c r="B3302" t="str">
        <f>"002620"</f>
        <v>002620</v>
      </c>
      <c r="C3302" t="s">
        <v>6647</v>
      </c>
      <c r="D3302" t="s">
        <v>95</v>
      </c>
      <c r="F3302">
        <v>-226740756</v>
      </c>
      <c r="G3302">
        <v>-182715803</v>
      </c>
      <c r="H3302">
        <v>-124203961</v>
      </c>
      <c r="I3302">
        <v>-186186423</v>
      </c>
      <c r="J3302">
        <v>-10757063</v>
      </c>
      <c r="K3302">
        <v>-74860321</v>
      </c>
      <c r="L3302">
        <v>-171456450</v>
      </c>
      <c r="M3302">
        <v>-121984510</v>
      </c>
      <c r="N3302">
        <v>-224549177</v>
      </c>
      <c r="O3302">
        <v>-66198676</v>
      </c>
      <c r="P3302">
        <v>90</v>
      </c>
      <c r="Q3302" t="s">
        <v>6648</v>
      </c>
    </row>
    <row r="3303" spans="1:17" x14ac:dyDescent="0.3">
      <c r="A3303" t="s">
        <v>4382</v>
      </c>
      <c r="B3303" t="str">
        <f>"002621"</f>
        <v>002621</v>
      </c>
      <c r="C3303" t="s">
        <v>6649</v>
      </c>
      <c r="D3303" t="s">
        <v>110</v>
      </c>
      <c r="F3303">
        <v>-44469425</v>
      </c>
      <c r="G3303">
        <v>-92246439</v>
      </c>
      <c r="H3303">
        <v>116727442</v>
      </c>
      <c r="I3303">
        <v>23843936</v>
      </c>
      <c r="J3303">
        <v>27476423</v>
      </c>
      <c r="K3303">
        <v>10513689</v>
      </c>
      <c r="L3303">
        <v>37712312</v>
      </c>
      <c r="M3303">
        <v>40027225</v>
      </c>
      <c r="N3303">
        <v>47245980</v>
      </c>
      <c r="O3303">
        <v>65156463</v>
      </c>
      <c r="P3303">
        <v>143</v>
      </c>
      <c r="Q3303" t="s">
        <v>6650</v>
      </c>
    </row>
    <row r="3304" spans="1:17" x14ac:dyDescent="0.3">
      <c r="A3304" t="s">
        <v>4382</v>
      </c>
      <c r="B3304" t="str">
        <f>"002622"</f>
        <v>002622</v>
      </c>
      <c r="C3304" t="s">
        <v>6651</v>
      </c>
      <c r="D3304" t="s">
        <v>188</v>
      </c>
      <c r="F3304">
        <v>9907822</v>
      </c>
      <c r="G3304">
        <v>32098864</v>
      </c>
      <c r="H3304">
        <v>-16541993</v>
      </c>
      <c r="I3304">
        <v>88510592</v>
      </c>
      <c r="J3304">
        <v>-141667507</v>
      </c>
      <c r="K3304">
        <v>68719</v>
      </c>
      <c r="L3304">
        <v>-17284885</v>
      </c>
      <c r="M3304">
        <v>-28921463</v>
      </c>
      <c r="N3304">
        <v>25099096</v>
      </c>
      <c r="O3304">
        <v>43061668</v>
      </c>
      <c r="P3304">
        <v>120</v>
      </c>
      <c r="Q3304" t="s">
        <v>6652</v>
      </c>
    </row>
    <row r="3305" spans="1:17" x14ac:dyDescent="0.3">
      <c r="A3305" t="s">
        <v>4382</v>
      </c>
      <c r="B3305" t="str">
        <f>"002623"</f>
        <v>002623</v>
      </c>
      <c r="C3305" t="s">
        <v>6653</v>
      </c>
      <c r="D3305" t="s">
        <v>188</v>
      </c>
      <c r="F3305">
        <v>62646451</v>
      </c>
      <c r="G3305">
        <v>33681847</v>
      </c>
      <c r="H3305">
        <v>127710168</v>
      </c>
      <c r="I3305">
        <v>-238074547</v>
      </c>
      <c r="J3305">
        <v>-307339646</v>
      </c>
      <c r="K3305">
        <v>-473564165</v>
      </c>
      <c r="L3305">
        <v>-547595947</v>
      </c>
      <c r="M3305">
        <v>-111147320</v>
      </c>
      <c r="N3305">
        <v>-76604186</v>
      </c>
      <c r="O3305">
        <v>-138863313</v>
      </c>
      <c r="P3305">
        <v>172</v>
      </c>
      <c r="Q3305" t="s">
        <v>6654</v>
      </c>
    </row>
    <row r="3306" spans="1:17" x14ac:dyDescent="0.3">
      <c r="A3306" t="s">
        <v>4382</v>
      </c>
      <c r="B3306" t="str">
        <f>"002624"</f>
        <v>002624</v>
      </c>
      <c r="C3306" t="s">
        <v>6655</v>
      </c>
      <c r="D3306" t="s">
        <v>89</v>
      </c>
      <c r="F3306">
        <v>176716323</v>
      </c>
      <c r="G3306">
        <v>2442223886</v>
      </c>
      <c r="H3306">
        <v>500904546</v>
      </c>
      <c r="I3306">
        <v>-545382019</v>
      </c>
      <c r="J3306">
        <v>75244021</v>
      </c>
      <c r="K3306">
        <v>317859859</v>
      </c>
      <c r="L3306">
        <v>-73768466</v>
      </c>
      <c r="M3306">
        <v>-73967467</v>
      </c>
      <c r="N3306">
        <v>-64507004</v>
      </c>
      <c r="O3306">
        <v>-52280251</v>
      </c>
      <c r="P3306">
        <v>2399</v>
      </c>
      <c r="Q3306" t="s">
        <v>6656</v>
      </c>
    </row>
    <row r="3307" spans="1:17" x14ac:dyDescent="0.3">
      <c r="A3307" t="s">
        <v>4382</v>
      </c>
      <c r="B3307" t="str">
        <f>"002625"</f>
        <v>002625</v>
      </c>
      <c r="C3307" t="s">
        <v>6657</v>
      </c>
      <c r="D3307" t="s">
        <v>92</v>
      </c>
      <c r="F3307">
        <v>-236803277</v>
      </c>
      <c r="G3307">
        <v>-190269281</v>
      </c>
      <c r="H3307">
        <v>-142634611</v>
      </c>
      <c r="I3307">
        <v>-30726880</v>
      </c>
      <c r="J3307">
        <v>-11003457</v>
      </c>
      <c r="K3307">
        <v>21167943</v>
      </c>
      <c r="L3307">
        <v>15010142</v>
      </c>
      <c r="M3307">
        <v>1020329</v>
      </c>
      <c r="N3307">
        <v>-60127899</v>
      </c>
      <c r="O3307">
        <v>-25801358</v>
      </c>
      <c r="P3307">
        <v>259</v>
      </c>
      <c r="Q3307" t="s">
        <v>6658</v>
      </c>
    </row>
    <row r="3308" spans="1:17" x14ac:dyDescent="0.3">
      <c r="A3308" t="s">
        <v>4382</v>
      </c>
      <c r="B3308" t="str">
        <f>"002626"</f>
        <v>002626</v>
      </c>
      <c r="C3308" t="s">
        <v>6659</v>
      </c>
      <c r="D3308" t="s">
        <v>123</v>
      </c>
      <c r="F3308">
        <v>371425378</v>
      </c>
      <c r="G3308">
        <v>560415144</v>
      </c>
      <c r="H3308">
        <v>550827807</v>
      </c>
      <c r="I3308">
        <v>511119985</v>
      </c>
      <c r="J3308">
        <v>276371854</v>
      </c>
      <c r="K3308">
        <v>195412867</v>
      </c>
      <c r="L3308">
        <v>-696244991</v>
      </c>
      <c r="M3308">
        <v>23684227</v>
      </c>
      <c r="N3308">
        <v>18680415</v>
      </c>
      <c r="O3308">
        <v>-2247108</v>
      </c>
      <c r="P3308">
        <v>1113</v>
      </c>
      <c r="Q3308" t="s">
        <v>6660</v>
      </c>
    </row>
    <row r="3309" spans="1:17" x14ac:dyDescent="0.3">
      <c r="A3309" t="s">
        <v>4382</v>
      </c>
      <c r="B3309" t="str">
        <f>"002627"</f>
        <v>002627</v>
      </c>
      <c r="C3309" t="s">
        <v>6661</v>
      </c>
      <c r="D3309" t="s">
        <v>22</v>
      </c>
      <c r="F3309">
        <v>316119015</v>
      </c>
      <c r="G3309">
        <v>-312115214</v>
      </c>
      <c r="H3309">
        <v>-265763495</v>
      </c>
      <c r="I3309">
        <v>-447006344</v>
      </c>
      <c r="J3309">
        <v>51899582</v>
      </c>
      <c r="K3309">
        <v>-24542490</v>
      </c>
      <c r="L3309">
        <v>-27129721</v>
      </c>
      <c r="M3309">
        <v>-260213</v>
      </c>
      <c r="N3309">
        <v>-14453119</v>
      </c>
      <c r="O3309">
        <v>-106855894</v>
      </c>
      <c r="P3309">
        <v>99</v>
      </c>
      <c r="Q3309" t="s">
        <v>6662</v>
      </c>
    </row>
    <row r="3310" spans="1:17" x14ac:dyDescent="0.3">
      <c r="A3310" t="s">
        <v>4382</v>
      </c>
      <c r="B3310" t="str">
        <f>"002628"</f>
        <v>002628</v>
      </c>
      <c r="C3310" t="s">
        <v>6663</v>
      </c>
      <c r="D3310" t="s">
        <v>95</v>
      </c>
      <c r="F3310">
        <v>-550997687</v>
      </c>
      <c r="G3310">
        <v>-857074054</v>
      </c>
      <c r="H3310">
        <v>-547684561</v>
      </c>
      <c r="I3310">
        <v>-105243632</v>
      </c>
      <c r="J3310">
        <v>-131251056</v>
      </c>
      <c r="K3310">
        <v>482323562</v>
      </c>
      <c r="L3310">
        <v>138652002</v>
      </c>
      <c r="M3310">
        <v>-213432384</v>
      </c>
      <c r="N3310">
        <v>-775781633</v>
      </c>
      <c r="O3310">
        <v>-447242693</v>
      </c>
      <c r="P3310">
        <v>91</v>
      </c>
      <c r="Q3310" t="s">
        <v>6664</v>
      </c>
    </row>
    <row r="3311" spans="1:17" x14ac:dyDescent="0.3">
      <c r="A3311" t="s">
        <v>4382</v>
      </c>
      <c r="B3311" t="str">
        <f>"002629"</f>
        <v>002629</v>
      </c>
      <c r="C3311" t="s">
        <v>6665</v>
      </c>
      <c r="D3311" t="s">
        <v>70</v>
      </c>
      <c r="F3311">
        <v>-12139240</v>
      </c>
      <c r="G3311">
        <v>-14568961</v>
      </c>
      <c r="H3311">
        <v>-12992062</v>
      </c>
      <c r="I3311">
        <v>-22033552</v>
      </c>
      <c r="J3311">
        <v>-162447903</v>
      </c>
      <c r="K3311">
        <v>-17007710</v>
      </c>
      <c r="L3311">
        <v>-45199439</v>
      </c>
      <c r="M3311">
        <v>-8277137</v>
      </c>
      <c r="N3311">
        <v>-68459476</v>
      </c>
      <c r="O3311">
        <v>-181099792</v>
      </c>
      <c r="P3311">
        <v>60</v>
      </c>
      <c r="Q3311" t="s">
        <v>6666</v>
      </c>
    </row>
    <row r="3312" spans="1:17" x14ac:dyDescent="0.3">
      <c r="A3312" t="s">
        <v>4382</v>
      </c>
      <c r="B3312" t="str">
        <f>"002630"</f>
        <v>002630</v>
      </c>
      <c r="C3312" t="s">
        <v>6667</v>
      </c>
      <c r="D3312" t="s">
        <v>188</v>
      </c>
      <c r="F3312">
        <v>-128278109</v>
      </c>
      <c r="G3312">
        <v>-864365677</v>
      </c>
      <c r="H3312">
        <v>-257439971</v>
      </c>
      <c r="I3312">
        <v>-441026035</v>
      </c>
      <c r="J3312">
        <v>-655754685</v>
      </c>
      <c r="K3312">
        <v>25469047</v>
      </c>
      <c r="L3312">
        <v>-30141041</v>
      </c>
      <c r="M3312">
        <v>-772935658</v>
      </c>
      <c r="N3312">
        <v>-96456936</v>
      </c>
      <c r="O3312">
        <v>-399120032</v>
      </c>
      <c r="P3312">
        <v>109</v>
      </c>
      <c r="Q3312" t="s">
        <v>6668</v>
      </c>
    </row>
    <row r="3313" spans="1:17" x14ac:dyDescent="0.3">
      <c r="A3313" t="s">
        <v>4382</v>
      </c>
      <c r="B3313" t="str">
        <f>"002631"</f>
        <v>002631</v>
      </c>
      <c r="C3313" t="s">
        <v>6669</v>
      </c>
      <c r="D3313" t="s">
        <v>161</v>
      </c>
      <c r="F3313">
        <v>-208768208</v>
      </c>
      <c r="G3313">
        <v>-70642335</v>
      </c>
      <c r="H3313">
        <v>-91552987</v>
      </c>
      <c r="I3313">
        <v>4526896</v>
      </c>
      <c r="J3313">
        <v>77155564</v>
      </c>
      <c r="K3313">
        <v>77865653</v>
      </c>
      <c r="L3313">
        <v>78752049</v>
      </c>
      <c r="M3313">
        <v>15894151</v>
      </c>
      <c r="N3313">
        <v>11056181</v>
      </c>
      <c r="O3313">
        <v>-69494738</v>
      </c>
      <c r="P3313">
        <v>156</v>
      </c>
      <c r="Q3313" t="s">
        <v>6670</v>
      </c>
    </row>
    <row r="3314" spans="1:17" x14ac:dyDescent="0.3">
      <c r="A3314" t="s">
        <v>4382</v>
      </c>
      <c r="B3314" t="str">
        <f>"002632"</f>
        <v>002632</v>
      </c>
      <c r="C3314" t="s">
        <v>6671</v>
      </c>
      <c r="D3314" t="s">
        <v>133</v>
      </c>
      <c r="F3314">
        <v>313183080</v>
      </c>
      <c r="G3314">
        <v>209098505</v>
      </c>
      <c r="H3314">
        <v>-455942749</v>
      </c>
      <c r="I3314">
        <v>4695143</v>
      </c>
      <c r="J3314">
        <v>4229583</v>
      </c>
      <c r="K3314">
        <v>4616046</v>
      </c>
      <c r="L3314">
        <v>-32787778</v>
      </c>
      <c r="M3314">
        <v>18772215</v>
      </c>
      <c r="N3314">
        <v>-139790035</v>
      </c>
      <c r="O3314">
        <v>-163604769</v>
      </c>
      <c r="P3314">
        <v>144</v>
      </c>
      <c r="Q3314" t="s">
        <v>6672</v>
      </c>
    </row>
    <row r="3315" spans="1:17" x14ac:dyDescent="0.3">
      <c r="A3315" t="s">
        <v>4382</v>
      </c>
      <c r="B3315" t="str">
        <f>"002633"</f>
        <v>002633</v>
      </c>
      <c r="C3315" t="s">
        <v>6673</v>
      </c>
      <c r="D3315" t="s">
        <v>78</v>
      </c>
      <c r="F3315">
        <v>-49983287</v>
      </c>
      <c r="G3315">
        <v>-44751218</v>
      </c>
      <c r="H3315">
        <v>-10291899</v>
      </c>
      <c r="I3315">
        <v>2186669</v>
      </c>
      <c r="J3315">
        <v>7318021</v>
      </c>
      <c r="K3315">
        <v>36046480</v>
      </c>
      <c r="L3315">
        <v>22737080</v>
      </c>
      <c r="M3315">
        <v>17958594</v>
      </c>
      <c r="N3315">
        <v>-6443630</v>
      </c>
      <c r="O3315">
        <v>-97424658</v>
      </c>
      <c r="P3315">
        <v>44</v>
      </c>
      <c r="Q3315" t="s">
        <v>6674</v>
      </c>
    </row>
    <row r="3316" spans="1:17" x14ac:dyDescent="0.3">
      <c r="A3316" t="s">
        <v>4382</v>
      </c>
      <c r="B3316" t="str">
        <f>"002634"</f>
        <v>002634</v>
      </c>
      <c r="C3316" t="s">
        <v>6675</v>
      </c>
      <c r="D3316" t="s">
        <v>227</v>
      </c>
      <c r="F3316">
        <v>-2701639</v>
      </c>
      <c r="G3316">
        <v>1325550</v>
      </c>
      <c r="H3316">
        <v>39268320</v>
      </c>
      <c r="I3316">
        <v>-36943829</v>
      </c>
      <c r="J3316">
        <v>82364872</v>
      </c>
      <c r="K3316">
        <v>69656440</v>
      </c>
      <c r="L3316">
        <v>-20726323</v>
      </c>
      <c r="M3316">
        <v>22666622</v>
      </c>
      <c r="N3316">
        <v>-11765792</v>
      </c>
      <c r="O3316">
        <v>-46718318</v>
      </c>
      <c r="P3316">
        <v>88</v>
      </c>
      <c r="Q3316" t="s">
        <v>6676</v>
      </c>
    </row>
    <row r="3317" spans="1:17" x14ac:dyDescent="0.3">
      <c r="A3317" t="s">
        <v>4382</v>
      </c>
      <c r="B3317" t="str">
        <f>"002635"</f>
        <v>002635</v>
      </c>
      <c r="C3317" t="s">
        <v>6677</v>
      </c>
      <c r="D3317" t="s">
        <v>150</v>
      </c>
      <c r="F3317">
        <v>-548556900</v>
      </c>
      <c r="G3317">
        <v>-45232237</v>
      </c>
      <c r="H3317">
        <v>230533856</v>
      </c>
      <c r="I3317">
        <v>-16213884</v>
      </c>
      <c r="J3317">
        <v>279699214</v>
      </c>
      <c r="K3317">
        <v>324854707</v>
      </c>
      <c r="L3317">
        <v>-8227434</v>
      </c>
      <c r="M3317">
        <v>66290781</v>
      </c>
      <c r="N3317">
        <v>115795823</v>
      </c>
      <c r="O3317">
        <v>51505581</v>
      </c>
      <c r="P3317">
        <v>513</v>
      </c>
      <c r="Q3317" t="s">
        <v>6678</v>
      </c>
    </row>
    <row r="3318" spans="1:17" x14ac:dyDescent="0.3">
      <c r="A3318" t="s">
        <v>4382</v>
      </c>
      <c r="B3318" t="str">
        <f>"002636"</f>
        <v>002636</v>
      </c>
      <c r="C3318" t="s">
        <v>6679</v>
      </c>
      <c r="D3318" t="s">
        <v>150</v>
      </c>
      <c r="F3318">
        <v>592974093</v>
      </c>
      <c r="G3318">
        <v>247362784</v>
      </c>
      <c r="H3318">
        <v>435400511</v>
      </c>
      <c r="I3318">
        <v>225448140</v>
      </c>
      <c r="J3318">
        <v>361326679</v>
      </c>
      <c r="K3318">
        <v>206876958</v>
      </c>
      <c r="L3318">
        <v>18268986</v>
      </c>
      <c r="M3318">
        <v>-23464643</v>
      </c>
      <c r="N3318">
        <v>-46730335</v>
      </c>
      <c r="O3318">
        <v>66320142</v>
      </c>
      <c r="P3318">
        <v>305</v>
      </c>
      <c r="Q3318" t="s">
        <v>6680</v>
      </c>
    </row>
    <row r="3319" spans="1:17" x14ac:dyDescent="0.3">
      <c r="A3319" t="s">
        <v>4382</v>
      </c>
      <c r="B3319" t="str">
        <f>"002637"</f>
        <v>002637</v>
      </c>
      <c r="C3319" t="s">
        <v>6681</v>
      </c>
      <c r="D3319" t="s">
        <v>133</v>
      </c>
      <c r="F3319">
        <v>-476831961</v>
      </c>
      <c r="G3319">
        <v>-108865886</v>
      </c>
      <c r="H3319">
        <v>-211448612</v>
      </c>
      <c r="I3319">
        <v>105958992</v>
      </c>
      <c r="J3319">
        <v>-141691816</v>
      </c>
      <c r="K3319">
        <v>-159135433</v>
      </c>
      <c r="L3319">
        <v>-102270392</v>
      </c>
      <c r="M3319">
        <v>-117057148</v>
      </c>
      <c r="N3319">
        <v>45630538</v>
      </c>
      <c r="O3319">
        <v>-237462788</v>
      </c>
      <c r="P3319">
        <v>145</v>
      </c>
      <c r="Q3319" t="s">
        <v>6682</v>
      </c>
    </row>
    <row r="3320" spans="1:17" x14ac:dyDescent="0.3">
      <c r="A3320" t="s">
        <v>4382</v>
      </c>
      <c r="B3320" t="str">
        <f>"002638"</f>
        <v>002638</v>
      </c>
      <c r="C3320" t="s">
        <v>6683</v>
      </c>
      <c r="D3320" t="s">
        <v>110</v>
      </c>
      <c r="F3320">
        <v>-278818003</v>
      </c>
      <c r="G3320">
        <v>-141248138</v>
      </c>
      <c r="H3320">
        <v>-198819050</v>
      </c>
      <c r="I3320">
        <v>-143575452</v>
      </c>
      <c r="J3320">
        <v>-151718406</v>
      </c>
      <c r="K3320">
        <v>97745219</v>
      </c>
      <c r="L3320">
        <v>4034295</v>
      </c>
      <c r="M3320">
        <v>23800063</v>
      </c>
      <c r="N3320">
        <v>7677771</v>
      </c>
      <c r="O3320">
        <v>-35260960</v>
      </c>
      <c r="P3320">
        <v>83</v>
      </c>
      <c r="Q3320" t="s">
        <v>6684</v>
      </c>
    </row>
    <row r="3321" spans="1:17" x14ac:dyDescent="0.3">
      <c r="A3321" t="s">
        <v>4382</v>
      </c>
      <c r="B3321" t="str">
        <f>"002639"</f>
        <v>002639</v>
      </c>
      <c r="C3321" t="s">
        <v>6685</v>
      </c>
      <c r="D3321" t="s">
        <v>78</v>
      </c>
      <c r="F3321">
        <v>-152579119</v>
      </c>
      <c r="G3321">
        <v>-104142966</v>
      </c>
      <c r="H3321">
        <v>-68311877</v>
      </c>
      <c r="I3321">
        <v>-165153522</v>
      </c>
      <c r="J3321">
        <v>-134976887</v>
      </c>
      <c r="K3321">
        <v>-296122072</v>
      </c>
      <c r="L3321">
        <v>-346203800</v>
      </c>
      <c r="M3321">
        <v>-226483831</v>
      </c>
      <c r="N3321">
        <v>-230685724</v>
      </c>
      <c r="O3321">
        <v>-117685896</v>
      </c>
      <c r="P3321">
        <v>228</v>
      </c>
      <c r="Q3321" t="s">
        <v>6686</v>
      </c>
    </row>
    <row r="3322" spans="1:17" x14ac:dyDescent="0.3">
      <c r="A3322" t="s">
        <v>4382</v>
      </c>
      <c r="B3322" t="str">
        <f>"002640"</f>
        <v>002640</v>
      </c>
      <c r="C3322" t="s">
        <v>6687</v>
      </c>
      <c r="D3322" t="s">
        <v>120</v>
      </c>
      <c r="F3322">
        <v>-451048293</v>
      </c>
      <c r="G3322">
        <v>-627806713</v>
      </c>
      <c r="H3322">
        <v>-34828941</v>
      </c>
      <c r="I3322">
        <v>-116239908</v>
      </c>
      <c r="J3322">
        <v>-547899401</v>
      </c>
      <c r="K3322">
        <v>-947951003</v>
      </c>
      <c r="L3322">
        <v>-100753498</v>
      </c>
      <c r="M3322">
        <v>-66659107</v>
      </c>
      <c r="N3322">
        <v>-26163426</v>
      </c>
      <c r="O3322">
        <v>-181779336</v>
      </c>
      <c r="P3322">
        <v>263</v>
      </c>
      <c r="Q3322" t="s">
        <v>6688</v>
      </c>
    </row>
    <row r="3323" spans="1:17" x14ac:dyDescent="0.3">
      <c r="A3323" t="s">
        <v>4382</v>
      </c>
      <c r="B3323" t="str">
        <f>"002641"</f>
        <v>002641</v>
      </c>
      <c r="C3323" t="s">
        <v>6689</v>
      </c>
      <c r="D3323" t="s">
        <v>350</v>
      </c>
      <c r="F3323">
        <v>-597676058</v>
      </c>
      <c r="G3323">
        <v>192298405</v>
      </c>
      <c r="H3323">
        <v>102304395</v>
      </c>
      <c r="I3323">
        <v>-111965161</v>
      </c>
      <c r="J3323">
        <v>-74704112</v>
      </c>
      <c r="K3323">
        <v>64416184</v>
      </c>
      <c r="L3323">
        <v>47293669</v>
      </c>
      <c r="M3323">
        <v>-203702334</v>
      </c>
      <c r="N3323">
        <v>-224996953</v>
      </c>
      <c r="O3323">
        <v>60772498</v>
      </c>
      <c r="P3323">
        <v>360</v>
      </c>
      <c r="Q3323" t="s">
        <v>6690</v>
      </c>
    </row>
    <row r="3324" spans="1:17" x14ac:dyDescent="0.3">
      <c r="A3324" t="s">
        <v>4382</v>
      </c>
      <c r="B3324" t="str">
        <f>"002642"</f>
        <v>002642</v>
      </c>
      <c r="C3324" t="s">
        <v>6691</v>
      </c>
      <c r="D3324" t="s">
        <v>212</v>
      </c>
      <c r="F3324">
        <v>-371071212</v>
      </c>
      <c r="G3324">
        <v>-112846820</v>
      </c>
      <c r="H3324">
        <v>-439399132</v>
      </c>
      <c r="I3324">
        <v>-803480241</v>
      </c>
      <c r="J3324">
        <v>-361890342</v>
      </c>
      <c r="K3324">
        <v>-346532553</v>
      </c>
      <c r="L3324">
        <v>-405320894</v>
      </c>
      <c r="M3324">
        <v>-217959196</v>
      </c>
      <c r="N3324">
        <v>-262141828</v>
      </c>
      <c r="O3324">
        <v>-287291352</v>
      </c>
      <c r="P3324">
        <v>221</v>
      </c>
      <c r="Q3324" t="s">
        <v>6692</v>
      </c>
    </row>
    <row r="3325" spans="1:17" x14ac:dyDescent="0.3">
      <c r="A3325" t="s">
        <v>4382</v>
      </c>
      <c r="B3325" t="str">
        <f>"002643"</f>
        <v>002643</v>
      </c>
      <c r="C3325" t="s">
        <v>6693</v>
      </c>
      <c r="D3325" t="s">
        <v>150</v>
      </c>
      <c r="F3325">
        <v>509750128</v>
      </c>
      <c r="G3325">
        <v>106295613</v>
      </c>
      <c r="H3325">
        <v>-50084710</v>
      </c>
      <c r="I3325">
        <v>50835718</v>
      </c>
      <c r="J3325">
        <v>248536000</v>
      </c>
      <c r="K3325">
        <v>-177154376</v>
      </c>
      <c r="L3325">
        <v>23695264</v>
      </c>
      <c r="M3325">
        <v>-462924</v>
      </c>
      <c r="N3325">
        <v>-572374</v>
      </c>
      <c r="O3325">
        <v>-108132299</v>
      </c>
      <c r="P3325">
        <v>388</v>
      </c>
      <c r="Q3325" t="s">
        <v>6694</v>
      </c>
    </row>
    <row r="3326" spans="1:17" x14ac:dyDescent="0.3">
      <c r="A3326" t="s">
        <v>4382</v>
      </c>
      <c r="B3326" t="str">
        <f>"002644"</f>
        <v>002644</v>
      </c>
      <c r="C3326" t="s">
        <v>6695</v>
      </c>
      <c r="D3326" t="s">
        <v>113</v>
      </c>
      <c r="F3326">
        <v>37802326</v>
      </c>
      <c r="G3326">
        <v>-42143066</v>
      </c>
      <c r="H3326">
        <v>-77148788</v>
      </c>
      <c r="I3326">
        <v>-197675600</v>
      </c>
      <c r="J3326">
        <v>-232157192</v>
      </c>
      <c r="K3326">
        <v>83919827</v>
      </c>
      <c r="L3326">
        <v>11185426</v>
      </c>
      <c r="M3326">
        <v>240021563</v>
      </c>
      <c r="N3326">
        <v>-67723300</v>
      </c>
      <c r="O3326">
        <v>-132543504</v>
      </c>
      <c r="P3326">
        <v>163</v>
      </c>
      <c r="Q3326" t="s">
        <v>6696</v>
      </c>
    </row>
    <row r="3327" spans="1:17" x14ac:dyDescent="0.3">
      <c r="A3327" t="s">
        <v>4382</v>
      </c>
      <c r="B3327" t="str">
        <f>"002645"</f>
        <v>002645</v>
      </c>
      <c r="C3327" t="s">
        <v>6697</v>
      </c>
      <c r="D3327" t="s">
        <v>33</v>
      </c>
      <c r="F3327">
        <v>195000818</v>
      </c>
      <c r="G3327">
        <v>92472882</v>
      </c>
      <c r="H3327">
        <v>-77374497</v>
      </c>
      <c r="I3327">
        <v>-32370284</v>
      </c>
      <c r="J3327">
        <v>113955107</v>
      </c>
      <c r="K3327">
        <v>-24221712</v>
      </c>
      <c r="L3327">
        <v>-20803518</v>
      </c>
      <c r="M3327">
        <v>-75736421</v>
      </c>
      <c r="N3327">
        <v>5529448</v>
      </c>
      <c r="O3327">
        <v>-63408185</v>
      </c>
      <c r="P3327">
        <v>205</v>
      </c>
      <c r="Q3327" t="s">
        <v>6698</v>
      </c>
    </row>
    <row r="3328" spans="1:17" x14ac:dyDescent="0.3">
      <c r="A3328" t="s">
        <v>4382</v>
      </c>
      <c r="B3328" t="str">
        <f>"002646"</f>
        <v>002646</v>
      </c>
      <c r="C3328" t="s">
        <v>6699</v>
      </c>
      <c r="D3328" t="s">
        <v>123</v>
      </c>
      <c r="F3328">
        <v>45570706</v>
      </c>
      <c r="G3328">
        <v>-163237050</v>
      </c>
      <c r="H3328">
        <v>-196056808</v>
      </c>
      <c r="I3328">
        <v>-57946968</v>
      </c>
      <c r="J3328">
        <v>-155107355</v>
      </c>
      <c r="K3328">
        <v>95356345</v>
      </c>
      <c r="L3328">
        <v>49189822</v>
      </c>
      <c r="M3328">
        <v>31915179</v>
      </c>
      <c r="N3328">
        <v>136051958</v>
      </c>
      <c r="O3328">
        <v>204140799</v>
      </c>
      <c r="P3328">
        <v>254</v>
      </c>
      <c r="Q3328" t="s">
        <v>6700</v>
      </c>
    </row>
    <row r="3329" spans="1:17" x14ac:dyDescent="0.3">
      <c r="A3329" t="s">
        <v>4382</v>
      </c>
      <c r="B3329" t="str">
        <f>"002647"</f>
        <v>002647</v>
      </c>
      <c r="C3329" t="s">
        <v>6701</v>
      </c>
      <c r="D3329" t="s">
        <v>75</v>
      </c>
      <c r="F3329">
        <v>11620521</v>
      </c>
      <c r="G3329">
        <v>-32296556</v>
      </c>
      <c r="H3329">
        <v>104759418</v>
      </c>
      <c r="I3329">
        <v>177301659</v>
      </c>
      <c r="J3329">
        <v>-716343997</v>
      </c>
      <c r="K3329">
        <v>719071953</v>
      </c>
      <c r="L3329">
        <v>-179316960</v>
      </c>
      <c r="M3329">
        <v>-617036049</v>
      </c>
      <c r="N3329">
        <v>-171425368</v>
      </c>
      <c r="O3329">
        <v>-384518944</v>
      </c>
      <c r="P3329">
        <v>180</v>
      </c>
      <c r="Q3329" t="s">
        <v>6702</v>
      </c>
    </row>
    <row r="3330" spans="1:17" x14ac:dyDescent="0.3">
      <c r="A3330" t="s">
        <v>4382</v>
      </c>
      <c r="B3330" t="str">
        <f>"002648"</f>
        <v>002648</v>
      </c>
      <c r="C3330" t="s">
        <v>6703</v>
      </c>
      <c r="D3330" t="s">
        <v>133</v>
      </c>
      <c r="F3330">
        <v>-2750152616</v>
      </c>
      <c r="G3330">
        <v>-2881679338</v>
      </c>
      <c r="H3330">
        <v>-530634963</v>
      </c>
      <c r="I3330">
        <v>-566329044</v>
      </c>
      <c r="J3330">
        <v>380408164</v>
      </c>
      <c r="K3330">
        <v>-145401086</v>
      </c>
      <c r="L3330">
        <v>444066915</v>
      </c>
      <c r="M3330">
        <v>-1095141167</v>
      </c>
      <c r="N3330">
        <v>-1129988561</v>
      </c>
      <c r="O3330">
        <v>261401175</v>
      </c>
      <c r="P3330">
        <v>526</v>
      </c>
      <c r="Q3330" t="s">
        <v>6704</v>
      </c>
    </row>
    <row r="3331" spans="1:17" x14ac:dyDescent="0.3">
      <c r="A3331" t="s">
        <v>4382</v>
      </c>
      <c r="B3331" t="str">
        <f>"002649"</f>
        <v>002649</v>
      </c>
      <c r="C3331" t="s">
        <v>6705</v>
      </c>
      <c r="D3331" t="s">
        <v>212</v>
      </c>
      <c r="F3331">
        <v>64879726</v>
      </c>
      <c r="G3331">
        <v>327315907</v>
      </c>
      <c r="H3331">
        <v>22833279</v>
      </c>
      <c r="I3331">
        <v>-75024335</v>
      </c>
      <c r="J3331">
        <v>-6020973</v>
      </c>
      <c r="K3331">
        <v>-16392973</v>
      </c>
      <c r="L3331">
        <v>26684033</v>
      </c>
      <c r="M3331">
        <v>-28632157</v>
      </c>
      <c r="N3331">
        <v>-95953928</v>
      </c>
      <c r="O3331">
        <v>-55825388</v>
      </c>
      <c r="P3331">
        <v>274</v>
      </c>
      <c r="Q3331" t="s">
        <v>6706</v>
      </c>
    </row>
    <row r="3332" spans="1:17" x14ac:dyDescent="0.3">
      <c r="A3332" t="s">
        <v>4382</v>
      </c>
      <c r="B3332" t="str">
        <f>"002650"</f>
        <v>002650</v>
      </c>
      <c r="C3332" t="s">
        <v>6707</v>
      </c>
      <c r="D3332" t="s">
        <v>123</v>
      </c>
      <c r="F3332">
        <v>212685962</v>
      </c>
      <c r="G3332">
        <v>150878907</v>
      </c>
      <c r="H3332">
        <v>82725868</v>
      </c>
      <c r="I3332">
        <v>-15361916</v>
      </c>
      <c r="J3332">
        <v>-68241724</v>
      </c>
      <c r="K3332">
        <v>-2297191</v>
      </c>
      <c r="L3332">
        <v>-198071366</v>
      </c>
      <c r="M3332">
        <v>19092634</v>
      </c>
      <c r="N3332">
        <v>-465527190</v>
      </c>
      <c r="O3332">
        <v>-20974916</v>
      </c>
      <c r="P3332">
        <v>207</v>
      </c>
      <c r="Q3332" t="s">
        <v>6708</v>
      </c>
    </row>
    <row r="3333" spans="1:17" x14ac:dyDescent="0.3">
      <c r="A3333" t="s">
        <v>4382</v>
      </c>
      <c r="B3333" t="str">
        <f>"002651"</f>
        <v>002651</v>
      </c>
      <c r="C3333" t="s">
        <v>6709</v>
      </c>
      <c r="D3333" t="s">
        <v>78</v>
      </c>
      <c r="F3333">
        <v>-34916610</v>
      </c>
      <c r="G3333">
        <v>-48055601</v>
      </c>
      <c r="H3333">
        <v>13491541</v>
      </c>
      <c r="I3333">
        <v>41359501</v>
      </c>
      <c r="J3333">
        <v>73656283</v>
      </c>
      <c r="K3333">
        <v>-312867</v>
      </c>
      <c r="L3333">
        <v>23390313</v>
      </c>
      <c r="M3333">
        <v>151440491</v>
      </c>
      <c r="N3333">
        <v>209932440</v>
      </c>
      <c r="O3333">
        <v>64278529</v>
      </c>
      <c r="P3333">
        <v>121</v>
      </c>
      <c r="Q3333" t="s">
        <v>6710</v>
      </c>
    </row>
    <row r="3334" spans="1:17" x14ac:dyDescent="0.3">
      <c r="A3334" t="s">
        <v>4382</v>
      </c>
      <c r="B3334" t="str">
        <f>"002652"</f>
        <v>002652</v>
      </c>
      <c r="C3334" t="s">
        <v>6711</v>
      </c>
      <c r="D3334" t="s">
        <v>350</v>
      </c>
      <c r="F3334">
        <v>2339618</v>
      </c>
      <c r="G3334">
        <v>142029410</v>
      </c>
      <c r="H3334">
        <v>-165962659</v>
      </c>
      <c r="I3334">
        <v>183093643</v>
      </c>
      <c r="J3334">
        <v>-98968084</v>
      </c>
      <c r="K3334">
        <v>125604420</v>
      </c>
      <c r="L3334">
        <v>-154117935</v>
      </c>
      <c r="M3334">
        <v>3774708</v>
      </c>
      <c r="N3334">
        <v>-75853759</v>
      </c>
      <c r="O3334">
        <v>-203239705</v>
      </c>
      <c r="P3334">
        <v>58</v>
      </c>
      <c r="Q3334" t="s">
        <v>6712</v>
      </c>
    </row>
    <row r="3335" spans="1:17" x14ac:dyDescent="0.3">
      <c r="A3335" t="s">
        <v>4382</v>
      </c>
      <c r="B3335" t="str">
        <f>"002653"</f>
        <v>002653</v>
      </c>
      <c r="C3335" t="s">
        <v>6713</v>
      </c>
      <c r="D3335" t="s">
        <v>113</v>
      </c>
      <c r="F3335">
        <v>-674359383</v>
      </c>
      <c r="G3335">
        <v>-323816020</v>
      </c>
      <c r="H3335">
        <v>73207939</v>
      </c>
      <c r="I3335">
        <v>178449674</v>
      </c>
      <c r="J3335">
        <v>-85805765</v>
      </c>
      <c r="K3335">
        <v>47291990</v>
      </c>
      <c r="L3335">
        <v>41628355</v>
      </c>
      <c r="M3335">
        <v>117432585</v>
      </c>
      <c r="N3335">
        <v>259293108</v>
      </c>
      <c r="O3335">
        <v>229278560</v>
      </c>
      <c r="P3335">
        <v>549</v>
      </c>
      <c r="Q3335" t="s">
        <v>6714</v>
      </c>
    </row>
    <row r="3336" spans="1:17" x14ac:dyDescent="0.3">
      <c r="A3336" t="s">
        <v>4382</v>
      </c>
      <c r="B3336" t="str">
        <f>"002654"</f>
        <v>002654</v>
      </c>
      <c r="C3336" t="s">
        <v>6715</v>
      </c>
      <c r="D3336" t="s">
        <v>150</v>
      </c>
      <c r="F3336">
        <v>-480497522</v>
      </c>
      <c r="G3336">
        <v>-67424137</v>
      </c>
      <c r="H3336">
        <v>-219298811</v>
      </c>
      <c r="I3336">
        <v>-186526358</v>
      </c>
      <c r="J3336">
        <v>-200889517</v>
      </c>
      <c r="K3336">
        <v>-39290091</v>
      </c>
      <c r="L3336">
        <v>-197462278</v>
      </c>
      <c r="M3336">
        <v>-63197466</v>
      </c>
      <c r="N3336">
        <v>-44826098</v>
      </c>
      <c r="O3336">
        <v>-70557333</v>
      </c>
      <c r="P3336">
        <v>124</v>
      </c>
      <c r="Q3336" t="s">
        <v>6716</v>
      </c>
    </row>
    <row r="3337" spans="1:17" x14ac:dyDescent="0.3">
      <c r="A3337" t="s">
        <v>4382</v>
      </c>
      <c r="B3337" t="str">
        <f>"002655"</f>
        <v>002655</v>
      </c>
      <c r="C3337" t="s">
        <v>6717</v>
      </c>
      <c r="D3337" t="s">
        <v>150</v>
      </c>
      <c r="F3337">
        <v>-15447726</v>
      </c>
      <c r="G3337">
        <v>-9095275</v>
      </c>
      <c r="H3337">
        <v>-7202637</v>
      </c>
      <c r="I3337">
        <v>-8780809</v>
      </c>
      <c r="J3337">
        <v>-30431468</v>
      </c>
      <c r="K3337">
        <v>-65877124</v>
      </c>
      <c r="L3337">
        <v>-61076793</v>
      </c>
      <c r="M3337">
        <v>-20086742</v>
      </c>
      <c r="N3337">
        <v>-152776476</v>
      </c>
      <c r="O3337">
        <v>-105188681</v>
      </c>
      <c r="P3337">
        <v>231</v>
      </c>
      <c r="Q3337" t="s">
        <v>6718</v>
      </c>
    </row>
    <row r="3338" spans="1:17" x14ac:dyDescent="0.3">
      <c r="A3338" t="s">
        <v>4382</v>
      </c>
      <c r="B3338" t="str">
        <f>"002656"</f>
        <v>002656</v>
      </c>
      <c r="C3338" t="s">
        <v>6719</v>
      </c>
      <c r="D3338" t="s">
        <v>227</v>
      </c>
      <c r="F3338">
        <v>76818918</v>
      </c>
      <c r="G3338">
        <v>364870921</v>
      </c>
      <c r="H3338">
        <v>182528805</v>
      </c>
      <c r="I3338">
        <v>-218959363</v>
      </c>
      <c r="J3338">
        <v>142189913</v>
      </c>
      <c r="K3338">
        <v>-236615213</v>
      </c>
      <c r="L3338">
        <v>-260464302</v>
      </c>
      <c r="M3338">
        <v>-195089980</v>
      </c>
      <c r="N3338">
        <v>-439386951</v>
      </c>
      <c r="O3338">
        <v>-167811609</v>
      </c>
      <c r="P3338">
        <v>62</v>
      </c>
      <c r="Q3338" t="s">
        <v>6720</v>
      </c>
    </row>
    <row r="3339" spans="1:17" x14ac:dyDescent="0.3">
      <c r="A3339" t="s">
        <v>4382</v>
      </c>
      <c r="B3339" t="str">
        <f>"002657"</f>
        <v>002657</v>
      </c>
      <c r="C3339" t="s">
        <v>6721</v>
      </c>
      <c r="D3339" t="s">
        <v>212</v>
      </c>
      <c r="F3339">
        <v>-396733205</v>
      </c>
      <c r="G3339">
        <v>-311237157</v>
      </c>
      <c r="H3339">
        <v>-377313052</v>
      </c>
      <c r="I3339">
        <v>-366347221</v>
      </c>
      <c r="J3339">
        <v>-118260476</v>
      </c>
      <c r="K3339">
        <v>-53176117</v>
      </c>
      <c r="L3339">
        <v>-32453659</v>
      </c>
      <c r="M3339">
        <v>-346752482</v>
      </c>
      <c r="N3339">
        <v>-301444030</v>
      </c>
      <c r="O3339">
        <v>-192934747</v>
      </c>
      <c r="P3339">
        <v>154</v>
      </c>
      <c r="Q3339" t="s">
        <v>6722</v>
      </c>
    </row>
    <row r="3340" spans="1:17" x14ac:dyDescent="0.3">
      <c r="A3340" t="s">
        <v>4382</v>
      </c>
      <c r="B3340" t="str">
        <f>"002658"</f>
        <v>002658</v>
      </c>
      <c r="C3340" t="s">
        <v>6723</v>
      </c>
      <c r="D3340" t="s">
        <v>33</v>
      </c>
      <c r="F3340">
        <v>65005957</v>
      </c>
      <c r="G3340">
        <v>86615524</v>
      </c>
      <c r="H3340">
        <v>110744221</v>
      </c>
      <c r="I3340">
        <v>32514327</v>
      </c>
      <c r="J3340">
        <v>121274291</v>
      </c>
      <c r="K3340">
        <v>25970944</v>
      </c>
      <c r="L3340">
        <v>5998682</v>
      </c>
      <c r="M3340">
        <v>-68781440</v>
      </c>
      <c r="N3340">
        <v>-39040716</v>
      </c>
      <c r="O3340">
        <v>-31356181</v>
      </c>
      <c r="P3340">
        <v>231</v>
      </c>
      <c r="Q3340" t="s">
        <v>6724</v>
      </c>
    </row>
    <row r="3341" spans="1:17" x14ac:dyDescent="0.3">
      <c r="A3341" t="s">
        <v>4382</v>
      </c>
      <c r="B3341" t="str">
        <f>"002659"</f>
        <v>002659</v>
      </c>
      <c r="C3341" t="s">
        <v>6725</v>
      </c>
      <c r="D3341" t="s">
        <v>110</v>
      </c>
      <c r="F3341">
        <v>39077466</v>
      </c>
      <c r="G3341">
        <v>62966726</v>
      </c>
      <c r="H3341">
        <v>30572160</v>
      </c>
      <c r="I3341">
        <v>-343566653</v>
      </c>
      <c r="J3341">
        <v>-674435467</v>
      </c>
      <c r="K3341">
        <v>-719977095</v>
      </c>
      <c r="L3341">
        <v>207412392</v>
      </c>
      <c r="M3341">
        <v>-24103782</v>
      </c>
      <c r="N3341">
        <v>-241342969</v>
      </c>
      <c r="O3341">
        <v>-222261856</v>
      </c>
      <c r="P3341">
        <v>96</v>
      </c>
      <c r="Q3341" t="s">
        <v>6726</v>
      </c>
    </row>
    <row r="3342" spans="1:17" x14ac:dyDescent="0.3">
      <c r="A3342" t="s">
        <v>4382</v>
      </c>
      <c r="B3342" t="str">
        <f>"002660"</f>
        <v>002660</v>
      </c>
      <c r="C3342" t="s">
        <v>6727</v>
      </c>
      <c r="D3342" t="s">
        <v>150</v>
      </c>
      <c r="F3342">
        <v>-107160127</v>
      </c>
      <c r="G3342">
        <v>31785416</v>
      </c>
      <c r="H3342">
        <v>3580086</v>
      </c>
      <c r="I3342">
        <v>32713214</v>
      </c>
      <c r="J3342">
        <v>71655944</v>
      </c>
      <c r="K3342">
        <v>-79943351</v>
      </c>
      <c r="L3342">
        <v>-69530431</v>
      </c>
      <c r="M3342">
        <v>-110645359</v>
      </c>
      <c r="N3342">
        <v>-52597192</v>
      </c>
      <c r="O3342">
        <v>-74149983</v>
      </c>
      <c r="P3342">
        <v>122</v>
      </c>
      <c r="Q3342" t="s">
        <v>6728</v>
      </c>
    </row>
    <row r="3343" spans="1:17" x14ac:dyDescent="0.3">
      <c r="A3343" t="s">
        <v>4382</v>
      </c>
      <c r="B3343" t="str">
        <f>"002661"</f>
        <v>002661</v>
      </c>
      <c r="C3343" t="s">
        <v>6729</v>
      </c>
      <c r="D3343" t="s">
        <v>205</v>
      </c>
      <c r="F3343">
        <v>16234924</v>
      </c>
      <c r="G3343">
        <v>180057689</v>
      </c>
      <c r="H3343">
        <v>-37586234</v>
      </c>
      <c r="I3343">
        <v>-225525608</v>
      </c>
      <c r="J3343">
        <v>-129322988</v>
      </c>
      <c r="K3343">
        <v>-172307636</v>
      </c>
      <c r="L3343">
        <v>-151001012</v>
      </c>
      <c r="M3343">
        <v>-98625940</v>
      </c>
      <c r="N3343">
        <v>-85731599</v>
      </c>
      <c r="O3343">
        <v>-28674697</v>
      </c>
      <c r="P3343">
        <v>511</v>
      </c>
      <c r="Q3343" t="s">
        <v>6730</v>
      </c>
    </row>
    <row r="3344" spans="1:17" x14ac:dyDescent="0.3">
      <c r="A3344" t="s">
        <v>4382</v>
      </c>
      <c r="B3344" t="str">
        <f>"002662"</f>
        <v>002662</v>
      </c>
      <c r="C3344" t="s">
        <v>6731</v>
      </c>
      <c r="D3344" t="s">
        <v>27</v>
      </c>
      <c r="F3344">
        <v>390591031</v>
      </c>
      <c r="G3344">
        <v>569372391</v>
      </c>
      <c r="H3344">
        <v>528655747</v>
      </c>
      <c r="I3344">
        <v>478059703</v>
      </c>
      <c r="J3344">
        <v>-211449293</v>
      </c>
      <c r="K3344">
        <v>-52420616</v>
      </c>
      <c r="L3344">
        <v>250578187</v>
      </c>
      <c r="M3344">
        <v>25365345</v>
      </c>
      <c r="N3344">
        <v>-106770852</v>
      </c>
      <c r="O3344">
        <v>141197206</v>
      </c>
      <c r="P3344">
        <v>140</v>
      </c>
      <c r="Q3344" t="s">
        <v>6732</v>
      </c>
    </row>
    <row r="3345" spans="1:17" x14ac:dyDescent="0.3">
      <c r="A3345" t="s">
        <v>4382</v>
      </c>
      <c r="B3345" t="str">
        <f>"002663"</f>
        <v>002663</v>
      </c>
      <c r="C3345" t="s">
        <v>6733</v>
      </c>
      <c r="D3345" t="s">
        <v>95</v>
      </c>
      <c r="F3345">
        <v>48039942</v>
      </c>
      <c r="G3345">
        <v>-284135498</v>
      </c>
      <c r="H3345">
        <v>30145302</v>
      </c>
      <c r="I3345">
        <v>-152234709</v>
      </c>
      <c r="J3345">
        <v>-223424013</v>
      </c>
      <c r="K3345">
        <v>-296938220</v>
      </c>
      <c r="L3345">
        <v>-790899852</v>
      </c>
      <c r="M3345">
        <v>-583741979</v>
      </c>
      <c r="N3345">
        <v>-445829632</v>
      </c>
      <c r="O3345">
        <v>-341945926</v>
      </c>
      <c r="P3345">
        <v>95</v>
      </c>
      <c r="Q3345" t="s">
        <v>6734</v>
      </c>
    </row>
    <row r="3346" spans="1:17" x14ac:dyDescent="0.3">
      <c r="A3346" t="s">
        <v>4382</v>
      </c>
      <c r="B3346" t="str">
        <f>"002664"</f>
        <v>002664</v>
      </c>
      <c r="C3346" t="s">
        <v>6735</v>
      </c>
      <c r="D3346" t="s">
        <v>27</v>
      </c>
      <c r="F3346">
        <v>-236641786</v>
      </c>
      <c r="G3346">
        <v>-220040373</v>
      </c>
      <c r="H3346">
        <v>169937503</v>
      </c>
      <c r="I3346">
        <v>8668020</v>
      </c>
      <c r="J3346">
        <v>-53391571</v>
      </c>
      <c r="K3346">
        <v>82183261</v>
      </c>
      <c r="L3346">
        <v>26865931</v>
      </c>
      <c r="M3346">
        <v>62880598</v>
      </c>
      <c r="N3346">
        <v>-140574760</v>
      </c>
      <c r="O3346">
        <v>-82872719</v>
      </c>
      <c r="P3346">
        <v>232</v>
      </c>
      <c r="Q3346" t="s">
        <v>6736</v>
      </c>
    </row>
    <row r="3347" spans="1:17" x14ac:dyDescent="0.3">
      <c r="A3347" t="s">
        <v>4382</v>
      </c>
      <c r="B3347" t="str">
        <f>"002665"</f>
        <v>002665</v>
      </c>
      <c r="C3347" t="s">
        <v>6737</v>
      </c>
      <c r="D3347" t="s">
        <v>188</v>
      </c>
      <c r="F3347">
        <v>-504242622</v>
      </c>
      <c r="G3347">
        <v>-1282441099</v>
      </c>
      <c r="H3347">
        <v>-544082236</v>
      </c>
      <c r="I3347">
        <v>-1378483783</v>
      </c>
      <c r="J3347">
        <v>-298837556</v>
      </c>
      <c r="K3347">
        <v>-55473738</v>
      </c>
      <c r="L3347">
        <v>-599506410</v>
      </c>
      <c r="M3347">
        <v>-218251740</v>
      </c>
      <c r="N3347">
        <v>-197521235</v>
      </c>
      <c r="O3347">
        <v>-276218305</v>
      </c>
      <c r="P3347">
        <v>208</v>
      </c>
      <c r="Q3347" t="s">
        <v>6738</v>
      </c>
    </row>
    <row r="3348" spans="1:17" x14ac:dyDescent="0.3">
      <c r="A3348" t="s">
        <v>4382</v>
      </c>
      <c r="B3348" t="str">
        <f>"002666"</f>
        <v>002666</v>
      </c>
      <c r="C3348" t="s">
        <v>6739</v>
      </c>
      <c r="D3348" t="s">
        <v>133</v>
      </c>
      <c r="F3348">
        <v>-89474019</v>
      </c>
      <c r="G3348">
        <v>24923043</v>
      </c>
      <c r="H3348">
        <v>76004948</v>
      </c>
      <c r="I3348">
        <v>-156681348</v>
      </c>
      <c r="J3348">
        <v>-211417368</v>
      </c>
      <c r="K3348">
        <v>3765619</v>
      </c>
      <c r="L3348">
        <v>130289463</v>
      </c>
      <c r="M3348">
        <v>-133514359</v>
      </c>
      <c r="N3348">
        <v>-175551092</v>
      </c>
      <c r="O3348">
        <v>-47402485</v>
      </c>
      <c r="P3348">
        <v>110</v>
      </c>
      <c r="Q3348" t="s">
        <v>6740</v>
      </c>
    </row>
    <row r="3349" spans="1:17" x14ac:dyDescent="0.3">
      <c r="A3349" t="s">
        <v>4382</v>
      </c>
      <c r="B3349" t="str">
        <f>"002667"</f>
        <v>002667</v>
      </c>
      <c r="C3349" t="s">
        <v>6741</v>
      </c>
      <c r="D3349" t="s">
        <v>78</v>
      </c>
      <c r="F3349">
        <v>-101631777</v>
      </c>
      <c r="G3349">
        <v>20205769</v>
      </c>
      <c r="H3349">
        <v>-6105398</v>
      </c>
      <c r="I3349">
        <v>-4655824</v>
      </c>
      <c r="J3349">
        <v>10579632</v>
      </c>
      <c r="K3349">
        <v>20394591</v>
      </c>
      <c r="L3349">
        <v>7072135</v>
      </c>
      <c r="M3349">
        <v>-13393571</v>
      </c>
      <c r="N3349">
        <v>-17528062</v>
      </c>
      <c r="O3349">
        <v>-22737254</v>
      </c>
      <c r="P3349">
        <v>73</v>
      </c>
      <c r="Q3349" t="s">
        <v>6742</v>
      </c>
    </row>
    <row r="3350" spans="1:17" x14ac:dyDescent="0.3">
      <c r="A3350" t="s">
        <v>4382</v>
      </c>
      <c r="B3350" t="str">
        <f>"002668"</f>
        <v>002668</v>
      </c>
      <c r="C3350" t="s">
        <v>6743</v>
      </c>
      <c r="D3350" t="s">
        <v>126</v>
      </c>
      <c r="F3350">
        <v>-312460639</v>
      </c>
      <c r="G3350">
        <v>902467515</v>
      </c>
      <c r="H3350">
        <v>788163090</v>
      </c>
      <c r="I3350">
        <v>-23965452</v>
      </c>
      <c r="J3350">
        <v>-1268595420</v>
      </c>
      <c r="K3350">
        <v>447426427</v>
      </c>
      <c r="L3350">
        <v>270492669</v>
      </c>
      <c r="M3350">
        <v>28973243</v>
      </c>
      <c r="N3350">
        <v>137352551</v>
      </c>
      <c r="O3350">
        <v>-205154326</v>
      </c>
      <c r="P3350">
        <v>204</v>
      </c>
      <c r="Q3350" t="s">
        <v>6744</v>
      </c>
    </row>
    <row r="3351" spans="1:17" x14ac:dyDescent="0.3">
      <c r="A3351" t="s">
        <v>4382</v>
      </c>
      <c r="B3351" t="str">
        <f>"002669"</f>
        <v>002669</v>
      </c>
      <c r="C3351" t="s">
        <v>6745</v>
      </c>
      <c r="D3351" t="s">
        <v>133</v>
      </c>
      <c r="F3351">
        <v>45548240</v>
      </c>
      <c r="G3351">
        <v>-298781140</v>
      </c>
      <c r="H3351">
        <v>71590273</v>
      </c>
      <c r="I3351">
        <v>-175615655</v>
      </c>
      <c r="J3351">
        <v>18285924</v>
      </c>
      <c r="K3351">
        <v>-19498373</v>
      </c>
      <c r="L3351">
        <v>-94203000</v>
      </c>
      <c r="M3351">
        <v>-36417191</v>
      </c>
      <c r="N3351">
        <v>-48527083</v>
      </c>
      <c r="O3351">
        <v>-37352428</v>
      </c>
      <c r="P3351">
        <v>138</v>
      </c>
      <c r="Q3351" t="s">
        <v>6746</v>
      </c>
    </row>
    <row r="3352" spans="1:17" x14ac:dyDescent="0.3">
      <c r="A3352" t="s">
        <v>4382</v>
      </c>
      <c r="B3352" t="str">
        <f>"002670"</f>
        <v>002670</v>
      </c>
      <c r="C3352" t="s">
        <v>6747</v>
      </c>
      <c r="D3352" t="s">
        <v>75</v>
      </c>
      <c r="F3352">
        <v>2201957974</v>
      </c>
      <c r="G3352">
        <v>3746435718</v>
      </c>
      <c r="H3352">
        <v>646765899</v>
      </c>
      <c r="I3352">
        <v>902709368</v>
      </c>
      <c r="J3352">
        <v>-1262453793</v>
      </c>
      <c r="K3352">
        <v>-1579615022</v>
      </c>
      <c r="L3352">
        <v>105871712</v>
      </c>
      <c r="M3352">
        <v>-55365281</v>
      </c>
      <c r="N3352">
        <v>-180384045</v>
      </c>
      <c r="O3352">
        <v>-9776848</v>
      </c>
      <c r="P3352">
        <v>580</v>
      </c>
      <c r="Q3352" t="s">
        <v>6748</v>
      </c>
    </row>
    <row r="3353" spans="1:17" x14ac:dyDescent="0.3">
      <c r="A3353" t="s">
        <v>4382</v>
      </c>
      <c r="B3353" t="str">
        <f>"002671"</f>
        <v>002671</v>
      </c>
      <c r="C3353" t="s">
        <v>6749</v>
      </c>
      <c r="D3353" t="s">
        <v>350</v>
      </c>
      <c r="F3353">
        <v>-151016550</v>
      </c>
      <c r="G3353">
        <v>-265589509</v>
      </c>
      <c r="H3353">
        <v>37062480</v>
      </c>
      <c r="I3353">
        <v>-19133913</v>
      </c>
      <c r="J3353">
        <v>-121144626</v>
      </c>
      <c r="K3353">
        <v>-5789397</v>
      </c>
      <c r="L3353">
        <v>-381000912</v>
      </c>
      <c r="M3353">
        <v>-461947669</v>
      </c>
      <c r="N3353">
        <v>-114580904</v>
      </c>
      <c r="O3353">
        <v>-139237226</v>
      </c>
      <c r="P3353">
        <v>68</v>
      </c>
      <c r="Q3353" t="s">
        <v>6750</v>
      </c>
    </row>
    <row r="3354" spans="1:17" x14ac:dyDescent="0.3">
      <c r="A3354" t="s">
        <v>4382</v>
      </c>
      <c r="B3354" t="str">
        <f>"002672"</f>
        <v>002672</v>
      </c>
      <c r="C3354" t="s">
        <v>6751</v>
      </c>
      <c r="D3354" t="s">
        <v>33</v>
      </c>
      <c r="F3354">
        <v>-425808346</v>
      </c>
      <c r="G3354">
        <v>-69952852</v>
      </c>
      <c r="H3354">
        <v>378504507</v>
      </c>
      <c r="I3354">
        <v>-119643228</v>
      </c>
      <c r="J3354">
        <v>-121971870</v>
      </c>
      <c r="K3354">
        <v>-377297929</v>
      </c>
      <c r="L3354">
        <v>-449317563</v>
      </c>
      <c r="M3354">
        <v>-202024777</v>
      </c>
      <c r="N3354">
        <v>-19342541</v>
      </c>
      <c r="O3354">
        <v>69295480</v>
      </c>
      <c r="P3354">
        <v>317</v>
      </c>
      <c r="Q3354" t="s">
        <v>6752</v>
      </c>
    </row>
    <row r="3355" spans="1:17" x14ac:dyDescent="0.3">
      <c r="A3355" t="s">
        <v>4382</v>
      </c>
      <c r="B3355" t="str">
        <f>"002673"</f>
        <v>002673</v>
      </c>
      <c r="C3355" t="s">
        <v>6753</v>
      </c>
      <c r="D3355" t="s">
        <v>75</v>
      </c>
      <c r="F3355">
        <v>-13050447178</v>
      </c>
      <c r="G3355">
        <v>-1092602321</v>
      </c>
      <c r="H3355">
        <v>1958005383</v>
      </c>
      <c r="I3355">
        <v>1791132450</v>
      </c>
      <c r="J3355">
        <v>-4199877359</v>
      </c>
      <c r="K3355">
        <v>-7733593115</v>
      </c>
      <c r="L3355">
        <v>7446341435</v>
      </c>
      <c r="M3355">
        <v>3120431548</v>
      </c>
      <c r="N3355">
        <v>-1223585840</v>
      </c>
      <c r="O3355">
        <v>-1087743580</v>
      </c>
      <c r="P3355">
        <v>1135</v>
      </c>
      <c r="Q3355" t="s">
        <v>6754</v>
      </c>
    </row>
    <row r="3356" spans="1:17" x14ac:dyDescent="0.3">
      <c r="A3356" t="s">
        <v>4382</v>
      </c>
      <c r="B3356" t="str">
        <f>"002674"</f>
        <v>002674</v>
      </c>
      <c r="C3356" t="s">
        <v>6755</v>
      </c>
      <c r="D3356" t="s">
        <v>227</v>
      </c>
      <c r="F3356">
        <v>28317864</v>
      </c>
      <c r="G3356">
        <v>31743009</v>
      </c>
      <c r="H3356">
        <v>-14369023</v>
      </c>
      <c r="I3356">
        <v>237260039</v>
      </c>
      <c r="J3356">
        <v>-268512093</v>
      </c>
      <c r="K3356">
        <v>86126651</v>
      </c>
      <c r="L3356">
        <v>-329971181</v>
      </c>
      <c r="M3356">
        <v>-18726203</v>
      </c>
      <c r="N3356">
        <v>-465374892</v>
      </c>
      <c r="O3356">
        <v>-228269329</v>
      </c>
      <c r="P3356">
        <v>102</v>
      </c>
      <c r="Q3356" t="s">
        <v>6756</v>
      </c>
    </row>
    <row r="3357" spans="1:17" x14ac:dyDescent="0.3">
      <c r="A3357" t="s">
        <v>4382</v>
      </c>
      <c r="B3357" t="str">
        <f>"002675"</f>
        <v>002675</v>
      </c>
      <c r="C3357" t="s">
        <v>6757</v>
      </c>
      <c r="D3357" t="s">
        <v>113</v>
      </c>
      <c r="F3357">
        <v>314884852</v>
      </c>
      <c r="G3357">
        <v>189821566</v>
      </c>
      <c r="H3357">
        <v>287047435</v>
      </c>
      <c r="I3357">
        <v>323996771</v>
      </c>
      <c r="J3357">
        <v>-69170757</v>
      </c>
      <c r="K3357">
        <v>29255249</v>
      </c>
      <c r="L3357">
        <v>-75474584</v>
      </c>
      <c r="M3357">
        <v>-66030168</v>
      </c>
      <c r="N3357">
        <v>-178696721</v>
      </c>
      <c r="O3357">
        <v>-33967492</v>
      </c>
      <c r="P3357">
        <v>365</v>
      </c>
      <c r="Q3357" t="s">
        <v>6758</v>
      </c>
    </row>
    <row r="3358" spans="1:17" x14ac:dyDescent="0.3">
      <c r="A3358" t="s">
        <v>4382</v>
      </c>
      <c r="B3358" t="str">
        <f>"002676"</f>
        <v>002676</v>
      </c>
      <c r="C3358" t="s">
        <v>6759</v>
      </c>
      <c r="D3358" t="s">
        <v>126</v>
      </c>
      <c r="F3358">
        <v>-33113415</v>
      </c>
      <c r="G3358">
        <v>10586118</v>
      </c>
      <c r="H3358">
        <v>832014</v>
      </c>
      <c r="I3358">
        <v>-145560517</v>
      </c>
      <c r="J3358">
        <v>-179543808</v>
      </c>
      <c r="K3358">
        <v>20953065</v>
      </c>
      <c r="L3358">
        <v>-123029606</v>
      </c>
      <c r="M3358">
        <v>-122740432</v>
      </c>
      <c r="N3358">
        <v>-66409657</v>
      </c>
      <c r="O3358">
        <v>-61344678</v>
      </c>
      <c r="P3358">
        <v>87</v>
      </c>
      <c r="Q3358" t="s">
        <v>6760</v>
      </c>
    </row>
    <row r="3359" spans="1:17" x14ac:dyDescent="0.3">
      <c r="A3359" t="s">
        <v>4382</v>
      </c>
      <c r="B3359" t="str">
        <f>"002677"</f>
        <v>002677</v>
      </c>
      <c r="C3359" t="s">
        <v>6761</v>
      </c>
      <c r="D3359" t="s">
        <v>126</v>
      </c>
      <c r="F3359">
        <v>397988879</v>
      </c>
      <c r="G3359">
        <v>330788434</v>
      </c>
      <c r="H3359">
        <v>226921350</v>
      </c>
      <c r="I3359">
        <v>22275814</v>
      </c>
      <c r="J3359">
        <v>241398135</v>
      </c>
      <c r="K3359">
        <v>117370016</v>
      </c>
      <c r="L3359">
        <v>20579433</v>
      </c>
      <c r="M3359">
        <v>-19948328</v>
      </c>
      <c r="N3359">
        <v>-17130648</v>
      </c>
      <c r="O3359">
        <v>-51665123</v>
      </c>
      <c r="P3359">
        <v>4544</v>
      </c>
      <c r="Q3359" t="s">
        <v>6762</v>
      </c>
    </row>
    <row r="3360" spans="1:17" x14ac:dyDescent="0.3">
      <c r="A3360" t="s">
        <v>4382</v>
      </c>
      <c r="B3360" t="str">
        <f>"002678"</f>
        <v>002678</v>
      </c>
      <c r="C3360" t="s">
        <v>6763</v>
      </c>
      <c r="D3360" t="s">
        <v>161</v>
      </c>
      <c r="F3360">
        <v>-101813571</v>
      </c>
      <c r="G3360">
        <v>-23471843</v>
      </c>
      <c r="H3360">
        <v>-113819021</v>
      </c>
      <c r="I3360">
        <v>-315313616</v>
      </c>
      <c r="J3360">
        <v>-61534274</v>
      </c>
      <c r="K3360">
        <v>-190031006</v>
      </c>
      <c r="L3360">
        <v>-114426082</v>
      </c>
      <c r="M3360">
        <v>-146207817</v>
      </c>
      <c r="N3360">
        <v>-248992721</v>
      </c>
      <c r="O3360">
        <v>-26359578</v>
      </c>
      <c r="P3360">
        <v>113</v>
      </c>
      <c r="Q3360" t="s">
        <v>6764</v>
      </c>
    </row>
    <row r="3361" spans="1:17" x14ac:dyDescent="0.3">
      <c r="A3361" t="s">
        <v>4382</v>
      </c>
      <c r="B3361" t="str">
        <f>"002679"</f>
        <v>002679</v>
      </c>
      <c r="C3361" t="s">
        <v>6765</v>
      </c>
      <c r="D3361" t="s">
        <v>205</v>
      </c>
      <c r="F3361">
        <v>-31607498</v>
      </c>
      <c r="G3361">
        <v>-10489628</v>
      </c>
      <c r="H3361">
        <v>9868485</v>
      </c>
      <c r="I3361">
        <v>15495336</v>
      </c>
      <c r="J3361">
        <v>-19431028</v>
      </c>
      <c r="K3361">
        <v>-20553792</v>
      </c>
      <c r="L3361">
        <v>-161280133</v>
      </c>
      <c r="M3361">
        <v>-106037746</v>
      </c>
      <c r="N3361">
        <v>-525912440</v>
      </c>
      <c r="O3361">
        <v>-140164877</v>
      </c>
      <c r="P3361">
        <v>95</v>
      </c>
      <c r="Q3361" t="s">
        <v>6766</v>
      </c>
    </row>
    <row r="3362" spans="1:17" x14ac:dyDescent="0.3">
      <c r="A3362" t="s">
        <v>4382</v>
      </c>
      <c r="B3362" t="str">
        <f>"002680"</f>
        <v>002680</v>
      </c>
      <c r="C3362" t="s">
        <v>6767</v>
      </c>
      <c r="J3362">
        <v>43687083</v>
      </c>
      <c r="K3362">
        <v>-7744540</v>
      </c>
      <c r="L3362">
        <v>-7917100</v>
      </c>
      <c r="M3362">
        <v>14975889</v>
      </c>
      <c r="N3362">
        <v>-15904953</v>
      </c>
      <c r="O3362">
        <v>25315449</v>
      </c>
      <c r="P3362">
        <v>221</v>
      </c>
      <c r="Q3362" t="s">
        <v>6768</v>
      </c>
    </row>
    <row r="3363" spans="1:17" x14ac:dyDescent="0.3">
      <c r="A3363" t="s">
        <v>4382</v>
      </c>
      <c r="B3363" t="str">
        <f>"002681"</f>
        <v>002681</v>
      </c>
      <c r="C3363" t="s">
        <v>6769</v>
      </c>
      <c r="D3363" t="s">
        <v>150</v>
      </c>
      <c r="F3363">
        <v>-297711695</v>
      </c>
      <c r="G3363">
        <v>25960542</v>
      </c>
      <c r="H3363">
        <v>302883397</v>
      </c>
      <c r="I3363">
        <v>101286066</v>
      </c>
      <c r="J3363">
        <v>-248160540</v>
      </c>
      <c r="K3363">
        <v>-50935127</v>
      </c>
      <c r="L3363">
        <v>-88529403</v>
      </c>
      <c r="M3363">
        <v>55173892</v>
      </c>
      <c r="N3363">
        <v>95569364</v>
      </c>
      <c r="O3363">
        <v>9546969</v>
      </c>
      <c r="P3363">
        <v>216</v>
      </c>
      <c r="Q3363" t="s">
        <v>6770</v>
      </c>
    </row>
    <row r="3364" spans="1:17" x14ac:dyDescent="0.3">
      <c r="A3364" t="s">
        <v>4382</v>
      </c>
      <c r="B3364" t="str">
        <f>"002682"</f>
        <v>002682</v>
      </c>
      <c r="C3364" t="s">
        <v>6771</v>
      </c>
      <c r="D3364" t="s">
        <v>22</v>
      </c>
      <c r="F3364">
        <v>574971173</v>
      </c>
      <c r="G3364">
        <v>-465497295</v>
      </c>
      <c r="H3364">
        <v>-193388886</v>
      </c>
      <c r="I3364">
        <v>-213616393</v>
      </c>
      <c r="J3364">
        <v>-221430464</v>
      </c>
      <c r="K3364">
        <v>-254074792</v>
      </c>
      <c r="L3364">
        <v>-22969654</v>
      </c>
      <c r="M3364">
        <v>714724</v>
      </c>
      <c r="N3364">
        <v>-172483638</v>
      </c>
      <c r="O3364">
        <v>-90466420</v>
      </c>
      <c r="P3364">
        <v>80</v>
      </c>
      <c r="Q3364" t="s">
        <v>6772</v>
      </c>
    </row>
    <row r="3365" spans="1:17" x14ac:dyDescent="0.3">
      <c r="A3365" t="s">
        <v>4382</v>
      </c>
      <c r="B3365" t="str">
        <f>"002683"</f>
        <v>002683</v>
      </c>
      <c r="C3365" t="s">
        <v>6773</v>
      </c>
      <c r="D3365" t="s">
        <v>133</v>
      </c>
      <c r="F3365">
        <v>122497280</v>
      </c>
      <c r="G3365">
        <v>322380774</v>
      </c>
      <c r="H3365">
        <v>252989936</v>
      </c>
      <c r="I3365">
        <v>9689748</v>
      </c>
      <c r="J3365">
        <v>200675461</v>
      </c>
      <c r="K3365">
        <v>-324413968</v>
      </c>
      <c r="L3365">
        <v>-240711940</v>
      </c>
      <c r="M3365">
        <v>-303871154</v>
      </c>
      <c r="N3365">
        <v>-270376746</v>
      </c>
      <c r="O3365">
        <v>-155481138</v>
      </c>
      <c r="P3365">
        <v>270</v>
      </c>
      <c r="Q3365" t="s">
        <v>6774</v>
      </c>
    </row>
    <row r="3366" spans="1:17" x14ac:dyDescent="0.3">
      <c r="A3366" t="s">
        <v>4382</v>
      </c>
      <c r="B3366" t="str">
        <f>"002684"</f>
        <v>002684</v>
      </c>
      <c r="C3366" t="s">
        <v>6775</v>
      </c>
      <c r="D3366" t="s">
        <v>27</v>
      </c>
      <c r="F3366">
        <v>166035920</v>
      </c>
      <c r="G3366">
        <v>173202830</v>
      </c>
      <c r="H3366">
        <v>178362711</v>
      </c>
      <c r="I3366">
        <v>-525964318</v>
      </c>
      <c r="J3366">
        <v>-1497031138</v>
      </c>
      <c r="K3366">
        <v>-350323255</v>
      </c>
      <c r="L3366">
        <v>-234881891</v>
      </c>
      <c r="M3366">
        <v>-51832457</v>
      </c>
      <c r="N3366">
        <v>-185535155</v>
      </c>
      <c r="O3366">
        <v>-196069133</v>
      </c>
      <c r="P3366">
        <v>91</v>
      </c>
      <c r="Q3366" t="s">
        <v>6776</v>
      </c>
    </row>
    <row r="3367" spans="1:17" x14ac:dyDescent="0.3">
      <c r="A3367" t="s">
        <v>4382</v>
      </c>
      <c r="B3367" t="str">
        <f>"002685"</f>
        <v>002685</v>
      </c>
      <c r="C3367" t="s">
        <v>6777</v>
      </c>
      <c r="D3367" t="s">
        <v>78</v>
      </c>
      <c r="F3367">
        <v>-183886741</v>
      </c>
      <c r="G3367">
        <v>-135842672</v>
      </c>
      <c r="H3367">
        <v>-194417122</v>
      </c>
      <c r="I3367">
        <v>-211844465</v>
      </c>
      <c r="J3367">
        <v>-142535292</v>
      </c>
      <c r="K3367">
        <v>62849307</v>
      </c>
      <c r="L3367">
        <v>-195909210</v>
      </c>
      <c r="M3367">
        <v>10890134</v>
      </c>
      <c r="N3367">
        <v>-23286756</v>
      </c>
      <c r="O3367">
        <v>-156955670</v>
      </c>
      <c r="P3367">
        <v>109</v>
      </c>
      <c r="Q3367" t="s">
        <v>6778</v>
      </c>
    </row>
    <row r="3368" spans="1:17" x14ac:dyDescent="0.3">
      <c r="A3368" t="s">
        <v>4382</v>
      </c>
      <c r="B3368" t="str">
        <f>"002686"</f>
        <v>002686</v>
      </c>
      <c r="C3368" t="s">
        <v>6779</v>
      </c>
      <c r="D3368" t="s">
        <v>78</v>
      </c>
      <c r="F3368">
        <v>68118871</v>
      </c>
      <c r="G3368">
        <v>54487843</v>
      </c>
      <c r="H3368">
        <v>173464578</v>
      </c>
      <c r="I3368">
        <v>-81496688</v>
      </c>
      <c r="J3368">
        <v>-11294982</v>
      </c>
      <c r="K3368">
        <v>97883183</v>
      </c>
      <c r="L3368">
        <v>-29222215</v>
      </c>
      <c r="M3368">
        <v>12636197</v>
      </c>
      <c r="N3368">
        <v>-5507540</v>
      </c>
      <c r="O3368">
        <v>-21352807</v>
      </c>
      <c r="P3368">
        <v>78</v>
      </c>
      <c r="Q3368" t="s">
        <v>6780</v>
      </c>
    </row>
    <row r="3369" spans="1:17" x14ac:dyDescent="0.3">
      <c r="A3369" t="s">
        <v>4382</v>
      </c>
      <c r="B3369" t="str">
        <f>"002687"</f>
        <v>002687</v>
      </c>
      <c r="C3369" t="s">
        <v>6781</v>
      </c>
      <c r="D3369" t="s">
        <v>227</v>
      </c>
      <c r="F3369">
        <v>-154906955</v>
      </c>
      <c r="G3369">
        <v>-67334038</v>
      </c>
      <c r="H3369">
        <v>-130615706</v>
      </c>
      <c r="I3369">
        <v>-155148636</v>
      </c>
      <c r="J3369">
        <v>-75967516</v>
      </c>
      <c r="K3369">
        <v>-113357897</v>
      </c>
      <c r="L3369">
        <v>-129680126</v>
      </c>
      <c r="M3369">
        <v>-90018259</v>
      </c>
      <c r="N3369">
        <v>-91149870</v>
      </c>
      <c r="O3369">
        <v>-91190393</v>
      </c>
      <c r="P3369">
        <v>127</v>
      </c>
      <c r="Q3369" t="s">
        <v>6782</v>
      </c>
    </row>
    <row r="3370" spans="1:17" x14ac:dyDescent="0.3">
      <c r="A3370" t="s">
        <v>4382</v>
      </c>
      <c r="B3370" t="str">
        <f>"002688"</f>
        <v>002688</v>
      </c>
      <c r="C3370" t="s">
        <v>6783</v>
      </c>
      <c r="D3370" t="s">
        <v>205</v>
      </c>
      <c r="F3370">
        <v>-77105888</v>
      </c>
      <c r="G3370">
        <v>31050770</v>
      </c>
      <c r="H3370">
        <v>105700291</v>
      </c>
      <c r="I3370">
        <v>-48598860</v>
      </c>
      <c r="J3370">
        <v>-101347041</v>
      </c>
      <c r="K3370">
        <v>26089627</v>
      </c>
      <c r="L3370">
        <v>-9043057</v>
      </c>
      <c r="M3370">
        <v>-47524478</v>
      </c>
      <c r="N3370">
        <v>17531842</v>
      </c>
      <c r="O3370">
        <v>53885747</v>
      </c>
      <c r="P3370">
        <v>167</v>
      </c>
      <c r="Q3370" t="s">
        <v>6784</v>
      </c>
    </row>
    <row r="3371" spans="1:17" x14ac:dyDescent="0.3">
      <c r="A3371" t="s">
        <v>4382</v>
      </c>
      <c r="B3371" t="str">
        <f>"002689"</f>
        <v>002689</v>
      </c>
      <c r="C3371" t="s">
        <v>6785</v>
      </c>
      <c r="D3371" t="s">
        <v>78</v>
      </c>
      <c r="F3371">
        <v>6499799</v>
      </c>
      <c r="G3371">
        <v>47894515</v>
      </c>
      <c r="H3371">
        <v>-64708727</v>
      </c>
      <c r="I3371">
        <v>-31599491</v>
      </c>
      <c r="J3371">
        <v>-35821294</v>
      </c>
      <c r="K3371">
        <v>-4712175</v>
      </c>
      <c r="L3371">
        <v>-15803073</v>
      </c>
      <c r="M3371">
        <v>52660846</v>
      </c>
      <c r="N3371">
        <v>-136039417</v>
      </c>
      <c r="O3371">
        <v>10854673</v>
      </c>
      <c r="P3371">
        <v>87</v>
      </c>
      <c r="Q3371" t="s">
        <v>6786</v>
      </c>
    </row>
    <row r="3372" spans="1:17" x14ac:dyDescent="0.3">
      <c r="A3372" t="s">
        <v>4382</v>
      </c>
      <c r="B3372" t="str">
        <f>"002690"</f>
        <v>002690</v>
      </c>
      <c r="C3372" t="s">
        <v>6787</v>
      </c>
      <c r="D3372" t="s">
        <v>78</v>
      </c>
      <c r="F3372">
        <v>257326736</v>
      </c>
      <c r="G3372">
        <v>145509976</v>
      </c>
      <c r="H3372">
        <v>220097762</v>
      </c>
      <c r="I3372">
        <v>254838991</v>
      </c>
      <c r="J3372">
        <v>254187704</v>
      </c>
      <c r="K3372">
        <v>152712391</v>
      </c>
      <c r="L3372">
        <v>92743512</v>
      </c>
      <c r="M3372">
        <v>136635696</v>
      </c>
      <c r="N3372">
        <v>79456217</v>
      </c>
      <c r="O3372">
        <v>74369995</v>
      </c>
      <c r="P3372">
        <v>3638</v>
      </c>
      <c r="Q3372" t="s">
        <v>6788</v>
      </c>
    </row>
    <row r="3373" spans="1:17" x14ac:dyDescent="0.3">
      <c r="A3373" t="s">
        <v>4382</v>
      </c>
      <c r="B3373" t="str">
        <f>"002691"</f>
        <v>002691</v>
      </c>
      <c r="C3373" t="s">
        <v>6789</v>
      </c>
      <c r="D3373" t="s">
        <v>78</v>
      </c>
      <c r="F3373">
        <v>17770629</v>
      </c>
      <c r="G3373">
        <v>-12887192</v>
      </c>
      <c r="H3373">
        <v>-88088942</v>
      </c>
      <c r="I3373">
        <v>-18980982</v>
      </c>
      <c r="J3373">
        <v>-14545343</v>
      </c>
      <c r="K3373">
        <v>-90015178</v>
      </c>
      <c r="L3373">
        <v>-139420726</v>
      </c>
      <c r="M3373">
        <v>26704576</v>
      </c>
      <c r="N3373">
        <v>-41846758</v>
      </c>
      <c r="O3373">
        <v>16303250</v>
      </c>
      <c r="P3373">
        <v>54</v>
      </c>
      <c r="Q3373" t="s">
        <v>6790</v>
      </c>
    </row>
    <row r="3374" spans="1:17" x14ac:dyDescent="0.3">
      <c r="A3374" t="s">
        <v>4382</v>
      </c>
      <c r="B3374" t="str">
        <f>"002692"</f>
        <v>002692</v>
      </c>
      <c r="C3374" t="s">
        <v>6791</v>
      </c>
      <c r="D3374" t="s">
        <v>188</v>
      </c>
      <c r="F3374">
        <v>-72122051</v>
      </c>
      <c r="G3374">
        <v>-119545586</v>
      </c>
      <c r="H3374">
        <v>-169887652</v>
      </c>
      <c r="I3374">
        <v>-16596929</v>
      </c>
      <c r="J3374">
        <v>-275987651</v>
      </c>
      <c r="K3374">
        <v>-126401961</v>
      </c>
      <c r="L3374">
        <v>-28438182</v>
      </c>
      <c r="M3374">
        <v>-295220615</v>
      </c>
      <c r="N3374">
        <v>-295855743</v>
      </c>
      <c r="O3374">
        <v>-373016362</v>
      </c>
      <c r="P3374">
        <v>53</v>
      </c>
      <c r="Q3374" t="s">
        <v>6792</v>
      </c>
    </row>
    <row r="3375" spans="1:17" x14ac:dyDescent="0.3">
      <c r="A3375" t="s">
        <v>4382</v>
      </c>
      <c r="B3375" t="str">
        <f>"002693"</f>
        <v>002693</v>
      </c>
      <c r="C3375" t="s">
        <v>6793</v>
      </c>
      <c r="D3375" t="s">
        <v>113</v>
      </c>
      <c r="F3375">
        <v>13178609</v>
      </c>
      <c r="G3375">
        <v>-36942571</v>
      </c>
      <c r="H3375">
        <v>7351907</v>
      </c>
      <c r="I3375">
        <v>-4833622</v>
      </c>
      <c r="J3375">
        <v>-102476095</v>
      </c>
      <c r="K3375">
        <v>-129132527</v>
      </c>
      <c r="L3375">
        <v>-195469152</v>
      </c>
      <c r="M3375">
        <v>-42934552</v>
      </c>
      <c r="N3375">
        <v>-5023454</v>
      </c>
      <c r="O3375">
        <v>255315</v>
      </c>
      <c r="P3375">
        <v>95</v>
      </c>
      <c r="Q3375" t="s">
        <v>6794</v>
      </c>
    </row>
    <row r="3376" spans="1:17" x14ac:dyDescent="0.3">
      <c r="A3376" t="s">
        <v>4382</v>
      </c>
      <c r="B3376" t="str">
        <f>"002694"</f>
        <v>002694</v>
      </c>
      <c r="C3376" t="s">
        <v>6795</v>
      </c>
      <c r="D3376" t="s">
        <v>350</v>
      </c>
      <c r="F3376">
        <v>-20609511</v>
      </c>
      <c r="G3376">
        <v>23300657</v>
      </c>
      <c r="H3376">
        <v>34437400</v>
      </c>
      <c r="I3376">
        <v>-94744330</v>
      </c>
      <c r="J3376">
        <v>-570990438</v>
      </c>
      <c r="K3376">
        <v>-75727140</v>
      </c>
      <c r="L3376">
        <v>-96921116</v>
      </c>
      <c r="M3376">
        <v>-268096248</v>
      </c>
      <c r="N3376">
        <v>-231269960</v>
      </c>
      <c r="O3376">
        <v>-178020633</v>
      </c>
      <c r="P3376">
        <v>71</v>
      </c>
      <c r="Q3376" t="s">
        <v>6796</v>
      </c>
    </row>
    <row r="3377" spans="1:17" x14ac:dyDescent="0.3">
      <c r="A3377" t="s">
        <v>4382</v>
      </c>
      <c r="B3377" t="str">
        <f>"002695"</f>
        <v>002695</v>
      </c>
      <c r="C3377" t="s">
        <v>6797</v>
      </c>
      <c r="D3377" t="s">
        <v>123</v>
      </c>
      <c r="F3377">
        <v>344082515</v>
      </c>
      <c r="G3377">
        <v>215687567</v>
      </c>
      <c r="H3377">
        <v>215737943</v>
      </c>
      <c r="I3377">
        <v>296105231</v>
      </c>
      <c r="J3377">
        <v>210701486</v>
      </c>
      <c r="K3377">
        <v>106747550</v>
      </c>
      <c r="L3377">
        <v>24378146</v>
      </c>
      <c r="M3377">
        <v>108501838</v>
      </c>
      <c r="N3377">
        <v>56106953</v>
      </c>
      <c r="O3377">
        <v>34187954</v>
      </c>
      <c r="P3377">
        <v>623</v>
      </c>
      <c r="Q3377" t="s">
        <v>6798</v>
      </c>
    </row>
    <row r="3378" spans="1:17" x14ac:dyDescent="0.3">
      <c r="A3378" t="s">
        <v>4382</v>
      </c>
      <c r="B3378" t="str">
        <f>"002696"</f>
        <v>002696</v>
      </c>
      <c r="C3378" t="s">
        <v>6799</v>
      </c>
      <c r="D3378" t="s">
        <v>205</v>
      </c>
      <c r="F3378">
        <v>-113249664</v>
      </c>
      <c r="G3378">
        <v>-60926407</v>
      </c>
      <c r="H3378">
        <v>103658081</v>
      </c>
      <c r="I3378">
        <v>11630478</v>
      </c>
      <c r="J3378">
        <v>78122195</v>
      </c>
      <c r="K3378">
        <v>47180759</v>
      </c>
      <c r="L3378">
        <v>-70138177</v>
      </c>
      <c r="M3378">
        <v>-313563123</v>
      </c>
      <c r="N3378">
        <v>-146904414</v>
      </c>
      <c r="O3378">
        <v>-39274083</v>
      </c>
      <c r="P3378">
        <v>93</v>
      </c>
      <c r="Q3378" t="s">
        <v>6800</v>
      </c>
    </row>
    <row r="3379" spans="1:17" x14ac:dyDescent="0.3">
      <c r="A3379" t="s">
        <v>4382</v>
      </c>
      <c r="B3379" t="str">
        <f>"002697"</f>
        <v>002697</v>
      </c>
      <c r="C3379" t="s">
        <v>6801</v>
      </c>
      <c r="D3379" t="s">
        <v>120</v>
      </c>
      <c r="F3379">
        <v>587510473</v>
      </c>
      <c r="G3379">
        <v>-89002040</v>
      </c>
      <c r="H3379">
        <v>-32088453</v>
      </c>
      <c r="I3379">
        <v>389436033</v>
      </c>
      <c r="J3379">
        <v>121016996</v>
      </c>
      <c r="K3379">
        <v>-181330231</v>
      </c>
      <c r="L3379">
        <v>-482984786</v>
      </c>
      <c r="M3379">
        <v>110018838</v>
      </c>
      <c r="N3379">
        <v>31325716</v>
      </c>
      <c r="O3379">
        <v>58385105</v>
      </c>
      <c r="P3379">
        <v>503</v>
      </c>
      <c r="Q3379" t="s">
        <v>6802</v>
      </c>
    </row>
    <row r="3380" spans="1:17" x14ac:dyDescent="0.3">
      <c r="A3380" t="s">
        <v>4382</v>
      </c>
      <c r="B3380" t="str">
        <f>"002698"</f>
        <v>002698</v>
      </c>
      <c r="C3380" t="s">
        <v>6803</v>
      </c>
      <c r="D3380" t="s">
        <v>78</v>
      </c>
      <c r="F3380">
        <v>293670029</v>
      </c>
      <c r="G3380">
        <v>18783316</v>
      </c>
      <c r="H3380">
        <v>145241458</v>
      </c>
      <c r="I3380">
        <v>145589637</v>
      </c>
      <c r="J3380">
        <v>26029419</v>
      </c>
      <c r="K3380">
        <v>29650503</v>
      </c>
      <c r="L3380">
        <v>42991206</v>
      </c>
      <c r="M3380">
        <v>39981799</v>
      </c>
      <c r="N3380">
        <v>114423660</v>
      </c>
      <c r="O3380">
        <v>-54068019</v>
      </c>
      <c r="P3380">
        <v>271</v>
      </c>
      <c r="Q3380" t="s">
        <v>6804</v>
      </c>
    </row>
    <row r="3381" spans="1:17" x14ac:dyDescent="0.3">
      <c r="A3381" t="s">
        <v>4382</v>
      </c>
      <c r="B3381" t="str">
        <f>"002699"</f>
        <v>002699</v>
      </c>
      <c r="C3381" t="s">
        <v>6805</v>
      </c>
      <c r="D3381" t="s">
        <v>89</v>
      </c>
      <c r="F3381">
        <v>-191439994</v>
      </c>
      <c r="G3381">
        <v>-50706190</v>
      </c>
      <c r="H3381">
        <v>-214382240</v>
      </c>
      <c r="I3381">
        <v>-35997808</v>
      </c>
      <c r="J3381">
        <v>39378726</v>
      </c>
      <c r="K3381">
        <v>-44697764</v>
      </c>
      <c r="L3381">
        <v>2809041</v>
      </c>
      <c r="M3381">
        <v>-10286949</v>
      </c>
      <c r="N3381">
        <v>-87254588</v>
      </c>
      <c r="O3381">
        <v>29408931</v>
      </c>
      <c r="P3381">
        <v>157</v>
      </c>
      <c r="Q3381" t="s">
        <v>6806</v>
      </c>
    </row>
    <row r="3382" spans="1:17" x14ac:dyDescent="0.3">
      <c r="A3382" t="s">
        <v>4382</v>
      </c>
      <c r="B3382" t="str">
        <f>"002700"</f>
        <v>002700</v>
      </c>
      <c r="C3382" t="s">
        <v>6807</v>
      </c>
      <c r="D3382" t="s">
        <v>41</v>
      </c>
      <c r="F3382">
        <v>621596</v>
      </c>
      <c r="G3382">
        <v>141422816</v>
      </c>
      <c r="H3382">
        <v>1928921</v>
      </c>
      <c r="I3382">
        <v>63535902</v>
      </c>
      <c r="J3382">
        <v>-32739627</v>
      </c>
      <c r="K3382">
        <v>31500347</v>
      </c>
      <c r="L3382">
        <v>33518473</v>
      </c>
      <c r="M3382">
        <v>35133415</v>
      </c>
      <c r="N3382">
        <v>11896811</v>
      </c>
      <c r="O3382">
        <v>-7018121</v>
      </c>
      <c r="P3382">
        <v>53</v>
      </c>
      <c r="Q3382" t="s">
        <v>6808</v>
      </c>
    </row>
    <row r="3383" spans="1:17" x14ac:dyDescent="0.3">
      <c r="A3383" t="s">
        <v>4382</v>
      </c>
      <c r="B3383" t="str">
        <f>"002701"</f>
        <v>002701</v>
      </c>
      <c r="C3383" t="s">
        <v>6809</v>
      </c>
      <c r="D3383" t="s">
        <v>161</v>
      </c>
      <c r="F3383">
        <v>775072167</v>
      </c>
      <c r="G3383">
        <v>31771875</v>
      </c>
      <c r="H3383">
        <v>991058488</v>
      </c>
      <c r="I3383">
        <v>1242524661</v>
      </c>
      <c r="J3383">
        <v>1261873907</v>
      </c>
      <c r="K3383">
        <v>53095441</v>
      </c>
      <c r="L3383">
        <v>-190908339</v>
      </c>
      <c r="M3383">
        <v>-38206399</v>
      </c>
      <c r="N3383">
        <v>-689655956</v>
      </c>
      <c r="O3383">
        <v>-65620540</v>
      </c>
      <c r="P3383">
        <v>1656</v>
      </c>
      <c r="Q3383" t="s">
        <v>6810</v>
      </c>
    </row>
    <row r="3384" spans="1:17" x14ac:dyDescent="0.3">
      <c r="A3384" t="s">
        <v>4382</v>
      </c>
      <c r="B3384" t="str">
        <f>"002702"</f>
        <v>002702</v>
      </c>
      <c r="C3384" t="s">
        <v>6811</v>
      </c>
      <c r="D3384" t="s">
        <v>123</v>
      </c>
      <c r="F3384">
        <v>-210917645</v>
      </c>
      <c r="G3384">
        <v>23610839</v>
      </c>
      <c r="H3384">
        <v>-68361336</v>
      </c>
      <c r="I3384">
        <v>12179473</v>
      </c>
      <c r="J3384">
        <v>-43240665</v>
      </c>
      <c r="K3384">
        <v>57267029</v>
      </c>
      <c r="L3384">
        <v>-30656386</v>
      </c>
      <c r="M3384">
        <v>-76978529</v>
      </c>
      <c r="N3384">
        <v>-74118267</v>
      </c>
      <c r="O3384">
        <v>29255588</v>
      </c>
      <c r="P3384">
        <v>186</v>
      </c>
      <c r="Q3384" t="s">
        <v>6812</v>
      </c>
    </row>
    <row r="3385" spans="1:17" x14ac:dyDescent="0.3">
      <c r="A3385" t="s">
        <v>4382</v>
      </c>
      <c r="B3385" t="str">
        <f>"002703"</f>
        <v>002703</v>
      </c>
      <c r="C3385" t="s">
        <v>6813</v>
      </c>
      <c r="D3385" t="s">
        <v>27</v>
      </c>
      <c r="F3385">
        <v>48973525</v>
      </c>
      <c r="G3385">
        <v>-2297487</v>
      </c>
      <c r="H3385">
        <v>-79383254</v>
      </c>
      <c r="I3385">
        <v>-115883467</v>
      </c>
      <c r="J3385">
        <v>-108019493</v>
      </c>
      <c r="K3385">
        <v>-29793802</v>
      </c>
      <c r="L3385">
        <v>26353013</v>
      </c>
      <c r="M3385">
        <v>-20124599</v>
      </c>
      <c r="N3385">
        <v>-7892682</v>
      </c>
      <c r="O3385">
        <v>-25155421</v>
      </c>
      <c r="P3385">
        <v>76</v>
      </c>
      <c r="Q3385" t="s">
        <v>6814</v>
      </c>
    </row>
    <row r="3386" spans="1:17" x14ac:dyDescent="0.3">
      <c r="A3386" t="s">
        <v>4382</v>
      </c>
      <c r="B3386" t="str">
        <f>"002705"</f>
        <v>002705</v>
      </c>
      <c r="C3386" t="s">
        <v>6815</v>
      </c>
      <c r="D3386" t="s">
        <v>126</v>
      </c>
      <c r="F3386">
        <v>-828324372</v>
      </c>
      <c r="G3386">
        <v>886238475</v>
      </c>
      <c r="H3386">
        <v>673321201</v>
      </c>
      <c r="I3386">
        <v>-488512102</v>
      </c>
      <c r="J3386">
        <v>105625607</v>
      </c>
      <c r="K3386">
        <v>393746313</v>
      </c>
      <c r="L3386">
        <v>313109157</v>
      </c>
      <c r="M3386">
        <v>-198604368</v>
      </c>
      <c r="N3386">
        <v>219047043</v>
      </c>
      <c r="P3386">
        <v>1093</v>
      </c>
      <c r="Q3386" t="s">
        <v>6816</v>
      </c>
    </row>
    <row r="3387" spans="1:17" x14ac:dyDescent="0.3">
      <c r="A3387" t="s">
        <v>4382</v>
      </c>
      <c r="B3387" t="str">
        <f>"002706"</f>
        <v>002706</v>
      </c>
      <c r="C3387" t="s">
        <v>6817</v>
      </c>
      <c r="D3387" t="s">
        <v>188</v>
      </c>
      <c r="F3387">
        <v>-411788638</v>
      </c>
      <c r="G3387">
        <v>210894810</v>
      </c>
      <c r="H3387">
        <v>73462620</v>
      </c>
      <c r="I3387">
        <v>11643838</v>
      </c>
      <c r="J3387">
        <v>43845668</v>
      </c>
      <c r="K3387">
        <v>4295746</v>
      </c>
      <c r="L3387">
        <v>16432043</v>
      </c>
      <c r="M3387">
        <v>1910951</v>
      </c>
      <c r="N3387">
        <v>-24302702</v>
      </c>
      <c r="O3387">
        <v>37872186</v>
      </c>
      <c r="P3387">
        <v>764</v>
      </c>
      <c r="Q3387" t="s">
        <v>6818</v>
      </c>
    </row>
    <row r="3388" spans="1:17" x14ac:dyDescent="0.3">
      <c r="A3388" t="s">
        <v>4382</v>
      </c>
      <c r="B3388" t="str">
        <f>"002707"</f>
        <v>002707</v>
      </c>
      <c r="C3388" t="s">
        <v>6819</v>
      </c>
      <c r="D3388" t="s">
        <v>110</v>
      </c>
      <c r="F3388">
        <v>-217059419</v>
      </c>
      <c r="G3388">
        <v>112126663</v>
      </c>
      <c r="H3388">
        <v>79214370</v>
      </c>
      <c r="I3388">
        <v>-216827250</v>
      </c>
      <c r="J3388">
        <v>306416004</v>
      </c>
      <c r="K3388">
        <v>-154467084</v>
      </c>
      <c r="L3388">
        <v>-95566255</v>
      </c>
      <c r="M3388">
        <v>-50141055</v>
      </c>
      <c r="N3388">
        <v>4014341</v>
      </c>
      <c r="P3388">
        <v>295</v>
      </c>
      <c r="Q3388" t="s">
        <v>6820</v>
      </c>
    </row>
    <row r="3389" spans="1:17" x14ac:dyDescent="0.3">
      <c r="A3389" t="s">
        <v>4382</v>
      </c>
      <c r="B3389" t="str">
        <f>"002708"</f>
        <v>002708</v>
      </c>
      <c r="C3389" t="s">
        <v>6821</v>
      </c>
      <c r="D3389" t="s">
        <v>27</v>
      </c>
      <c r="F3389">
        <v>-137850584</v>
      </c>
      <c r="G3389">
        <v>94220658</v>
      </c>
      <c r="H3389">
        <v>79175101</v>
      </c>
      <c r="I3389">
        <v>94116028</v>
      </c>
      <c r="J3389">
        <v>54749246</v>
      </c>
      <c r="K3389">
        <v>-8489710</v>
      </c>
      <c r="L3389">
        <v>-50174660</v>
      </c>
      <c r="M3389">
        <v>-224957</v>
      </c>
      <c r="N3389">
        <v>7272585</v>
      </c>
      <c r="P3389">
        <v>91</v>
      </c>
      <c r="Q3389" t="s">
        <v>6822</v>
      </c>
    </row>
    <row r="3390" spans="1:17" x14ac:dyDescent="0.3">
      <c r="A3390" t="s">
        <v>4382</v>
      </c>
      <c r="B3390" t="str">
        <f>"002709"</f>
        <v>002709</v>
      </c>
      <c r="C3390" t="s">
        <v>6823</v>
      </c>
      <c r="D3390" t="s">
        <v>188</v>
      </c>
      <c r="F3390">
        <v>90632212</v>
      </c>
      <c r="G3390">
        <v>287725370</v>
      </c>
      <c r="H3390">
        <v>-266057956</v>
      </c>
      <c r="I3390">
        <v>-956643332</v>
      </c>
      <c r="J3390">
        <v>-271436967</v>
      </c>
      <c r="K3390">
        <v>-16791697</v>
      </c>
      <c r="L3390">
        <v>-59939815</v>
      </c>
      <c r="M3390">
        <v>-61479181</v>
      </c>
      <c r="N3390">
        <v>-37033319</v>
      </c>
      <c r="O3390">
        <v>65797546</v>
      </c>
      <c r="P3390">
        <v>1069</v>
      </c>
      <c r="Q3390" t="s">
        <v>6824</v>
      </c>
    </row>
    <row r="3391" spans="1:17" x14ac:dyDescent="0.3">
      <c r="A3391" t="s">
        <v>4382</v>
      </c>
      <c r="B3391" t="str">
        <f>"002710"</f>
        <v>002710</v>
      </c>
      <c r="C3391" t="s">
        <v>6825</v>
      </c>
      <c r="D3391" t="s">
        <v>113</v>
      </c>
      <c r="N3391">
        <v>-30119283</v>
      </c>
      <c r="P3391">
        <v>8</v>
      </c>
      <c r="Q3391" t="s">
        <v>6826</v>
      </c>
    </row>
    <row r="3392" spans="1:17" x14ac:dyDescent="0.3">
      <c r="A3392" t="s">
        <v>4382</v>
      </c>
      <c r="B3392" t="str">
        <f>"002711"</f>
        <v>002711</v>
      </c>
      <c r="C3392" t="s">
        <v>6827</v>
      </c>
      <c r="G3392">
        <v>55189621</v>
      </c>
      <c r="H3392">
        <v>-18457229</v>
      </c>
      <c r="I3392">
        <v>71332131</v>
      </c>
      <c r="J3392">
        <v>-182596773</v>
      </c>
      <c r="K3392">
        <v>-69661369</v>
      </c>
      <c r="L3392">
        <v>388926612</v>
      </c>
      <c r="M3392">
        <v>-296355355</v>
      </c>
      <c r="N3392">
        <v>38565888</v>
      </c>
      <c r="O3392">
        <v>42532800</v>
      </c>
      <c r="P3392">
        <v>74</v>
      </c>
      <c r="Q3392" t="s">
        <v>6828</v>
      </c>
    </row>
    <row r="3393" spans="1:17" x14ac:dyDescent="0.3">
      <c r="A3393" t="s">
        <v>4382</v>
      </c>
      <c r="B3393" t="str">
        <f>"002712"</f>
        <v>002712</v>
      </c>
      <c r="C3393" t="s">
        <v>6829</v>
      </c>
      <c r="D3393" t="s">
        <v>89</v>
      </c>
      <c r="F3393">
        <v>-275727224</v>
      </c>
      <c r="G3393">
        <v>-300425894</v>
      </c>
      <c r="H3393">
        <v>253389486</v>
      </c>
      <c r="I3393">
        <v>79908180</v>
      </c>
      <c r="J3393">
        <v>-134063132</v>
      </c>
      <c r="K3393">
        <v>86900270</v>
      </c>
      <c r="L3393">
        <v>-21722606</v>
      </c>
      <c r="M3393">
        <v>-390825245</v>
      </c>
      <c r="N3393">
        <v>-172053155</v>
      </c>
      <c r="P3393">
        <v>107</v>
      </c>
      <c r="Q3393" t="s">
        <v>6830</v>
      </c>
    </row>
    <row r="3394" spans="1:17" x14ac:dyDescent="0.3">
      <c r="A3394" t="s">
        <v>4382</v>
      </c>
      <c r="B3394" t="str">
        <f>"002713"</f>
        <v>002713</v>
      </c>
      <c r="C3394" t="s">
        <v>6831</v>
      </c>
      <c r="D3394" t="s">
        <v>95</v>
      </c>
      <c r="F3394">
        <v>134248661</v>
      </c>
      <c r="G3394">
        <v>164279931</v>
      </c>
      <c r="H3394">
        <v>177946330</v>
      </c>
      <c r="I3394">
        <v>284209030</v>
      </c>
      <c r="J3394">
        <v>244165087</v>
      </c>
      <c r="K3394">
        <v>378865922</v>
      </c>
      <c r="L3394">
        <v>113972653</v>
      </c>
      <c r="M3394">
        <v>1059413</v>
      </c>
      <c r="N3394">
        <v>236745900</v>
      </c>
      <c r="O3394">
        <v>38024900</v>
      </c>
      <c r="P3394">
        <v>268</v>
      </c>
      <c r="Q3394" t="s">
        <v>6832</v>
      </c>
    </row>
    <row r="3395" spans="1:17" x14ac:dyDescent="0.3">
      <c r="A3395" t="s">
        <v>4382</v>
      </c>
      <c r="B3395" t="str">
        <f>"002714"</f>
        <v>002714</v>
      </c>
      <c r="C3395" t="s">
        <v>6833</v>
      </c>
      <c r="D3395" t="s">
        <v>205</v>
      </c>
      <c r="F3395">
        <v>-14918920809</v>
      </c>
      <c r="G3395">
        <v>-12580877228</v>
      </c>
      <c r="H3395">
        <v>-1047453454</v>
      </c>
      <c r="I3395">
        <v>-2701264870</v>
      </c>
      <c r="J3395">
        <v>-2789769685</v>
      </c>
      <c r="K3395">
        <v>-1750704937</v>
      </c>
      <c r="L3395">
        <v>-821422774</v>
      </c>
      <c r="M3395">
        <v>-313833299</v>
      </c>
      <c r="N3395">
        <v>-808958219</v>
      </c>
      <c r="P3395">
        <v>4956</v>
      </c>
      <c r="Q3395" t="s">
        <v>6834</v>
      </c>
    </row>
    <row r="3396" spans="1:17" x14ac:dyDescent="0.3">
      <c r="A3396" t="s">
        <v>4382</v>
      </c>
      <c r="B3396" t="str">
        <f>"002715"</f>
        <v>002715</v>
      </c>
      <c r="C3396" t="s">
        <v>6835</v>
      </c>
      <c r="D3396" t="s">
        <v>27</v>
      </c>
      <c r="F3396">
        <v>-30855140</v>
      </c>
      <c r="G3396">
        <v>5027479</v>
      </c>
      <c r="H3396">
        <v>41046447</v>
      </c>
      <c r="I3396">
        <v>1119739</v>
      </c>
      <c r="J3396">
        <v>9133874</v>
      </c>
      <c r="K3396">
        <v>15770872</v>
      </c>
      <c r="L3396">
        <v>-31507148</v>
      </c>
      <c r="M3396">
        <v>-17970565</v>
      </c>
      <c r="N3396">
        <v>7416880</v>
      </c>
      <c r="P3396">
        <v>61</v>
      </c>
      <c r="Q3396" t="s">
        <v>6836</v>
      </c>
    </row>
    <row r="3397" spans="1:17" x14ac:dyDescent="0.3">
      <c r="A3397" t="s">
        <v>4382</v>
      </c>
      <c r="B3397" t="str">
        <f>"002716"</f>
        <v>002716</v>
      </c>
      <c r="C3397" t="s">
        <v>6837</v>
      </c>
      <c r="D3397" t="s">
        <v>234</v>
      </c>
      <c r="F3397">
        <v>3300085</v>
      </c>
      <c r="G3397">
        <v>7332432</v>
      </c>
      <c r="H3397">
        <v>-265805853</v>
      </c>
      <c r="I3397">
        <v>-346949308</v>
      </c>
      <c r="J3397">
        <v>209962094</v>
      </c>
      <c r="K3397">
        <v>-148859651</v>
      </c>
      <c r="L3397">
        <v>288508276</v>
      </c>
      <c r="M3397">
        <v>11811648</v>
      </c>
      <c r="N3397">
        <v>168169553</v>
      </c>
      <c r="O3397">
        <v>-529859793</v>
      </c>
      <c r="P3397">
        <v>129</v>
      </c>
      <c r="Q3397" t="s">
        <v>6838</v>
      </c>
    </row>
    <row r="3398" spans="1:17" x14ac:dyDescent="0.3">
      <c r="A3398" t="s">
        <v>4382</v>
      </c>
      <c r="B3398" t="str">
        <f>"002717"</f>
        <v>002717</v>
      </c>
      <c r="C3398" t="s">
        <v>6839</v>
      </c>
      <c r="D3398" t="s">
        <v>95</v>
      </c>
      <c r="F3398">
        <v>-601302984</v>
      </c>
      <c r="G3398">
        <v>-424919628</v>
      </c>
      <c r="H3398">
        <v>-232969275</v>
      </c>
      <c r="I3398">
        <v>-226800223</v>
      </c>
      <c r="J3398">
        <v>-749550603</v>
      </c>
      <c r="K3398">
        <v>-11780109</v>
      </c>
      <c r="L3398">
        <v>-230787777</v>
      </c>
      <c r="M3398">
        <v>-214333048</v>
      </c>
      <c r="N3398">
        <v>-104872604</v>
      </c>
      <c r="P3398">
        <v>394</v>
      </c>
      <c r="Q3398" t="s">
        <v>6840</v>
      </c>
    </row>
    <row r="3399" spans="1:17" x14ac:dyDescent="0.3">
      <c r="A3399" t="s">
        <v>4382</v>
      </c>
      <c r="B3399" t="str">
        <f>"002718"</f>
        <v>002718</v>
      </c>
      <c r="C3399" t="s">
        <v>6841</v>
      </c>
      <c r="D3399" t="s">
        <v>350</v>
      </c>
      <c r="F3399">
        <v>-176713571</v>
      </c>
      <c r="G3399">
        <v>-77869894</v>
      </c>
      <c r="H3399">
        <v>-157075660</v>
      </c>
      <c r="I3399">
        <v>-241813113</v>
      </c>
      <c r="J3399">
        <v>109386308</v>
      </c>
      <c r="K3399">
        <v>-66141854</v>
      </c>
      <c r="L3399">
        <v>58086021</v>
      </c>
      <c r="M3399">
        <v>62707750</v>
      </c>
      <c r="N3399">
        <v>29202976</v>
      </c>
      <c r="P3399">
        <v>170</v>
      </c>
      <c r="Q3399" t="s">
        <v>6842</v>
      </c>
    </row>
    <row r="3400" spans="1:17" x14ac:dyDescent="0.3">
      <c r="A3400" t="s">
        <v>4382</v>
      </c>
      <c r="B3400" t="str">
        <f>"002719"</f>
        <v>002719</v>
      </c>
      <c r="C3400" t="s">
        <v>6843</v>
      </c>
      <c r="D3400" t="s">
        <v>123</v>
      </c>
      <c r="F3400">
        <v>-38759895</v>
      </c>
      <c r="G3400">
        <v>-102355370</v>
      </c>
      <c r="H3400">
        <v>-84170627</v>
      </c>
      <c r="I3400">
        <v>-27314134</v>
      </c>
      <c r="J3400">
        <v>-67231376</v>
      </c>
      <c r="K3400">
        <v>-25562456</v>
      </c>
      <c r="L3400">
        <v>21433462</v>
      </c>
      <c r="M3400">
        <v>7380871</v>
      </c>
      <c r="N3400">
        <v>26992860</v>
      </c>
      <c r="P3400">
        <v>97</v>
      </c>
      <c r="Q3400" t="s">
        <v>6844</v>
      </c>
    </row>
    <row r="3401" spans="1:17" x14ac:dyDescent="0.3">
      <c r="A3401" t="s">
        <v>4382</v>
      </c>
      <c r="B3401" t="str">
        <f>"002720"</f>
        <v>002720</v>
      </c>
      <c r="C3401" t="s">
        <v>6845</v>
      </c>
      <c r="D3401" t="s">
        <v>227</v>
      </c>
      <c r="P3401">
        <v>11</v>
      </c>
      <c r="Q3401" t="s">
        <v>6846</v>
      </c>
    </row>
    <row r="3402" spans="1:17" x14ac:dyDescent="0.3">
      <c r="A3402" t="s">
        <v>4382</v>
      </c>
      <c r="B3402" t="str">
        <f>"002721"</f>
        <v>002721</v>
      </c>
      <c r="C3402" t="s">
        <v>6847</v>
      </c>
      <c r="D3402" t="s">
        <v>227</v>
      </c>
      <c r="F3402">
        <v>523383338</v>
      </c>
      <c r="G3402">
        <v>4202151</v>
      </c>
      <c r="H3402">
        <v>-2774669477</v>
      </c>
      <c r="I3402">
        <v>-242293799</v>
      </c>
      <c r="J3402">
        <v>-2051313912</v>
      </c>
      <c r="K3402">
        <v>-258347452</v>
      </c>
      <c r="L3402">
        <v>-134504491</v>
      </c>
      <c r="M3402">
        <v>-26561533</v>
      </c>
      <c r="N3402">
        <v>-50864477</v>
      </c>
      <c r="O3402">
        <v>-73446039</v>
      </c>
      <c r="P3402">
        <v>89</v>
      </c>
      <c r="Q3402" t="s">
        <v>6848</v>
      </c>
    </row>
    <row r="3403" spans="1:17" x14ac:dyDescent="0.3">
      <c r="A3403" t="s">
        <v>4382</v>
      </c>
      <c r="B3403" t="str">
        <f>"002722"</f>
        <v>002722</v>
      </c>
      <c r="C3403" t="s">
        <v>6849</v>
      </c>
      <c r="D3403" t="s">
        <v>227</v>
      </c>
      <c r="F3403">
        <v>-65463140</v>
      </c>
      <c r="G3403">
        <v>105855993</v>
      </c>
      <c r="H3403">
        <v>-70269524</v>
      </c>
      <c r="I3403">
        <v>-77881601</v>
      </c>
      <c r="J3403">
        <v>-153767238</v>
      </c>
      <c r="K3403">
        <v>-82808686</v>
      </c>
      <c r="L3403">
        <v>41662224</v>
      </c>
      <c r="M3403">
        <v>8752523</v>
      </c>
      <c r="N3403">
        <v>-10602225</v>
      </c>
      <c r="O3403">
        <v>-37854019</v>
      </c>
      <c r="P3403">
        <v>102</v>
      </c>
      <c r="Q3403" t="s">
        <v>6850</v>
      </c>
    </row>
    <row r="3404" spans="1:17" x14ac:dyDescent="0.3">
      <c r="A3404" t="s">
        <v>4382</v>
      </c>
      <c r="B3404" t="str">
        <f>"002723"</f>
        <v>002723</v>
      </c>
      <c r="C3404" t="s">
        <v>6851</v>
      </c>
      <c r="D3404" t="s">
        <v>126</v>
      </c>
      <c r="F3404">
        <v>-58939657</v>
      </c>
      <c r="G3404">
        <v>47907067</v>
      </c>
      <c r="H3404">
        <v>-5477759</v>
      </c>
      <c r="I3404">
        <v>-64995104</v>
      </c>
      <c r="J3404">
        <v>91345276</v>
      </c>
      <c r="K3404">
        <v>577691</v>
      </c>
      <c r="L3404">
        <v>-91317042</v>
      </c>
      <c r="M3404">
        <v>-42738853</v>
      </c>
      <c r="N3404">
        <v>-56591639</v>
      </c>
      <c r="O3404">
        <v>-51876851</v>
      </c>
      <c r="P3404">
        <v>92</v>
      </c>
      <c r="Q3404" t="s">
        <v>6852</v>
      </c>
    </row>
    <row r="3405" spans="1:17" x14ac:dyDescent="0.3">
      <c r="A3405" t="s">
        <v>4382</v>
      </c>
      <c r="B3405" t="str">
        <f>"002724"</f>
        <v>002724</v>
      </c>
      <c r="C3405" t="s">
        <v>6853</v>
      </c>
      <c r="D3405" t="s">
        <v>150</v>
      </c>
      <c r="F3405">
        <v>-76321565</v>
      </c>
      <c r="G3405">
        <v>61701000</v>
      </c>
      <c r="H3405">
        <v>9664127</v>
      </c>
      <c r="I3405">
        <v>-99120818</v>
      </c>
      <c r="J3405">
        <v>-6224720</v>
      </c>
      <c r="K3405">
        <v>-87431195</v>
      </c>
      <c r="L3405">
        <v>-104700143</v>
      </c>
      <c r="M3405">
        <v>-89100859</v>
      </c>
      <c r="N3405">
        <v>-63947306</v>
      </c>
      <c r="P3405">
        <v>140</v>
      </c>
      <c r="Q3405" t="s">
        <v>6854</v>
      </c>
    </row>
    <row r="3406" spans="1:17" x14ac:dyDescent="0.3">
      <c r="A3406" t="s">
        <v>4382</v>
      </c>
      <c r="B3406" t="str">
        <f>"002725"</f>
        <v>002725</v>
      </c>
      <c r="C3406" t="s">
        <v>6855</v>
      </c>
      <c r="D3406" t="s">
        <v>27</v>
      </c>
      <c r="F3406">
        <v>-73378104</v>
      </c>
      <c r="G3406">
        <v>30285565</v>
      </c>
      <c r="H3406">
        <v>46009200</v>
      </c>
      <c r="I3406">
        <v>-33096517</v>
      </c>
      <c r="J3406">
        <v>-22469269</v>
      </c>
      <c r="K3406">
        <v>-24382932</v>
      </c>
      <c r="L3406">
        <v>16519695</v>
      </c>
      <c r="M3406">
        <v>-141366185</v>
      </c>
      <c r="N3406">
        <v>38951937</v>
      </c>
      <c r="P3406">
        <v>135</v>
      </c>
      <c r="Q3406" t="s">
        <v>6856</v>
      </c>
    </row>
    <row r="3407" spans="1:17" x14ac:dyDescent="0.3">
      <c r="A3407" t="s">
        <v>4382</v>
      </c>
      <c r="B3407" t="str">
        <f>"002726"</f>
        <v>002726</v>
      </c>
      <c r="C3407" t="s">
        <v>6857</v>
      </c>
      <c r="D3407" t="s">
        <v>123</v>
      </c>
      <c r="F3407">
        <v>-787687802</v>
      </c>
      <c r="G3407">
        <v>71702682</v>
      </c>
      <c r="H3407">
        <v>-1812444870</v>
      </c>
      <c r="I3407">
        <v>-242523504</v>
      </c>
      <c r="J3407">
        <v>22287650</v>
      </c>
      <c r="K3407">
        <v>142125055</v>
      </c>
      <c r="L3407">
        <v>57750496</v>
      </c>
      <c r="M3407">
        <v>-55496484</v>
      </c>
      <c r="N3407">
        <v>-94863155</v>
      </c>
      <c r="P3407">
        <v>1021</v>
      </c>
      <c r="Q3407" t="s">
        <v>6858</v>
      </c>
    </row>
    <row r="3408" spans="1:17" x14ac:dyDescent="0.3">
      <c r="A3408" t="s">
        <v>4382</v>
      </c>
      <c r="B3408" t="str">
        <f>"002727"</f>
        <v>002727</v>
      </c>
      <c r="C3408" t="s">
        <v>6859</v>
      </c>
      <c r="D3408" t="s">
        <v>113</v>
      </c>
      <c r="F3408">
        <v>625220368</v>
      </c>
      <c r="G3408">
        <v>563053971</v>
      </c>
      <c r="H3408">
        <v>512412330</v>
      </c>
      <c r="I3408">
        <v>154219689</v>
      </c>
      <c r="J3408">
        <v>-77800627</v>
      </c>
      <c r="K3408">
        <v>-37611616</v>
      </c>
      <c r="L3408">
        <v>-17175436</v>
      </c>
      <c r="M3408">
        <v>-68595967</v>
      </c>
      <c r="N3408">
        <v>-23876626</v>
      </c>
      <c r="P3408">
        <v>1246</v>
      </c>
      <c r="Q3408" t="s">
        <v>6860</v>
      </c>
    </row>
    <row r="3409" spans="1:17" x14ac:dyDescent="0.3">
      <c r="A3409" t="s">
        <v>4382</v>
      </c>
      <c r="B3409" t="str">
        <f>"002728"</f>
        <v>002728</v>
      </c>
      <c r="C3409" t="s">
        <v>6861</v>
      </c>
      <c r="D3409" t="s">
        <v>113</v>
      </c>
      <c r="F3409">
        <v>81005216</v>
      </c>
      <c r="G3409">
        <v>14329044</v>
      </c>
      <c r="H3409">
        <v>70509589</v>
      </c>
      <c r="I3409">
        <v>55336926</v>
      </c>
      <c r="J3409">
        <v>48699068</v>
      </c>
      <c r="K3409">
        <v>-59089518</v>
      </c>
      <c r="L3409">
        <v>-47982821</v>
      </c>
      <c r="M3409">
        <v>40728272</v>
      </c>
      <c r="N3409">
        <v>9845585</v>
      </c>
      <c r="P3409">
        <v>288</v>
      </c>
      <c r="Q3409" t="s">
        <v>6862</v>
      </c>
    </row>
    <row r="3410" spans="1:17" x14ac:dyDescent="0.3">
      <c r="A3410" t="s">
        <v>4382</v>
      </c>
      <c r="B3410" t="str">
        <f>"002729"</f>
        <v>002729</v>
      </c>
      <c r="C3410" t="s">
        <v>6863</v>
      </c>
      <c r="D3410" t="s">
        <v>150</v>
      </c>
      <c r="F3410">
        <v>-51864162</v>
      </c>
      <c r="G3410">
        <v>31976993</v>
      </c>
      <c r="H3410">
        <v>20931179</v>
      </c>
      <c r="I3410">
        <v>8515019</v>
      </c>
      <c r="J3410">
        <v>10483838</v>
      </c>
      <c r="K3410">
        <v>4715418</v>
      </c>
      <c r="L3410">
        <v>-34863700</v>
      </c>
      <c r="M3410">
        <v>-36194697</v>
      </c>
      <c r="N3410">
        <v>-17396701</v>
      </c>
      <c r="P3410">
        <v>71</v>
      </c>
      <c r="Q3410" t="s">
        <v>6864</v>
      </c>
    </row>
    <row r="3411" spans="1:17" x14ac:dyDescent="0.3">
      <c r="A3411" t="s">
        <v>4382</v>
      </c>
      <c r="B3411" t="str">
        <f>"002730"</f>
        <v>002730</v>
      </c>
      <c r="C3411" t="s">
        <v>6865</v>
      </c>
      <c r="D3411" t="s">
        <v>78</v>
      </c>
      <c r="F3411">
        <v>84084331</v>
      </c>
      <c r="G3411">
        <v>93231210</v>
      </c>
      <c r="H3411">
        <v>152967475</v>
      </c>
      <c r="I3411">
        <v>-11500155</v>
      </c>
      <c r="J3411">
        <v>114863624</v>
      </c>
      <c r="K3411">
        <v>73131587</v>
      </c>
      <c r="L3411">
        <v>65188962</v>
      </c>
      <c r="M3411">
        <v>39208943</v>
      </c>
      <c r="N3411">
        <v>30523105</v>
      </c>
      <c r="P3411">
        <v>82</v>
      </c>
      <c r="Q3411" t="s">
        <v>6866</v>
      </c>
    </row>
    <row r="3412" spans="1:17" x14ac:dyDescent="0.3">
      <c r="A3412" t="s">
        <v>4382</v>
      </c>
      <c r="B3412" t="str">
        <f>"002731"</f>
        <v>002731</v>
      </c>
      <c r="C3412" t="s">
        <v>6867</v>
      </c>
      <c r="D3412" t="s">
        <v>227</v>
      </c>
      <c r="F3412">
        <v>39057242</v>
      </c>
      <c r="G3412">
        <v>32184272</v>
      </c>
      <c r="H3412">
        <v>75300783</v>
      </c>
      <c r="I3412">
        <v>-199823935</v>
      </c>
      <c r="J3412">
        <v>411011854</v>
      </c>
      <c r="K3412">
        <v>258861072</v>
      </c>
      <c r="L3412">
        <v>1219104</v>
      </c>
      <c r="M3412">
        <v>75224250</v>
      </c>
      <c r="N3412">
        <v>176980584</v>
      </c>
      <c r="P3412">
        <v>81</v>
      </c>
      <c r="Q3412" t="s">
        <v>6868</v>
      </c>
    </row>
    <row r="3413" spans="1:17" x14ac:dyDescent="0.3">
      <c r="A3413" t="s">
        <v>4382</v>
      </c>
      <c r="B3413" t="str">
        <f>"002732"</f>
        <v>002732</v>
      </c>
      <c r="C3413" t="s">
        <v>6869</v>
      </c>
      <c r="D3413" t="s">
        <v>123</v>
      </c>
      <c r="F3413">
        <v>129685204</v>
      </c>
      <c r="G3413">
        <v>86203430</v>
      </c>
      <c r="H3413">
        <v>91553895</v>
      </c>
      <c r="I3413">
        <v>20825337</v>
      </c>
      <c r="J3413">
        <v>-132971470</v>
      </c>
      <c r="K3413">
        <v>-34520774</v>
      </c>
      <c r="L3413">
        <v>-2945071</v>
      </c>
      <c r="M3413">
        <v>-31517605</v>
      </c>
      <c r="N3413">
        <v>24102358</v>
      </c>
      <c r="P3413">
        <v>349</v>
      </c>
      <c r="Q3413" t="s">
        <v>6870</v>
      </c>
    </row>
    <row r="3414" spans="1:17" x14ac:dyDescent="0.3">
      <c r="A3414" t="s">
        <v>4382</v>
      </c>
      <c r="B3414" t="str">
        <f>"002733"</f>
        <v>002733</v>
      </c>
      <c r="C3414" t="s">
        <v>6871</v>
      </c>
      <c r="D3414" t="s">
        <v>188</v>
      </c>
      <c r="F3414">
        <v>-227320978</v>
      </c>
      <c r="G3414">
        <v>20428517</v>
      </c>
      <c r="H3414">
        <v>-10365933</v>
      </c>
      <c r="I3414">
        <v>-36714019</v>
      </c>
      <c r="J3414">
        <v>9814178</v>
      </c>
      <c r="K3414">
        <v>-108393295</v>
      </c>
      <c r="L3414">
        <v>-6222242</v>
      </c>
      <c r="M3414">
        <v>66578454</v>
      </c>
      <c r="N3414">
        <v>27075513</v>
      </c>
      <c r="P3414">
        <v>236</v>
      </c>
      <c r="Q3414" t="s">
        <v>6872</v>
      </c>
    </row>
    <row r="3415" spans="1:17" x14ac:dyDescent="0.3">
      <c r="A3415" t="s">
        <v>4382</v>
      </c>
      <c r="B3415" t="str">
        <f>"002734"</f>
        <v>002734</v>
      </c>
      <c r="C3415" t="s">
        <v>6873</v>
      </c>
      <c r="D3415" t="s">
        <v>133</v>
      </c>
      <c r="F3415">
        <v>-864966706</v>
      </c>
      <c r="G3415">
        <v>30606834</v>
      </c>
      <c r="H3415">
        <v>-128137115</v>
      </c>
      <c r="I3415">
        <v>-48146176</v>
      </c>
      <c r="J3415">
        <v>-57018112</v>
      </c>
      <c r="K3415">
        <v>62667414</v>
      </c>
      <c r="L3415">
        <v>-153090727</v>
      </c>
      <c r="M3415">
        <v>-119735397</v>
      </c>
      <c r="P3415">
        <v>261</v>
      </c>
      <c r="Q3415" t="s">
        <v>6874</v>
      </c>
    </row>
    <row r="3416" spans="1:17" x14ac:dyDescent="0.3">
      <c r="A3416" t="s">
        <v>4382</v>
      </c>
      <c r="B3416" t="str">
        <f>"002735"</f>
        <v>002735</v>
      </c>
      <c r="C3416" t="s">
        <v>6875</v>
      </c>
      <c r="D3416" t="s">
        <v>161</v>
      </c>
      <c r="F3416">
        <v>-12350970</v>
      </c>
      <c r="G3416">
        <v>-5360671</v>
      </c>
      <c r="H3416">
        <v>-20960574</v>
      </c>
      <c r="I3416">
        <v>-86616471</v>
      </c>
      <c r="J3416">
        <v>23767204</v>
      </c>
      <c r="K3416">
        <v>17476878</v>
      </c>
      <c r="L3416">
        <v>9046851</v>
      </c>
      <c r="M3416">
        <v>3156568</v>
      </c>
      <c r="P3416">
        <v>72</v>
      </c>
      <c r="Q3416" t="s">
        <v>6876</v>
      </c>
    </row>
    <row r="3417" spans="1:17" x14ac:dyDescent="0.3">
      <c r="A3417" t="s">
        <v>4382</v>
      </c>
      <c r="B3417" t="str">
        <f>"002736"</f>
        <v>002736</v>
      </c>
      <c r="C3417" t="s">
        <v>6877</v>
      </c>
      <c r="D3417" t="s">
        <v>75</v>
      </c>
      <c r="F3417">
        <v>-8375766469</v>
      </c>
      <c r="G3417">
        <v>3842266158</v>
      </c>
      <c r="H3417">
        <v>29326842804</v>
      </c>
      <c r="I3417">
        <v>-2266887923</v>
      </c>
      <c r="J3417">
        <v>-4372811870</v>
      </c>
      <c r="K3417">
        <v>-15649570265</v>
      </c>
      <c r="L3417">
        <v>-4566526034</v>
      </c>
      <c r="M3417">
        <v>1788734510</v>
      </c>
      <c r="N3417">
        <v>-9857766728.9500008</v>
      </c>
      <c r="P3417">
        <v>2389</v>
      </c>
      <c r="Q3417" t="s">
        <v>6878</v>
      </c>
    </row>
    <row r="3418" spans="1:17" x14ac:dyDescent="0.3">
      <c r="A3418" t="s">
        <v>4382</v>
      </c>
      <c r="B3418" t="str">
        <f>"002737"</f>
        <v>002737</v>
      </c>
      <c r="C3418" t="s">
        <v>6879</v>
      </c>
      <c r="D3418" t="s">
        <v>113</v>
      </c>
      <c r="F3418">
        <v>300736350</v>
      </c>
      <c r="G3418">
        <v>483996334</v>
      </c>
      <c r="H3418">
        <v>203855858</v>
      </c>
      <c r="I3418">
        <v>104105602</v>
      </c>
      <c r="J3418">
        <v>-82431173</v>
      </c>
      <c r="K3418">
        <v>-217796277</v>
      </c>
      <c r="L3418">
        <v>-52383303</v>
      </c>
      <c r="M3418">
        <v>272184600</v>
      </c>
      <c r="N3418">
        <v>140381100</v>
      </c>
      <c r="P3418">
        <v>1118</v>
      </c>
      <c r="Q3418" t="s">
        <v>6880</v>
      </c>
    </row>
    <row r="3419" spans="1:17" x14ac:dyDescent="0.3">
      <c r="A3419" t="s">
        <v>4382</v>
      </c>
      <c r="B3419" t="str">
        <f>"002738"</f>
        <v>002738</v>
      </c>
      <c r="C3419" t="s">
        <v>6881</v>
      </c>
      <c r="D3419" t="s">
        <v>234</v>
      </c>
      <c r="F3419">
        <v>-53585158</v>
      </c>
      <c r="G3419">
        <v>-35694958</v>
      </c>
      <c r="H3419">
        <v>91429444</v>
      </c>
      <c r="I3419">
        <v>-113826752</v>
      </c>
      <c r="J3419">
        <v>-12124827</v>
      </c>
      <c r="K3419">
        <v>-41852257</v>
      </c>
      <c r="L3419">
        <v>-70708107</v>
      </c>
      <c r="M3419">
        <v>-13055838</v>
      </c>
      <c r="N3419">
        <v>5489456</v>
      </c>
      <c r="P3419">
        <v>192</v>
      </c>
      <c r="Q3419" t="s">
        <v>6882</v>
      </c>
    </row>
    <row r="3420" spans="1:17" x14ac:dyDescent="0.3">
      <c r="A3420" t="s">
        <v>4382</v>
      </c>
      <c r="B3420" t="str">
        <f>"002739"</f>
        <v>002739</v>
      </c>
      <c r="C3420" t="s">
        <v>6883</v>
      </c>
      <c r="D3420" t="s">
        <v>89</v>
      </c>
      <c r="F3420">
        <v>1340837997</v>
      </c>
      <c r="G3420">
        <v>-340721136</v>
      </c>
      <c r="H3420">
        <v>-96466576</v>
      </c>
      <c r="I3420">
        <v>-95275809</v>
      </c>
      <c r="J3420">
        <v>69823580</v>
      </c>
      <c r="K3420">
        <v>221852257</v>
      </c>
      <c r="L3420">
        <v>412539978</v>
      </c>
      <c r="M3420">
        <v>632111920</v>
      </c>
      <c r="P3420">
        <v>911</v>
      </c>
      <c r="Q3420" t="s">
        <v>6884</v>
      </c>
    </row>
    <row r="3421" spans="1:17" x14ac:dyDescent="0.3">
      <c r="A3421" t="s">
        <v>4382</v>
      </c>
      <c r="B3421" t="str">
        <f>"002740"</f>
        <v>002740</v>
      </c>
      <c r="C3421" t="s">
        <v>6885</v>
      </c>
      <c r="D3421" t="s">
        <v>227</v>
      </c>
      <c r="F3421">
        <v>-27556512</v>
      </c>
      <c r="G3421">
        <v>-50336202</v>
      </c>
      <c r="H3421">
        <v>139509541</v>
      </c>
      <c r="I3421">
        <v>-130711432</v>
      </c>
      <c r="J3421">
        <v>-432171084</v>
      </c>
      <c r="K3421">
        <v>-227877375</v>
      </c>
      <c r="L3421">
        <v>-159563103</v>
      </c>
      <c r="M3421">
        <v>-174775655</v>
      </c>
      <c r="P3421">
        <v>78</v>
      </c>
      <c r="Q3421" t="s">
        <v>6886</v>
      </c>
    </row>
    <row r="3422" spans="1:17" x14ac:dyDescent="0.3">
      <c r="A3422" t="s">
        <v>4382</v>
      </c>
      <c r="B3422" t="str">
        <f>"002741"</f>
        <v>002741</v>
      </c>
      <c r="C3422" t="s">
        <v>6887</v>
      </c>
      <c r="D3422" t="s">
        <v>150</v>
      </c>
      <c r="F3422">
        <v>8257624</v>
      </c>
      <c r="G3422">
        <v>52617627</v>
      </c>
      <c r="H3422">
        <v>-140915047</v>
      </c>
      <c r="I3422">
        <v>-450491121</v>
      </c>
      <c r="J3422">
        <v>-210192063</v>
      </c>
      <c r="K3422">
        <v>-48060848</v>
      </c>
      <c r="L3422">
        <v>-188190785</v>
      </c>
      <c r="M3422">
        <v>-63751111</v>
      </c>
      <c r="P3422">
        <v>187</v>
      </c>
      <c r="Q3422" t="s">
        <v>6888</v>
      </c>
    </row>
    <row r="3423" spans="1:17" x14ac:dyDescent="0.3">
      <c r="A3423" t="s">
        <v>4382</v>
      </c>
      <c r="B3423" t="str">
        <f>"002742"</f>
        <v>002742</v>
      </c>
      <c r="C3423" t="s">
        <v>6889</v>
      </c>
      <c r="D3423" t="s">
        <v>350</v>
      </c>
      <c r="F3423">
        <v>-17324102</v>
      </c>
      <c r="G3423">
        <v>-139697696</v>
      </c>
      <c r="H3423">
        <v>-229967838</v>
      </c>
      <c r="I3423">
        <v>-269049502</v>
      </c>
      <c r="J3423">
        <v>-138421833</v>
      </c>
      <c r="K3423">
        <v>-152239095</v>
      </c>
      <c r="L3423">
        <v>-91086391</v>
      </c>
      <c r="M3423">
        <v>-134380251</v>
      </c>
      <c r="P3423">
        <v>67</v>
      </c>
      <c r="Q3423" t="s">
        <v>6890</v>
      </c>
    </row>
    <row r="3424" spans="1:17" x14ac:dyDescent="0.3">
      <c r="A3424" t="s">
        <v>4382</v>
      </c>
      <c r="B3424" t="str">
        <f>"002743"</f>
        <v>002743</v>
      </c>
      <c r="C3424" t="s">
        <v>6891</v>
      </c>
      <c r="D3424" t="s">
        <v>95</v>
      </c>
      <c r="F3424">
        <v>-657696649</v>
      </c>
      <c r="G3424">
        <v>108969594</v>
      </c>
      <c r="H3424">
        <v>109817073</v>
      </c>
      <c r="I3424">
        <v>-106607506</v>
      </c>
      <c r="J3424">
        <v>-830499935</v>
      </c>
      <c r="K3424">
        <v>-451691668</v>
      </c>
      <c r="L3424">
        <v>-91531325</v>
      </c>
      <c r="M3424">
        <v>-63992410</v>
      </c>
      <c r="P3424">
        <v>77</v>
      </c>
      <c r="Q3424" t="s">
        <v>6892</v>
      </c>
    </row>
    <row r="3425" spans="1:17" x14ac:dyDescent="0.3">
      <c r="A3425" t="s">
        <v>4382</v>
      </c>
      <c r="B3425" t="str">
        <f>"002745"</f>
        <v>002745</v>
      </c>
      <c r="C3425" t="s">
        <v>6893</v>
      </c>
      <c r="D3425" t="s">
        <v>150</v>
      </c>
      <c r="F3425">
        <v>2253194212</v>
      </c>
      <c r="G3425">
        <v>228108654</v>
      </c>
      <c r="H3425">
        <v>96048980</v>
      </c>
      <c r="I3425">
        <v>-851673635</v>
      </c>
      <c r="J3425">
        <v>-1650233247</v>
      </c>
      <c r="K3425">
        <v>-982377793</v>
      </c>
      <c r="L3425">
        <v>-431734773</v>
      </c>
      <c r="M3425">
        <v>294475590</v>
      </c>
      <c r="P3425">
        <v>324</v>
      </c>
      <c r="Q3425" t="s">
        <v>6894</v>
      </c>
    </row>
    <row r="3426" spans="1:17" x14ac:dyDescent="0.3">
      <c r="A3426" t="s">
        <v>4382</v>
      </c>
      <c r="B3426" t="str">
        <f>"002746"</f>
        <v>002746</v>
      </c>
      <c r="C3426" t="s">
        <v>6895</v>
      </c>
      <c r="D3426" t="s">
        <v>205</v>
      </c>
      <c r="F3426">
        <v>-350170932</v>
      </c>
      <c r="G3426">
        <v>115499789</v>
      </c>
      <c r="H3426">
        <v>611118088</v>
      </c>
      <c r="I3426">
        <v>68815984</v>
      </c>
      <c r="J3426">
        <v>30708086</v>
      </c>
      <c r="K3426">
        <v>107710457</v>
      </c>
      <c r="L3426">
        <v>35565472</v>
      </c>
      <c r="M3426">
        <v>-24015017</v>
      </c>
      <c r="P3426">
        <v>457</v>
      </c>
      <c r="Q3426" t="s">
        <v>6896</v>
      </c>
    </row>
    <row r="3427" spans="1:17" x14ac:dyDescent="0.3">
      <c r="A3427" t="s">
        <v>4382</v>
      </c>
      <c r="B3427" t="str">
        <f>"002747"</f>
        <v>002747</v>
      </c>
      <c r="C3427" t="s">
        <v>6897</v>
      </c>
      <c r="D3427" t="s">
        <v>78</v>
      </c>
      <c r="F3427">
        <v>-204049542</v>
      </c>
      <c r="G3427">
        <v>59506921</v>
      </c>
      <c r="H3427">
        <v>-13573335</v>
      </c>
      <c r="I3427">
        <v>-112067380</v>
      </c>
      <c r="J3427">
        <v>-229519644</v>
      </c>
      <c r="K3427">
        <v>-119457940</v>
      </c>
      <c r="L3427">
        <v>-110084967</v>
      </c>
      <c r="M3427">
        <v>-10713068</v>
      </c>
      <c r="P3427">
        <v>474</v>
      </c>
      <c r="Q3427" t="s">
        <v>6898</v>
      </c>
    </row>
    <row r="3428" spans="1:17" x14ac:dyDescent="0.3">
      <c r="A3428" t="s">
        <v>4382</v>
      </c>
      <c r="B3428" t="str">
        <f>"002748"</f>
        <v>002748</v>
      </c>
      <c r="C3428" t="s">
        <v>6899</v>
      </c>
      <c r="D3428" t="s">
        <v>133</v>
      </c>
      <c r="F3428">
        <v>221086096</v>
      </c>
      <c r="G3428">
        <v>-168029988</v>
      </c>
      <c r="H3428">
        <v>-182194965</v>
      </c>
      <c r="I3428">
        <v>-150306874</v>
      </c>
      <c r="J3428">
        <v>-8057363</v>
      </c>
      <c r="K3428">
        <v>10472869</v>
      </c>
      <c r="L3428">
        <v>-10838354</v>
      </c>
      <c r="M3428">
        <v>34052225</v>
      </c>
      <c r="P3428">
        <v>76</v>
      </c>
      <c r="Q3428" t="s">
        <v>6900</v>
      </c>
    </row>
    <row r="3429" spans="1:17" x14ac:dyDescent="0.3">
      <c r="A3429" t="s">
        <v>4382</v>
      </c>
      <c r="B3429" t="str">
        <f>"002749"</f>
        <v>002749</v>
      </c>
      <c r="C3429" t="s">
        <v>6901</v>
      </c>
      <c r="D3429" t="s">
        <v>133</v>
      </c>
      <c r="F3429">
        <v>174307078</v>
      </c>
      <c r="G3429">
        <v>114943888</v>
      </c>
      <c r="H3429">
        <v>45368990</v>
      </c>
      <c r="I3429">
        <v>66136775</v>
      </c>
      <c r="J3429">
        <v>116269644</v>
      </c>
      <c r="K3429">
        <v>110600375</v>
      </c>
      <c r="L3429">
        <v>96432384</v>
      </c>
      <c r="M3429">
        <v>95600410</v>
      </c>
      <c r="P3429">
        <v>9781</v>
      </c>
      <c r="Q3429" t="s">
        <v>6902</v>
      </c>
    </row>
    <row r="3430" spans="1:17" x14ac:dyDescent="0.3">
      <c r="A3430" t="s">
        <v>4382</v>
      </c>
      <c r="B3430" t="str">
        <f>"002750"</f>
        <v>002750</v>
      </c>
      <c r="C3430" t="s">
        <v>6903</v>
      </c>
      <c r="D3430" t="s">
        <v>113</v>
      </c>
      <c r="F3430">
        <v>-27996344</v>
      </c>
      <c r="G3430">
        <v>-15701655</v>
      </c>
      <c r="H3430">
        <v>1183788</v>
      </c>
      <c r="I3430">
        <v>-13025927</v>
      </c>
      <c r="J3430">
        <v>27476165</v>
      </c>
      <c r="K3430">
        <v>52761112</v>
      </c>
      <c r="L3430">
        <v>21559978</v>
      </c>
      <c r="M3430">
        <v>28304417</v>
      </c>
      <c r="P3430">
        <v>142</v>
      </c>
      <c r="Q3430" t="s">
        <v>6904</v>
      </c>
    </row>
    <row r="3431" spans="1:17" x14ac:dyDescent="0.3">
      <c r="A3431" t="s">
        <v>4382</v>
      </c>
      <c r="B3431" t="str">
        <f>"002751"</f>
        <v>002751</v>
      </c>
      <c r="C3431" t="s">
        <v>6905</v>
      </c>
      <c r="D3431" t="s">
        <v>110</v>
      </c>
      <c r="F3431">
        <v>-45890929</v>
      </c>
      <c r="G3431">
        <v>26333283</v>
      </c>
      <c r="H3431">
        <v>129428109</v>
      </c>
      <c r="I3431">
        <v>-216495173</v>
      </c>
      <c r="J3431">
        <v>-325784533</v>
      </c>
      <c r="K3431">
        <v>-129063785</v>
      </c>
      <c r="L3431">
        <v>-835619889</v>
      </c>
      <c r="M3431">
        <v>-29621613</v>
      </c>
      <c r="P3431">
        <v>145</v>
      </c>
      <c r="Q3431" t="s">
        <v>6906</v>
      </c>
    </row>
    <row r="3432" spans="1:17" x14ac:dyDescent="0.3">
      <c r="A3432" t="s">
        <v>4382</v>
      </c>
      <c r="B3432" t="str">
        <f>"002752"</f>
        <v>002752</v>
      </c>
      <c r="C3432" t="s">
        <v>6907</v>
      </c>
      <c r="D3432" t="s">
        <v>161</v>
      </c>
      <c r="F3432">
        <v>-378964810</v>
      </c>
      <c r="G3432">
        <v>115911393</v>
      </c>
      <c r="H3432">
        <v>39845486</v>
      </c>
      <c r="I3432">
        <v>-346783022</v>
      </c>
      <c r="J3432">
        <v>-1035418</v>
      </c>
      <c r="K3432">
        <v>177466867</v>
      </c>
      <c r="L3432">
        <v>24088998</v>
      </c>
      <c r="M3432">
        <v>-145666571</v>
      </c>
      <c r="P3432">
        <v>79</v>
      </c>
      <c r="Q3432" t="s">
        <v>6908</v>
      </c>
    </row>
    <row r="3433" spans="1:17" x14ac:dyDescent="0.3">
      <c r="A3433" t="s">
        <v>4382</v>
      </c>
      <c r="B3433" t="str">
        <f>"002753"</f>
        <v>002753</v>
      </c>
      <c r="C3433" t="s">
        <v>6909</v>
      </c>
      <c r="D3433" t="s">
        <v>133</v>
      </c>
      <c r="F3433">
        <v>-164058940</v>
      </c>
      <c r="G3433">
        <v>146081792</v>
      </c>
      <c r="H3433">
        <v>-118669017</v>
      </c>
      <c r="I3433">
        <v>-13254177</v>
      </c>
      <c r="J3433">
        <v>-159530408</v>
      </c>
      <c r="K3433">
        <v>11975194</v>
      </c>
      <c r="L3433">
        <v>14260725</v>
      </c>
      <c r="M3433">
        <v>-2575976</v>
      </c>
      <c r="P3433">
        <v>170</v>
      </c>
      <c r="Q3433" t="s">
        <v>6910</v>
      </c>
    </row>
    <row r="3434" spans="1:17" x14ac:dyDescent="0.3">
      <c r="A3434" t="s">
        <v>4382</v>
      </c>
      <c r="B3434" t="str">
        <f>"002755"</f>
        <v>002755</v>
      </c>
      <c r="C3434" t="s">
        <v>6911</v>
      </c>
      <c r="D3434" t="s">
        <v>113</v>
      </c>
      <c r="F3434">
        <v>186219985</v>
      </c>
      <c r="G3434">
        <v>238828764</v>
      </c>
      <c r="H3434">
        <v>338202079</v>
      </c>
      <c r="I3434">
        <v>6178444</v>
      </c>
      <c r="J3434">
        <v>-84943782</v>
      </c>
      <c r="K3434">
        <v>-6738711</v>
      </c>
      <c r="L3434">
        <v>-42675871</v>
      </c>
      <c r="M3434">
        <v>-23859768</v>
      </c>
      <c r="P3434">
        <v>307</v>
      </c>
      <c r="Q3434" t="s">
        <v>6912</v>
      </c>
    </row>
    <row r="3435" spans="1:17" x14ac:dyDescent="0.3">
      <c r="A3435" t="s">
        <v>4382</v>
      </c>
      <c r="B3435" t="str">
        <f>"002756"</f>
        <v>002756</v>
      </c>
      <c r="C3435" t="s">
        <v>6913</v>
      </c>
      <c r="D3435" t="s">
        <v>38</v>
      </c>
      <c r="F3435">
        <v>165689753</v>
      </c>
      <c r="G3435">
        <v>210832489</v>
      </c>
      <c r="H3435">
        <v>275565144</v>
      </c>
      <c r="I3435">
        <v>-52356958</v>
      </c>
      <c r="J3435">
        <v>73562673</v>
      </c>
      <c r="K3435">
        <v>29659755</v>
      </c>
      <c r="L3435">
        <v>-135230622</v>
      </c>
      <c r="M3435">
        <v>67694610</v>
      </c>
      <c r="P3435">
        <v>307</v>
      </c>
      <c r="Q3435" t="s">
        <v>6914</v>
      </c>
    </row>
    <row r="3436" spans="1:17" x14ac:dyDescent="0.3">
      <c r="A3436" t="s">
        <v>4382</v>
      </c>
      <c r="B3436" t="str">
        <f>"002757"</f>
        <v>002757</v>
      </c>
      <c r="C3436" t="s">
        <v>6915</v>
      </c>
      <c r="D3436" t="s">
        <v>78</v>
      </c>
      <c r="F3436">
        <v>-108116175</v>
      </c>
      <c r="G3436">
        <v>119022143</v>
      </c>
      <c r="H3436">
        <v>36578707</v>
      </c>
      <c r="I3436">
        <v>48843448</v>
      </c>
      <c r="J3436">
        <v>-26547989</v>
      </c>
      <c r="K3436">
        <v>34184096</v>
      </c>
      <c r="L3436">
        <v>-37969213</v>
      </c>
      <c r="M3436">
        <v>-12512070</v>
      </c>
      <c r="P3436">
        <v>267</v>
      </c>
      <c r="Q3436" t="s">
        <v>6916</v>
      </c>
    </row>
    <row r="3437" spans="1:17" x14ac:dyDescent="0.3">
      <c r="A3437" t="s">
        <v>4382</v>
      </c>
      <c r="B3437" t="str">
        <f>"002758"</f>
        <v>002758</v>
      </c>
      <c r="C3437" t="s">
        <v>6917</v>
      </c>
      <c r="D3437" t="s">
        <v>113</v>
      </c>
      <c r="F3437">
        <v>486720658</v>
      </c>
      <c r="G3437">
        <v>104157583</v>
      </c>
      <c r="H3437">
        <v>-469559</v>
      </c>
      <c r="I3437">
        <v>-43024458</v>
      </c>
      <c r="J3437">
        <v>-164913778</v>
      </c>
      <c r="K3437">
        <v>-108226517</v>
      </c>
      <c r="L3437">
        <v>-92540231</v>
      </c>
      <c r="M3437">
        <v>-34608483</v>
      </c>
      <c r="P3437">
        <v>180</v>
      </c>
      <c r="Q3437" t="s">
        <v>6918</v>
      </c>
    </row>
    <row r="3438" spans="1:17" x14ac:dyDescent="0.3">
      <c r="A3438" t="s">
        <v>4382</v>
      </c>
      <c r="B3438" t="str">
        <f>"002759"</f>
        <v>002759</v>
      </c>
      <c r="C3438" t="s">
        <v>6919</v>
      </c>
      <c r="D3438" t="s">
        <v>188</v>
      </c>
      <c r="F3438">
        <v>492250720</v>
      </c>
      <c r="G3438">
        <v>-35763651</v>
      </c>
      <c r="H3438">
        <v>-105370973</v>
      </c>
      <c r="I3438">
        <v>-4262644</v>
      </c>
      <c r="J3438">
        <v>-83288191</v>
      </c>
      <c r="K3438">
        <v>34898844</v>
      </c>
      <c r="L3438">
        <v>-146393542</v>
      </c>
      <c r="M3438">
        <v>-85517918</v>
      </c>
      <c r="P3438">
        <v>251</v>
      </c>
      <c r="Q3438" t="s">
        <v>6920</v>
      </c>
    </row>
    <row r="3439" spans="1:17" x14ac:dyDescent="0.3">
      <c r="A3439" t="s">
        <v>4382</v>
      </c>
      <c r="B3439" t="str">
        <f>"002760"</f>
        <v>002760</v>
      </c>
      <c r="C3439" t="s">
        <v>6921</v>
      </c>
      <c r="D3439" t="s">
        <v>78</v>
      </c>
      <c r="F3439">
        <v>-10721552</v>
      </c>
      <c r="G3439">
        <v>5485161</v>
      </c>
      <c r="H3439">
        <v>-7865467</v>
      </c>
      <c r="I3439">
        <v>44489913</v>
      </c>
      <c r="J3439">
        <v>-34739187</v>
      </c>
      <c r="K3439">
        <v>-61614864</v>
      </c>
      <c r="L3439">
        <v>-149555613</v>
      </c>
      <c r="M3439">
        <v>-52964581</v>
      </c>
      <c r="P3439">
        <v>72</v>
      </c>
      <c r="Q3439" t="s">
        <v>6922</v>
      </c>
    </row>
    <row r="3440" spans="1:17" x14ac:dyDescent="0.3">
      <c r="A3440" t="s">
        <v>4382</v>
      </c>
      <c r="B3440" t="str">
        <f>"002761"</f>
        <v>002761</v>
      </c>
      <c r="C3440" t="s">
        <v>6923</v>
      </c>
      <c r="D3440" t="s">
        <v>95</v>
      </c>
      <c r="F3440">
        <v>-5753056792</v>
      </c>
      <c r="G3440">
        <v>-4555580370</v>
      </c>
      <c r="H3440">
        <v>-103465321</v>
      </c>
      <c r="I3440">
        <v>-49772166</v>
      </c>
      <c r="J3440">
        <v>-68749496</v>
      </c>
      <c r="K3440">
        <v>-139343864</v>
      </c>
      <c r="L3440">
        <v>-111421661</v>
      </c>
      <c r="M3440">
        <v>-50292669</v>
      </c>
      <c r="P3440">
        <v>195</v>
      </c>
      <c r="Q3440" t="s">
        <v>6924</v>
      </c>
    </row>
    <row r="3441" spans="1:17" x14ac:dyDescent="0.3">
      <c r="A3441" t="s">
        <v>4382</v>
      </c>
      <c r="B3441" t="str">
        <f>"002762"</f>
        <v>002762</v>
      </c>
      <c r="C3441" t="s">
        <v>6925</v>
      </c>
      <c r="D3441" t="s">
        <v>227</v>
      </c>
      <c r="F3441">
        <v>-32228633</v>
      </c>
      <c r="G3441">
        <v>11908525</v>
      </c>
      <c r="H3441">
        <v>29908069</v>
      </c>
      <c r="I3441">
        <v>-32182626</v>
      </c>
      <c r="J3441">
        <v>-42598763</v>
      </c>
      <c r="K3441">
        <v>24986612</v>
      </c>
      <c r="L3441">
        <v>-18987658</v>
      </c>
      <c r="M3441">
        <v>63111876</v>
      </c>
      <c r="P3441">
        <v>128</v>
      </c>
      <c r="Q3441" t="s">
        <v>6926</v>
      </c>
    </row>
    <row r="3442" spans="1:17" x14ac:dyDescent="0.3">
      <c r="A3442" t="s">
        <v>4382</v>
      </c>
      <c r="B3442" t="str">
        <f>"002763"</f>
        <v>002763</v>
      </c>
      <c r="C3442" t="s">
        <v>6927</v>
      </c>
      <c r="D3442" t="s">
        <v>227</v>
      </c>
      <c r="F3442">
        <v>354396948</v>
      </c>
      <c r="G3442">
        <v>291020385</v>
      </c>
      <c r="H3442">
        <v>102487725</v>
      </c>
      <c r="I3442">
        <v>153708270</v>
      </c>
      <c r="J3442">
        <v>394028165</v>
      </c>
      <c r="K3442">
        <v>-7898233</v>
      </c>
      <c r="L3442">
        <v>141504875</v>
      </c>
      <c r="M3442">
        <v>126158594</v>
      </c>
      <c r="P3442">
        <v>293</v>
      </c>
      <c r="Q3442" t="s">
        <v>6928</v>
      </c>
    </row>
    <row r="3443" spans="1:17" x14ac:dyDescent="0.3">
      <c r="A3443" t="s">
        <v>4382</v>
      </c>
      <c r="B3443" t="str">
        <f>"002765"</f>
        <v>002765</v>
      </c>
      <c r="C3443" t="s">
        <v>6929</v>
      </c>
      <c r="D3443" t="s">
        <v>150</v>
      </c>
      <c r="F3443">
        <v>116099447</v>
      </c>
      <c r="G3443">
        <v>-86110312</v>
      </c>
      <c r="H3443">
        <v>-192015027</v>
      </c>
      <c r="I3443">
        <v>-125177470</v>
      </c>
      <c r="J3443">
        <v>-47280726</v>
      </c>
      <c r="K3443">
        <v>-179062727</v>
      </c>
      <c r="L3443">
        <v>3558213</v>
      </c>
      <c r="M3443">
        <v>17302468</v>
      </c>
      <c r="P3443">
        <v>119</v>
      </c>
      <c r="Q3443" t="s">
        <v>6930</v>
      </c>
    </row>
    <row r="3444" spans="1:17" x14ac:dyDescent="0.3">
      <c r="A3444" t="s">
        <v>4382</v>
      </c>
      <c r="B3444" t="str">
        <f>"002766"</f>
        <v>002766</v>
      </c>
      <c r="C3444" t="s">
        <v>6931</v>
      </c>
      <c r="D3444" t="s">
        <v>27</v>
      </c>
      <c r="F3444">
        <v>-93785555</v>
      </c>
      <c r="G3444">
        <v>-10759214</v>
      </c>
      <c r="H3444">
        <v>-42079941</v>
      </c>
      <c r="I3444">
        <v>-731210715</v>
      </c>
      <c r="J3444">
        <v>-126511479</v>
      </c>
      <c r="K3444">
        <v>-159831320</v>
      </c>
      <c r="L3444">
        <v>5431750</v>
      </c>
      <c r="M3444">
        <v>21083781</v>
      </c>
      <c r="P3444">
        <v>85</v>
      </c>
      <c r="Q3444" t="s">
        <v>6932</v>
      </c>
    </row>
    <row r="3445" spans="1:17" x14ac:dyDescent="0.3">
      <c r="A3445" t="s">
        <v>4382</v>
      </c>
      <c r="B3445" t="str">
        <f>"002767"</f>
        <v>002767</v>
      </c>
      <c r="C3445" t="s">
        <v>6933</v>
      </c>
      <c r="D3445" t="s">
        <v>78</v>
      </c>
      <c r="F3445">
        <v>-140500147</v>
      </c>
      <c r="G3445">
        <v>-67525524</v>
      </c>
      <c r="H3445">
        <v>-61044671</v>
      </c>
      <c r="I3445">
        <v>-65407268</v>
      </c>
      <c r="J3445">
        <v>-34728031</v>
      </c>
      <c r="K3445">
        <v>-18286954</v>
      </c>
      <c r="L3445">
        <v>-23745441</v>
      </c>
      <c r="M3445">
        <v>2842871</v>
      </c>
      <c r="P3445">
        <v>73</v>
      </c>
      <c r="Q3445" t="s">
        <v>6934</v>
      </c>
    </row>
    <row r="3446" spans="1:17" x14ac:dyDescent="0.3">
      <c r="A3446" t="s">
        <v>4382</v>
      </c>
      <c r="B3446" t="str">
        <f>"002768"</f>
        <v>002768</v>
      </c>
      <c r="C3446" t="s">
        <v>6935</v>
      </c>
      <c r="D3446" t="s">
        <v>133</v>
      </c>
      <c r="F3446">
        <v>314848823</v>
      </c>
      <c r="G3446">
        <v>139956888</v>
      </c>
      <c r="H3446">
        <v>-559336985</v>
      </c>
      <c r="I3446">
        <v>-476221585</v>
      </c>
      <c r="J3446">
        <v>-358179203</v>
      </c>
      <c r="K3446">
        <v>-134376119</v>
      </c>
      <c r="L3446">
        <v>-145593989</v>
      </c>
      <c r="M3446">
        <v>-42256803</v>
      </c>
      <c r="P3446">
        <v>596</v>
      </c>
      <c r="Q3446" t="s">
        <v>6936</v>
      </c>
    </row>
    <row r="3447" spans="1:17" x14ac:dyDescent="0.3">
      <c r="A3447" t="s">
        <v>4382</v>
      </c>
      <c r="B3447" t="str">
        <f>"002769"</f>
        <v>002769</v>
      </c>
      <c r="C3447" t="s">
        <v>6937</v>
      </c>
      <c r="D3447" t="s">
        <v>22</v>
      </c>
      <c r="F3447">
        <v>-261273906</v>
      </c>
      <c r="G3447">
        <v>-150754097</v>
      </c>
      <c r="H3447">
        <v>-353526394</v>
      </c>
      <c r="I3447">
        <v>-1020184305</v>
      </c>
      <c r="J3447">
        <v>-651296218</v>
      </c>
      <c r="K3447">
        <v>-142607068</v>
      </c>
      <c r="L3447">
        <v>-215701791</v>
      </c>
      <c r="M3447">
        <v>-182933069</v>
      </c>
      <c r="P3447">
        <v>96</v>
      </c>
      <c r="Q3447" t="s">
        <v>6938</v>
      </c>
    </row>
    <row r="3448" spans="1:17" x14ac:dyDescent="0.3">
      <c r="A3448" t="s">
        <v>4382</v>
      </c>
      <c r="B3448" t="str">
        <f>"002770"</f>
        <v>002770</v>
      </c>
      <c r="C3448" t="s">
        <v>6939</v>
      </c>
      <c r="D3448" t="s">
        <v>123</v>
      </c>
      <c r="F3448">
        <v>5870018</v>
      </c>
      <c r="G3448">
        <v>-12840931</v>
      </c>
      <c r="H3448">
        <v>192811969</v>
      </c>
      <c r="I3448">
        <v>337390772</v>
      </c>
      <c r="J3448">
        <v>-67153575</v>
      </c>
      <c r="K3448">
        <v>146804421</v>
      </c>
      <c r="L3448">
        <v>-66415659</v>
      </c>
      <c r="M3448">
        <v>-101770388</v>
      </c>
      <c r="P3448">
        <v>163</v>
      </c>
      <c r="Q3448" t="s">
        <v>6940</v>
      </c>
    </row>
    <row r="3449" spans="1:17" x14ac:dyDescent="0.3">
      <c r="A3449" t="s">
        <v>4382</v>
      </c>
      <c r="B3449" t="str">
        <f>"002771"</f>
        <v>002771</v>
      </c>
      <c r="C3449" t="s">
        <v>6941</v>
      </c>
      <c r="D3449" t="s">
        <v>212</v>
      </c>
      <c r="F3449">
        <v>-97391450</v>
      </c>
      <c r="G3449">
        <v>-95773683</v>
      </c>
      <c r="H3449">
        <v>-109079142</v>
      </c>
      <c r="I3449">
        <v>-299093530</v>
      </c>
      <c r="J3449">
        <v>-183949881</v>
      </c>
      <c r="K3449">
        <v>-203004390</v>
      </c>
      <c r="L3449">
        <v>-110394108</v>
      </c>
      <c r="M3449">
        <v>-82279204</v>
      </c>
      <c r="P3449">
        <v>95</v>
      </c>
      <c r="Q3449" t="s">
        <v>6942</v>
      </c>
    </row>
    <row r="3450" spans="1:17" x14ac:dyDescent="0.3">
      <c r="A3450" t="s">
        <v>4382</v>
      </c>
      <c r="B3450" t="str">
        <f>"002772"</f>
        <v>002772</v>
      </c>
      <c r="C3450" t="s">
        <v>6943</v>
      </c>
      <c r="D3450" t="s">
        <v>205</v>
      </c>
      <c r="F3450">
        <v>-566916366</v>
      </c>
      <c r="G3450">
        <v>-51777140</v>
      </c>
      <c r="H3450">
        <v>-274972373</v>
      </c>
      <c r="I3450">
        <v>-363225270</v>
      </c>
      <c r="J3450">
        <v>-200410900</v>
      </c>
      <c r="K3450">
        <v>-225610144</v>
      </c>
      <c r="L3450">
        <v>-1099329</v>
      </c>
      <c r="M3450">
        <v>-16747337</v>
      </c>
      <c r="P3450">
        <v>202</v>
      </c>
      <c r="Q3450" t="s">
        <v>6944</v>
      </c>
    </row>
    <row r="3451" spans="1:17" x14ac:dyDescent="0.3">
      <c r="A3451" t="s">
        <v>4382</v>
      </c>
      <c r="B3451" t="str">
        <f>"002773"</f>
        <v>002773</v>
      </c>
      <c r="C3451" t="s">
        <v>6945</v>
      </c>
      <c r="D3451" t="s">
        <v>113</v>
      </c>
      <c r="F3451">
        <v>3615060</v>
      </c>
      <c r="G3451">
        <v>-249415431</v>
      </c>
      <c r="H3451">
        <v>-129396517</v>
      </c>
      <c r="I3451">
        <v>-123496615</v>
      </c>
      <c r="J3451">
        <v>375431422</v>
      </c>
      <c r="K3451">
        <v>354317562</v>
      </c>
      <c r="L3451">
        <v>67843069</v>
      </c>
      <c r="M3451">
        <v>-41955679</v>
      </c>
      <c r="P3451">
        <v>5281</v>
      </c>
      <c r="Q3451" t="s">
        <v>6946</v>
      </c>
    </row>
    <row r="3452" spans="1:17" x14ac:dyDescent="0.3">
      <c r="A3452" t="s">
        <v>4382</v>
      </c>
      <c r="B3452" t="str">
        <f>"002774"</f>
        <v>002774</v>
      </c>
      <c r="C3452" t="s">
        <v>6947</v>
      </c>
      <c r="D3452" t="s">
        <v>78</v>
      </c>
      <c r="F3452">
        <v>332922045</v>
      </c>
      <c r="G3452">
        <v>-66808167</v>
      </c>
      <c r="H3452">
        <v>-34410348</v>
      </c>
      <c r="I3452">
        <v>-51961522</v>
      </c>
      <c r="J3452">
        <v>52972865</v>
      </c>
      <c r="K3452">
        <v>73562365</v>
      </c>
      <c r="P3452">
        <v>77</v>
      </c>
      <c r="Q3452" t="s">
        <v>6948</v>
      </c>
    </row>
    <row r="3453" spans="1:17" x14ac:dyDescent="0.3">
      <c r="A3453" t="s">
        <v>4382</v>
      </c>
      <c r="B3453" t="str">
        <f>"002775"</f>
        <v>002775</v>
      </c>
      <c r="C3453" t="s">
        <v>6949</v>
      </c>
      <c r="D3453" t="s">
        <v>95</v>
      </c>
      <c r="F3453">
        <v>-664332244</v>
      </c>
      <c r="G3453">
        <v>-272928726</v>
      </c>
      <c r="H3453">
        <v>144908087</v>
      </c>
      <c r="I3453">
        <v>-493431035</v>
      </c>
      <c r="J3453">
        <v>-192667798</v>
      </c>
      <c r="K3453">
        <v>-58539824</v>
      </c>
      <c r="L3453">
        <v>-284234010</v>
      </c>
      <c r="M3453">
        <v>-157806984</v>
      </c>
      <c r="P3453">
        <v>218</v>
      </c>
      <c r="Q3453" t="s">
        <v>6950</v>
      </c>
    </row>
    <row r="3454" spans="1:17" x14ac:dyDescent="0.3">
      <c r="A3454" t="s">
        <v>4382</v>
      </c>
      <c r="B3454" t="str">
        <f>"002776"</f>
        <v>002776</v>
      </c>
      <c r="C3454" t="s">
        <v>6951</v>
      </c>
      <c r="D3454" t="s">
        <v>227</v>
      </c>
      <c r="F3454">
        <v>-148047010</v>
      </c>
      <c r="G3454">
        <v>126008100</v>
      </c>
      <c r="H3454">
        <v>72106190</v>
      </c>
      <c r="I3454">
        <v>-191640166</v>
      </c>
      <c r="J3454">
        <v>-171848909</v>
      </c>
      <c r="K3454">
        <v>24947384</v>
      </c>
      <c r="L3454">
        <v>109462476</v>
      </c>
      <c r="M3454">
        <v>140512630</v>
      </c>
      <c r="P3454">
        <v>125</v>
      </c>
      <c r="Q3454" t="s">
        <v>6952</v>
      </c>
    </row>
    <row r="3455" spans="1:17" x14ac:dyDescent="0.3">
      <c r="A3455" t="s">
        <v>4382</v>
      </c>
      <c r="B3455" t="str">
        <f>"002777"</f>
        <v>002777</v>
      </c>
      <c r="C3455" t="s">
        <v>6953</v>
      </c>
      <c r="D3455" t="s">
        <v>212</v>
      </c>
      <c r="F3455">
        <v>-146060356</v>
      </c>
      <c r="G3455">
        <v>-93966647</v>
      </c>
      <c r="H3455">
        <v>-158564904</v>
      </c>
      <c r="I3455">
        <v>-132435939</v>
      </c>
      <c r="J3455">
        <v>-109989259</v>
      </c>
      <c r="K3455">
        <v>-85453026</v>
      </c>
      <c r="L3455">
        <v>-30256970</v>
      </c>
      <c r="M3455">
        <v>-43119862</v>
      </c>
      <c r="P3455">
        <v>374</v>
      </c>
      <c r="Q3455" t="s">
        <v>6954</v>
      </c>
    </row>
    <row r="3456" spans="1:17" x14ac:dyDescent="0.3">
      <c r="A3456" t="s">
        <v>4382</v>
      </c>
      <c r="B3456" t="str">
        <f>"002778"</f>
        <v>002778</v>
      </c>
      <c r="C3456" t="s">
        <v>6955</v>
      </c>
      <c r="D3456" t="s">
        <v>70</v>
      </c>
      <c r="F3456">
        <v>56489201</v>
      </c>
      <c r="G3456">
        <v>-17957477</v>
      </c>
      <c r="H3456">
        <v>-3621840</v>
      </c>
      <c r="I3456">
        <v>-76209719</v>
      </c>
      <c r="J3456">
        <v>-108396937</v>
      </c>
      <c r="K3456">
        <v>-60077603</v>
      </c>
      <c r="L3456">
        <v>-41926185</v>
      </c>
      <c r="M3456">
        <v>-77785292</v>
      </c>
      <c r="P3456">
        <v>75</v>
      </c>
      <c r="Q3456" t="s">
        <v>6956</v>
      </c>
    </row>
    <row r="3457" spans="1:17" x14ac:dyDescent="0.3">
      <c r="A3457" t="s">
        <v>4382</v>
      </c>
      <c r="B3457" t="str">
        <f>"002779"</f>
        <v>002779</v>
      </c>
      <c r="C3457" t="s">
        <v>6957</v>
      </c>
      <c r="D3457" t="s">
        <v>78</v>
      </c>
      <c r="F3457">
        <v>-75565604</v>
      </c>
      <c r="G3457">
        <v>-8611789</v>
      </c>
      <c r="H3457">
        <v>-32812229</v>
      </c>
      <c r="I3457">
        <v>-55792777</v>
      </c>
      <c r="J3457">
        <v>-43732915</v>
      </c>
      <c r="K3457">
        <v>-25384653</v>
      </c>
      <c r="L3457">
        <v>24593109</v>
      </c>
      <c r="M3457">
        <v>30671108</v>
      </c>
      <c r="P3457">
        <v>54</v>
      </c>
      <c r="Q3457" t="s">
        <v>6958</v>
      </c>
    </row>
    <row r="3458" spans="1:17" x14ac:dyDescent="0.3">
      <c r="A3458" t="s">
        <v>4382</v>
      </c>
      <c r="B3458" t="str">
        <f>"002780"</f>
        <v>002780</v>
      </c>
      <c r="C3458" t="s">
        <v>6959</v>
      </c>
      <c r="D3458" t="s">
        <v>227</v>
      </c>
      <c r="F3458">
        <v>-66664951</v>
      </c>
      <c r="G3458">
        <v>-133357095</v>
      </c>
      <c r="H3458">
        <v>-100490526</v>
      </c>
      <c r="I3458">
        <v>-13622178</v>
      </c>
      <c r="J3458">
        <v>-177657022</v>
      </c>
      <c r="K3458">
        <v>-60971628</v>
      </c>
      <c r="L3458">
        <v>-22457100</v>
      </c>
      <c r="M3458">
        <v>-21606400</v>
      </c>
      <c r="P3458">
        <v>85</v>
      </c>
      <c r="Q3458" t="s">
        <v>6960</v>
      </c>
    </row>
    <row r="3459" spans="1:17" x14ac:dyDescent="0.3">
      <c r="A3459" t="s">
        <v>4382</v>
      </c>
      <c r="B3459" t="str">
        <f>"002781"</f>
        <v>002781</v>
      </c>
      <c r="C3459" t="s">
        <v>6961</v>
      </c>
      <c r="D3459" t="s">
        <v>95</v>
      </c>
      <c r="F3459">
        <v>-322638793</v>
      </c>
      <c r="G3459">
        <v>-150581997</v>
      </c>
      <c r="H3459">
        <v>-17791791</v>
      </c>
      <c r="I3459">
        <v>-455556382</v>
      </c>
      <c r="J3459">
        <v>-89655138</v>
      </c>
      <c r="K3459">
        <v>-663224566</v>
      </c>
      <c r="L3459">
        <v>-299020300</v>
      </c>
      <c r="M3459">
        <v>-279140300</v>
      </c>
      <c r="P3459">
        <v>68</v>
      </c>
      <c r="Q3459" t="s">
        <v>6962</v>
      </c>
    </row>
    <row r="3460" spans="1:17" x14ac:dyDescent="0.3">
      <c r="A3460" t="s">
        <v>4382</v>
      </c>
      <c r="B3460" t="str">
        <f>"002782"</f>
        <v>002782</v>
      </c>
      <c r="C3460" t="s">
        <v>6963</v>
      </c>
      <c r="D3460" t="s">
        <v>150</v>
      </c>
      <c r="F3460">
        <v>-166406702</v>
      </c>
      <c r="G3460">
        <v>43236273</v>
      </c>
      <c r="H3460">
        <v>66746629</v>
      </c>
      <c r="I3460">
        <v>-28204825</v>
      </c>
      <c r="J3460">
        <v>28545779</v>
      </c>
      <c r="K3460">
        <v>10879860</v>
      </c>
      <c r="P3460">
        <v>167</v>
      </c>
      <c r="Q3460" t="s">
        <v>6964</v>
      </c>
    </row>
    <row r="3461" spans="1:17" x14ac:dyDescent="0.3">
      <c r="A3461" t="s">
        <v>4382</v>
      </c>
      <c r="B3461" t="str">
        <f>"002783"</f>
        <v>002783</v>
      </c>
      <c r="C3461" t="s">
        <v>6965</v>
      </c>
      <c r="D3461" t="s">
        <v>133</v>
      </c>
      <c r="F3461">
        <v>-224868223</v>
      </c>
      <c r="G3461">
        <v>-172548866</v>
      </c>
      <c r="H3461">
        <v>-309630537</v>
      </c>
      <c r="I3461">
        <v>-143960559</v>
      </c>
      <c r="J3461">
        <v>-39830222</v>
      </c>
      <c r="K3461">
        <v>41407690</v>
      </c>
      <c r="L3461">
        <v>75100100</v>
      </c>
      <c r="M3461">
        <v>50913300</v>
      </c>
      <c r="P3461">
        <v>112</v>
      </c>
      <c r="Q3461" t="s">
        <v>6966</v>
      </c>
    </row>
    <row r="3462" spans="1:17" x14ac:dyDescent="0.3">
      <c r="A3462" t="s">
        <v>4382</v>
      </c>
      <c r="B3462" t="str">
        <f>"002785"</f>
        <v>002785</v>
      </c>
      <c r="C3462" t="s">
        <v>6967</v>
      </c>
      <c r="D3462" t="s">
        <v>350</v>
      </c>
      <c r="F3462">
        <v>-4369225</v>
      </c>
      <c r="G3462">
        <v>-20323616</v>
      </c>
      <c r="H3462">
        <v>-20175468</v>
      </c>
      <c r="I3462">
        <v>-26241515</v>
      </c>
      <c r="J3462">
        <v>-57713465</v>
      </c>
      <c r="K3462">
        <v>-88571289</v>
      </c>
      <c r="L3462">
        <v>-11893843</v>
      </c>
      <c r="M3462">
        <v>-30974453</v>
      </c>
      <c r="P3462">
        <v>57</v>
      </c>
      <c r="Q3462" t="s">
        <v>6968</v>
      </c>
    </row>
    <row r="3463" spans="1:17" x14ac:dyDescent="0.3">
      <c r="A3463" t="s">
        <v>4382</v>
      </c>
      <c r="B3463" t="str">
        <f>"002786"</f>
        <v>002786</v>
      </c>
      <c r="C3463" t="s">
        <v>6969</v>
      </c>
      <c r="D3463" t="s">
        <v>78</v>
      </c>
      <c r="F3463">
        <v>-525500562</v>
      </c>
      <c r="G3463">
        <v>-111181893</v>
      </c>
      <c r="H3463">
        <v>-22959153</v>
      </c>
      <c r="I3463">
        <v>-257696848</v>
      </c>
      <c r="J3463">
        <v>-323650148</v>
      </c>
      <c r="K3463">
        <v>-164456715</v>
      </c>
      <c r="L3463">
        <v>-139994755</v>
      </c>
      <c r="M3463">
        <v>-18614218</v>
      </c>
      <c r="P3463">
        <v>176</v>
      </c>
      <c r="Q3463" t="s">
        <v>6970</v>
      </c>
    </row>
    <row r="3464" spans="1:17" x14ac:dyDescent="0.3">
      <c r="A3464" t="s">
        <v>4382</v>
      </c>
      <c r="B3464" t="str">
        <f>"002787"</f>
        <v>002787</v>
      </c>
      <c r="C3464" t="s">
        <v>6971</v>
      </c>
      <c r="D3464" t="s">
        <v>161</v>
      </c>
      <c r="F3464">
        <v>-393308101</v>
      </c>
      <c r="G3464">
        <v>-154336766</v>
      </c>
      <c r="H3464">
        <v>15820793</v>
      </c>
      <c r="I3464">
        <v>-176794666</v>
      </c>
      <c r="J3464">
        <v>-12016476</v>
      </c>
      <c r="K3464">
        <v>-6711111</v>
      </c>
      <c r="L3464">
        <v>-28429959</v>
      </c>
      <c r="M3464">
        <v>-3953480</v>
      </c>
      <c r="P3464">
        <v>102</v>
      </c>
      <c r="Q3464" t="s">
        <v>6972</v>
      </c>
    </row>
    <row r="3465" spans="1:17" x14ac:dyDescent="0.3">
      <c r="A3465" t="s">
        <v>4382</v>
      </c>
      <c r="B3465" t="str">
        <f>"002788"</f>
        <v>002788</v>
      </c>
      <c r="C3465" t="s">
        <v>6973</v>
      </c>
      <c r="D3465" t="s">
        <v>113</v>
      </c>
      <c r="F3465">
        <v>-509210719</v>
      </c>
      <c r="G3465">
        <v>-413722885</v>
      </c>
      <c r="H3465">
        <v>-866604061</v>
      </c>
      <c r="I3465">
        <v>-146813446</v>
      </c>
      <c r="J3465">
        <v>-885877361</v>
      </c>
      <c r="K3465">
        <v>-767964945</v>
      </c>
      <c r="L3465">
        <v>-372538206</v>
      </c>
      <c r="P3465">
        <v>162</v>
      </c>
      <c r="Q3465" t="s">
        <v>6974</v>
      </c>
    </row>
    <row r="3466" spans="1:17" x14ac:dyDescent="0.3">
      <c r="A3466" t="s">
        <v>4382</v>
      </c>
      <c r="B3466" t="str">
        <f>"002789"</f>
        <v>002789</v>
      </c>
      <c r="C3466" t="s">
        <v>6975</v>
      </c>
      <c r="D3466" t="s">
        <v>95</v>
      </c>
      <c r="F3466">
        <v>-43402488</v>
      </c>
      <c r="G3466">
        <v>-380220593</v>
      </c>
      <c r="H3466">
        <v>329546083</v>
      </c>
      <c r="I3466">
        <v>64335669</v>
      </c>
      <c r="J3466">
        <v>-80194110</v>
      </c>
      <c r="K3466">
        <v>-223142895</v>
      </c>
      <c r="L3466">
        <v>-255816240</v>
      </c>
      <c r="P3466">
        <v>57</v>
      </c>
      <c r="Q3466" t="s">
        <v>6976</v>
      </c>
    </row>
    <row r="3467" spans="1:17" x14ac:dyDescent="0.3">
      <c r="A3467" t="s">
        <v>4382</v>
      </c>
      <c r="B3467" t="str">
        <f>"002790"</f>
        <v>002790</v>
      </c>
      <c r="C3467" t="s">
        <v>6977</v>
      </c>
      <c r="D3467" t="s">
        <v>161</v>
      </c>
      <c r="F3467">
        <v>-29756035</v>
      </c>
      <c r="G3467">
        <v>69422920</v>
      </c>
      <c r="H3467">
        <v>102677570</v>
      </c>
      <c r="I3467">
        <v>5168558</v>
      </c>
      <c r="J3467">
        <v>82826512</v>
      </c>
      <c r="K3467">
        <v>71423275</v>
      </c>
      <c r="L3467">
        <v>35444423</v>
      </c>
      <c r="P3467">
        <v>138</v>
      </c>
      <c r="Q3467" t="s">
        <v>6978</v>
      </c>
    </row>
    <row r="3468" spans="1:17" x14ac:dyDescent="0.3">
      <c r="A3468" t="s">
        <v>4382</v>
      </c>
      <c r="B3468" t="str">
        <f>"002791"</f>
        <v>002791</v>
      </c>
      <c r="C3468" t="s">
        <v>6979</v>
      </c>
      <c r="D3468" t="s">
        <v>350</v>
      </c>
      <c r="F3468">
        <v>-820143159</v>
      </c>
      <c r="G3468">
        <v>-320414891</v>
      </c>
      <c r="H3468">
        <v>-390405485</v>
      </c>
      <c r="I3468">
        <v>-583863651</v>
      </c>
      <c r="J3468">
        <v>-567086803</v>
      </c>
      <c r="K3468">
        <v>-180569880</v>
      </c>
      <c r="L3468">
        <v>-190833696</v>
      </c>
      <c r="P3468">
        <v>553</v>
      </c>
      <c r="Q3468" t="s">
        <v>6980</v>
      </c>
    </row>
    <row r="3469" spans="1:17" x14ac:dyDescent="0.3">
      <c r="A3469" t="s">
        <v>4382</v>
      </c>
      <c r="B3469" t="str">
        <f>"002792"</f>
        <v>002792</v>
      </c>
      <c r="C3469" t="s">
        <v>6981</v>
      </c>
      <c r="D3469" t="s">
        <v>100</v>
      </c>
      <c r="F3469">
        <v>47713545</v>
      </c>
      <c r="G3469">
        <v>-128054393</v>
      </c>
      <c r="H3469">
        <v>109960144</v>
      </c>
      <c r="I3469">
        <v>-153008276</v>
      </c>
      <c r="J3469">
        <v>-49301869</v>
      </c>
      <c r="K3469">
        <v>12405574</v>
      </c>
      <c r="L3469">
        <v>-8949923</v>
      </c>
      <c r="P3469">
        <v>343</v>
      </c>
      <c r="Q3469" t="s">
        <v>6982</v>
      </c>
    </row>
    <row r="3470" spans="1:17" x14ac:dyDescent="0.3">
      <c r="A3470" t="s">
        <v>4382</v>
      </c>
      <c r="B3470" t="str">
        <f>"002793"</f>
        <v>002793</v>
      </c>
      <c r="C3470" t="s">
        <v>6983</v>
      </c>
      <c r="D3470" t="s">
        <v>113</v>
      </c>
      <c r="F3470">
        <v>-515359519</v>
      </c>
      <c r="G3470">
        <v>-629702182</v>
      </c>
      <c r="H3470">
        <v>4886726</v>
      </c>
      <c r="I3470">
        <v>-105098527</v>
      </c>
      <c r="J3470">
        <v>-110573755</v>
      </c>
      <c r="K3470">
        <v>-50180800</v>
      </c>
      <c r="L3470">
        <v>-37476757</v>
      </c>
      <c r="P3470">
        <v>213</v>
      </c>
      <c r="Q3470" t="s">
        <v>6984</v>
      </c>
    </row>
    <row r="3471" spans="1:17" x14ac:dyDescent="0.3">
      <c r="A3471" t="s">
        <v>4382</v>
      </c>
      <c r="B3471" t="str">
        <f>"002795"</f>
        <v>002795</v>
      </c>
      <c r="C3471" t="s">
        <v>6985</v>
      </c>
      <c r="D3471" t="s">
        <v>78</v>
      </c>
      <c r="F3471">
        <v>16944074</v>
      </c>
      <c r="G3471">
        <v>53634136</v>
      </c>
      <c r="H3471">
        <v>49507438</v>
      </c>
      <c r="I3471">
        <v>79266041</v>
      </c>
      <c r="J3471">
        <v>11301374</v>
      </c>
      <c r="K3471">
        <v>64684783</v>
      </c>
      <c r="L3471">
        <v>60472818</v>
      </c>
      <c r="P3471">
        <v>74</v>
      </c>
      <c r="Q3471" t="s">
        <v>6986</v>
      </c>
    </row>
    <row r="3472" spans="1:17" x14ac:dyDescent="0.3">
      <c r="A3472" t="s">
        <v>4382</v>
      </c>
      <c r="B3472" t="str">
        <f>"002796"</f>
        <v>002796</v>
      </c>
      <c r="C3472" t="s">
        <v>6987</v>
      </c>
      <c r="D3472" t="s">
        <v>78</v>
      </c>
      <c r="F3472">
        <v>-150269024</v>
      </c>
      <c r="G3472">
        <v>-205065610</v>
      </c>
      <c r="H3472">
        <v>80957493</v>
      </c>
      <c r="I3472">
        <v>-76541036</v>
      </c>
      <c r="J3472">
        <v>-24396922</v>
      </c>
      <c r="K3472">
        <v>26012974</v>
      </c>
      <c r="L3472">
        <v>2518926</v>
      </c>
      <c r="P3472">
        <v>248</v>
      </c>
      <c r="Q3472" t="s">
        <v>6988</v>
      </c>
    </row>
    <row r="3473" spans="1:17" x14ac:dyDescent="0.3">
      <c r="A3473" t="s">
        <v>4382</v>
      </c>
      <c r="B3473" t="str">
        <f>"002797"</f>
        <v>002797</v>
      </c>
      <c r="C3473" t="s">
        <v>6989</v>
      </c>
      <c r="D3473" t="s">
        <v>75</v>
      </c>
      <c r="F3473">
        <v>2997752440</v>
      </c>
      <c r="G3473">
        <v>-2433315515</v>
      </c>
      <c r="H3473">
        <v>2266908274</v>
      </c>
      <c r="I3473">
        <v>-1244293396</v>
      </c>
      <c r="J3473">
        <v>-36428478</v>
      </c>
      <c r="K3473">
        <v>-3875978006</v>
      </c>
      <c r="L3473">
        <v>13129442377</v>
      </c>
      <c r="O3473">
        <v>-552134984.61000001</v>
      </c>
      <c r="P3473">
        <v>838</v>
      </c>
      <c r="Q3473" t="s">
        <v>6990</v>
      </c>
    </row>
    <row r="3474" spans="1:17" x14ac:dyDescent="0.3">
      <c r="A3474" t="s">
        <v>4382</v>
      </c>
      <c r="B3474" t="str">
        <f>"002798"</f>
        <v>002798</v>
      </c>
      <c r="C3474" t="s">
        <v>6991</v>
      </c>
      <c r="D3474" t="s">
        <v>161</v>
      </c>
      <c r="F3474">
        <v>-367639455</v>
      </c>
      <c r="G3474">
        <v>-679277501</v>
      </c>
      <c r="H3474">
        <v>-38316702</v>
      </c>
      <c r="I3474">
        <v>-477153327</v>
      </c>
      <c r="J3474">
        <v>32639742</v>
      </c>
      <c r="K3474">
        <v>861261</v>
      </c>
      <c r="L3474">
        <v>-19009921</v>
      </c>
      <c r="P3474">
        <v>374</v>
      </c>
      <c r="Q3474" t="s">
        <v>6992</v>
      </c>
    </row>
    <row r="3475" spans="1:17" x14ac:dyDescent="0.3">
      <c r="A3475" t="s">
        <v>4382</v>
      </c>
      <c r="B3475" t="str">
        <f>"002799"</f>
        <v>002799</v>
      </c>
      <c r="C3475" t="s">
        <v>6993</v>
      </c>
      <c r="D3475" t="s">
        <v>161</v>
      </c>
      <c r="F3475">
        <v>-42054113</v>
      </c>
      <c r="G3475">
        <v>-123485284</v>
      </c>
      <c r="H3475">
        <v>59225590</v>
      </c>
      <c r="I3475">
        <v>59528405</v>
      </c>
      <c r="J3475">
        <v>-6048049</v>
      </c>
      <c r="K3475">
        <v>-2871786</v>
      </c>
      <c r="L3475">
        <v>15254064</v>
      </c>
      <c r="P3475">
        <v>109</v>
      </c>
      <c r="Q3475" t="s">
        <v>6994</v>
      </c>
    </row>
    <row r="3476" spans="1:17" x14ac:dyDescent="0.3">
      <c r="A3476" t="s">
        <v>4382</v>
      </c>
      <c r="B3476" t="str">
        <f>"002800"</f>
        <v>002800</v>
      </c>
      <c r="C3476" t="s">
        <v>6995</v>
      </c>
      <c r="D3476" t="s">
        <v>22</v>
      </c>
      <c r="F3476">
        <v>-67780264</v>
      </c>
      <c r="G3476">
        <v>-39120917</v>
      </c>
      <c r="H3476">
        <v>-65802430</v>
      </c>
      <c r="I3476">
        <v>62861733</v>
      </c>
      <c r="J3476">
        <v>-102767585</v>
      </c>
      <c r="K3476">
        <v>-67219320</v>
      </c>
      <c r="L3476">
        <v>13662738</v>
      </c>
      <c r="P3476">
        <v>86</v>
      </c>
      <c r="Q3476" t="s">
        <v>6996</v>
      </c>
    </row>
    <row r="3477" spans="1:17" x14ac:dyDescent="0.3">
      <c r="A3477" t="s">
        <v>4382</v>
      </c>
      <c r="B3477" t="str">
        <f>"002801"</f>
        <v>002801</v>
      </c>
      <c r="C3477" t="s">
        <v>6997</v>
      </c>
      <c r="D3477" t="s">
        <v>188</v>
      </c>
      <c r="F3477">
        <v>77624981</v>
      </c>
      <c r="G3477">
        <v>50368324</v>
      </c>
      <c r="H3477">
        <v>87767102</v>
      </c>
      <c r="I3477">
        <v>42542932</v>
      </c>
      <c r="J3477">
        <v>56866000</v>
      </c>
      <c r="K3477">
        <v>46859168</v>
      </c>
      <c r="L3477">
        <v>44415155</v>
      </c>
      <c r="P3477">
        <v>204</v>
      </c>
      <c r="Q3477" t="s">
        <v>6998</v>
      </c>
    </row>
    <row r="3478" spans="1:17" x14ac:dyDescent="0.3">
      <c r="A3478" t="s">
        <v>4382</v>
      </c>
      <c r="B3478" t="str">
        <f>"002802"</f>
        <v>002802</v>
      </c>
      <c r="C3478" t="s">
        <v>6999</v>
      </c>
      <c r="D3478" t="s">
        <v>133</v>
      </c>
      <c r="F3478">
        <v>31347341</v>
      </c>
      <c r="G3478">
        <v>74661891</v>
      </c>
      <c r="H3478">
        <v>46810457</v>
      </c>
      <c r="I3478">
        <v>12504809</v>
      </c>
      <c r="J3478">
        <v>-21081221</v>
      </c>
      <c r="K3478">
        <v>36677044</v>
      </c>
      <c r="L3478">
        <v>42014468</v>
      </c>
      <c r="P3478">
        <v>102</v>
      </c>
      <c r="Q3478" t="s">
        <v>7000</v>
      </c>
    </row>
    <row r="3479" spans="1:17" x14ac:dyDescent="0.3">
      <c r="A3479" t="s">
        <v>4382</v>
      </c>
      <c r="B3479" t="str">
        <f>"002803"</f>
        <v>002803</v>
      </c>
      <c r="C3479" t="s">
        <v>7001</v>
      </c>
      <c r="D3479" t="s">
        <v>120</v>
      </c>
      <c r="F3479">
        <v>-763654</v>
      </c>
      <c r="G3479">
        <v>224377284</v>
      </c>
      <c r="H3479">
        <v>35629163</v>
      </c>
      <c r="I3479">
        <v>88043094</v>
      </c>
      <c r="J3479">
        <v>-126253399</v>
      </c>
      <c r="K3479">
        <v>-69021898</v>
      </c>
      <c r="L3479">
        <v>24910757</v>
      </c>
      <c r="P3479">
        <v>601</v>
      </c>
      <c r="Q3479" t="s">
        <v>7002</v>
      </c>
    </row>
    <row r="3480" spans="1:17" x14ac:dyDescent="0.3">
      <c r="A3480" t="s">
        <v>4382</v>
      </c>
      <c r="B3480" t="str">
        <f>"002805"</f>
        <v>002805</v>
      </c>
      <c r="C3480" t="s">
        <v>7003</v>
      </c>
      <c r="D3480" t="s">
        <v>133</v>
      </c>
      <c r="F3480">
        <v>-278119728</v>
      </c>
      <c r="G3480">
        <v>1410274</v>
      </c>
      <c r="H3480">
        <v>-122115861</v>
      </c>
      <c r="I3480">
        <v>1212949</v>
      </c>
      <c r="J3480">
        <v>-74732766</v>
      </c>
      <c r="K3480">
        <v>-8586205</v>
      </c>
      <c r="L3480">
        <v>9470309</v>
      </c>
      <c r="P3480">
        <v>113</v>
      </c>
      <c r="Q3480" t="s">
        <v>7004</v>
      </c>
    </row>
    <row r="3481" spans="1:17" x14ac:dyDescent="0.3">
      <c r="A3481" t="s">
        <v>4382</v>
      </c>
      <c r="B3481" t="str">
        <f>"002806"</f>
        <v>002806</v>
      </c>
      <c r="C3481" t="s">
        <v>7005</v>
      </c>
      <c r="D3481" t="s">
        <v>234</v>
      </c>
      <c r="F3481">
        <v>-47766883</v>
      </c>
      <c r="G3481">
        <v>-49154761</v>
      </c>
      <c r="H3481">
        <v>14600297</v>
      </c>
      <c r="I3481">
        <v>-11256968</v>
      </c>
      <c r="J3481">
        <v>-37962190</v>
      </c>
      <c r="K3481">
        <v>-1443412</v>
      </c>
      <c r="L3481">
        <v>16562005</v>
      </c>
      <c r="P3481">
        <v>100</v>
      </c>
      <c r="Q3481" t="s">
        <v>7006</v>
      </c>
    </row>
    <row r="3482" spans="1:17" x14ac:dyDescent="0.3">
      <c r="A3482" t="s">
        <v>4382</v>
      </c>
      <c r="B3482" t="str">
        <f>"002807"</f>
        <v>002807</v>
      </c>
      <c r="C3482" t="s">
        <v>7007</v>
      </c>
      <c r="D3482" t="s">
        <v>19</v>
      </c>
      <c r="F3482">
        <v>-2739482000</v>
      </c>
      <c r="G3482">
        <v>-805962000</v>
      </c>
      <c r="H3482">
        <v>4474407000</v>
      </c>
      <c r="I3482">
        <v>-9562605000</v>
      </c>
      <c r="J3482">
        <v>2808660612</v>
      </c>
      <c r="K3482">
        <v>5974440000</v>
      </c>
      <c r="L3482">
        <v>2060301000</v>
      </c>
      <c r="P3482">
        <v>571</v>
      </c>
      <c r="Q3482" t="s">
        <v>7008</v>
      </c>
    </row>
    <row r="3483" spans="1:17" x14ac:dyDescent="0.3">
      <c r="A3483" t="s">
        <v>4382</v>
      </c>
      <c r="B3483" t="str">
        <f>"002808"</f>
        <v>002808</v>
      </c>
      <c r="C3483" t="s">
        <v>7009</v>
      </c>
      <c r="D3483" t="s">
        <v>150</v>
      </c>
      <c r="F3483">
        <v>12837161</v>
      </c>
      <c r="G3483">
        <v>34462544</v>
      </c>
      <c r="H3483">
        <v>22501771</v>
      </c>
      <c r="I3483">
        <v>-70852066</v>
      </c>
      <c r="J3483">
        <v>-27694969</v>
      </c>
      <c r="K3483">
        <v>2538933</v>
      </c>
      <c r="L3483">
        <v>2369534</v>
      </c>
      <c r="P3483">
        <v>73</v>
      </c>
      <c r="Q3483" t="s">
        <v>7010</v>
      </c>
    </row>
    <row r="3484" spans="1:17" x14ac:dyDescent="0.3">
      <c r="A3484" t="s">
        <v>4382</v>
      </c>
      <c r="B3484" t="str">
        <f>"002809"</f>
        <v>002809</v>
      </c>
      <c r="C3484" t="s">
        <v>7011</v>
      </c>
      <c r="D3484" t="s">
        <v>133</v>
      </c>
      <c r="F3484">
        <v>-232834991</v>
      </c>
      <c r="G3484">
        <v>-100773668</v>
      </c>
      <c r="H3484">
        <v>-81703646</v>
      </c>
      <c r="I3484">
        <v>-114313415</v>
      </c>
      <c r="J3484">
        <v>-68001392</v>
      </c>
      <c r="K3484">
        <v>45790938</v>
      </c>
      <c r="L3484">
        <v>-7636728</v>
      </c>
      <c r="P3484">
        <v>99</v>
      </c>
      <c r="Q3484" t="s">
        <v>7012</v>
      </c>
    </row>
    <row r="3485" spans="1:17" x14ac:dyDescent="0.3">
      <c r="A3485" t="s">
        <v>4382</v>
      </c>
      <c r="B3485" t="str">
        <f>"002810"</f>
        <v>002810</v>
      </c>
      <c r="C3485" t="s">
        <v>7013</v>
      </c>
      <c r="D3485" t="s">
        <v>133</v>
      </c>
      <c r="F3485">
        <v>13172308</v>
      </c>
      <c r="G3485">
        <v>116077627</v>
      </c>
      <c r="H3485">
        <v>81783928</v>
      </c>
      <c r="I3485">
        <v>-74124736</v>
      </c>
      <c r="J3485">
        <v>-42103758</v>
      </c>
      <c r="K3485">
        <v>5232287</v>
      </c>
      <c r="L3485">
        <v>-23208849</v>
      </c>
      <c r="P3485">
        <v>421</v>
      </c>
      <c r="Q3485" t="s">
        <v>7014</v>
      </c>
    </row>
    <row r="3486" spans="1:17" x14ac:dyDescent="0.3">
      <c r="A3486" t="s">
        <v>4382</v>
      </c>
      <c r="B3486" t="str">
        <f>"002811"</f>
        <v>002811</v>
      </c>
      <c r="C3486" t="s">
        <v>7015</v>
      </c>
      <c r="D3486" t="s">
        <v>95</v>
      </c>
      <c r="F3486">
        <v>147888341</v>
      </c>
      <c r="G3486">
        <v>104997299</v>
      </c>
      <c r="H3486">
        <v>-12540873</v>
      </c>
      <c r="I3486">
        <v>-56424893</v>
      </c>
      <c r="J3486">
        <v>-150951418</v>
      </c>
      <c r="K3486">
        <v>-158341781</v>
      </c>
      <c r="L3486">
        <v>-100278054</v>
      </c>
      <c r="P3486">
        <v>95</v>
      </c>
      <c r="Q3486" t="s">
        <v>7016</v>
      </c>
    </row>
    <row r="3487" spans="1:17" x14ac:dyDescent="0.3">
      <c r="A3487" t="s">
        <v>4382</v>
      </c>
      <c r="B3487" t="str">
        <f>"002812"</f>
        <v>002812</v>
      </c>
      <c r="C3487" t="s">
        <v>7017</v>
      </c>
      <c r="D3487" t="s">
        <v>188</v>
      </c>
      <c r="F3487">
        <v>-2202661204</v>
      </c>
      <c r="G3487">
        <v>-775388985</v>
      </c>
      <c r="H3487">
        <v>-1309612055</v>
      </c>
      <c r="I3487">
        <v>-1088444584</v>
      </c>
      <c r="J3487">
        <v>44805334</v>
      </c>
      <c r="K3487">
        <v>-28490307</v>
      </c>
      <c r="L3487">
        <v>-11181401</v>
      </c>
      <c r="P3487">
        <v>1586</v>
      </c>
      <c r="Q3487" t="s">
        <v>7018</v>
      </c>
    </row>
    <row r="3488" spans="1:17" x14ac:dyDescent="0.3">
      <c r="A3488" t="s">
        <v>4382</v>
      </c>
      <c r="B3488" t="str">
        <f>"002813"</f>
        <v>002813</v>
      </c>
      <c r="C3488" t="s">
        <v>7019</v>
      </c>
      <c r="D3488" t="s">
        <v>27</v>
      </c>
      <c r="F3488">
        <v>37516414</v>
      </c>
      <c r="G3488">
        <v>34459639</v>
      </c>
      <c r="H3488">
        <v>14339145</v>
      </c>
      <c r="I3488">
        <v>-134112265</v>
      </c>
      <c r="J3488">
        <v>-159399465</v>
      </c>
      <c r="K3488">
        <v>-102254801</v>
      </c>
      <c r="L3488">
        <v>-90297278</v>
      </c>
      <c r="P3488">
        <v>113</v>
      </c>
      <c r="Q3488" t="s">
        <v>7020</v>
      </c>
    </row>
    <row r="3489" spans="1:17" x14ac:dyDescent="0.3">
      <c r="A3489" t="s">
        <v>4382</v>
      </c>
      <c r="B3489" t="str">
        <f>"002815"</f>
        <v>002815</v>
      </c>
      <c r="C3489" t="s">
        <v>7021</v>
      </c>
      <c r="D3489" t="s">
        <v>150</v>
      </c>
      <c r="F3489">
        <v>71899716</v>
      </c>
      <c r="G3489">
        <v>-37009118</v>
      </c>
      <c r="H3489">
        <v>300527235</v>
      </c>
      <c r="I3489">
        <v>181667378</v>
      </c>
      <c r="J3489">
        <v>-59720946</v>
      </c>
      <c r="K3489">
        <v>-70708463</v>
      </c>
      <c r="L3489">
        <v>52716985</v>
      </c>
      <c r="P3489">
        <v>920</v>
      </c>
      <c r="Q3489" t="s">
        <v>7022</v>
      </c>
    </row>
    <row r="3490" spans="1:17" x14ac:dyDescent="0.3">
      <c r="A3490" t="s">
        <v>4382</v>
      </c>
      <c r="B3490" t="str">
        <f>"002816"</f>
        <v>002816</v>
      </c>
      <c r="C3490" t="s">
        <v>7023</v>
      </c>
      <c r="D3490" t="s">
        <v>78</v>
      </c>
      <c r="F3490">
        <v>-95714942</v>
      </c>
      <c r="G3490">
        <v>-537005</v>
      </c>
      <c r="H3490">
        <v>-363151</v>
      </c>
      <c r="I3490">
        <v>-7938540</v>
      </c>
      <c r="J3490">
        <v>-67397395</v>
      </c>
      <c r="K3490">
        <v>-33221192</v>
      </c>
      <c r="L3490">
        <v>-2458780</v>
      </c>
      <c r="P3490">
        <v>46</v>
      </c>
      <c r="Q3490" t="s">
        <v>7024</v>
      </c>
    </row>
    <row r="3491" spans="1:17" x14ac:dyDescent="0.3">
      <c r="A3491" t="s">
        <v>4382</v>
      </c>
      <c r="B3491" t="str">
        <f>"002817"</f>
        <v>002817</v>
      </c>
      <c r="C3491" t="s">
        <v>7025</v>
      </c>
      <c r="D3491" t="s">
        <v>113</v>
      </c>
      <c r="F3491">
        <v>-33838699</v>
      </c>
      <c r="G3491">
        <v>-18328642</v>
      </c>
      <c r="H3491">
        <v>15371334</v>
      </c>
      <c r="I3491">
        <v>-3054981</v>
      </c>
      <c r="J3491">
        <v>20053523</v>
      </c>
      <c r="K3491">
        <v>12577813</v>
      </c>
      <c r="P3491">
        <v>126</v>
      </c>
      <c r="Q3491" t="s">
        <v>7026</v>
      </c>
    </row>
    <row r="3492" spans="1:17" x14ac:dyDescent="0.3">
      <c r="A3492" t="s">
        <v>4382</v>
      </c>
      <c r="B3492" t="str">
        <f>"002818"</f>
        <v>002818</v>
      </c>
      <c r="C3492" t="s">
        <v>7027</v>
      </c>
      <c r="D3492" t="s">
        <v>120</v>
      </c>
      <c r="F3492">
        <v>761334946</v>
      </c>
      <c r="G3492">
        <v>291141507</v>
      </c>
      <c r="H3492">
        <v>612711296</v>
      </c>
      <c r="I3492">
        <v>165831550</v>
      </c>
      <c r="J3492">
        <v>508828830</v>
      </c>
      <c r="K3492">
        <v>241052014</v>
      </c>
      <c r="L3492">
        <v>146053986</v>
      </c>
      <c r="P3492">
        <v>868</v>
      </c>
      <c r="Q3492" t="s">
        <v>7028</v>
      </c>
    </row>
    <row r="3493" spans="1:17" x14ac:dyDescent="0.3">
      <c r="A3493" t="s">
        <v>4382</v>
      </c>
      <c r="B3493" t="str">
        <f>"002819"</f>
        <v>002819</v>
      </c>
      <c r="C3493" t="s">
        <v>7029</v>
      </c>
      <c r="D3493" t="s">
        <v>78</v>
      </c>
      <c r="F3493">
        <v>14328575</v>
      </c>
      <c r="G3493">
        <v>74993420</v>
      </c>
      <c r="H3493">
        <v>-23500620</v>
      </c>
      <c r="I3493">
        <v>-166830114</v>
      </c>
      <c r="J3493">
        <v>-104792627</v>
      </c>
      <c r="K3493">
        <v>-58210962</v>
      </c>
      <c r="L3493">
        <v>-45494677</v>
      </c>
      <c r="P3493">
        <v>139</v>
      </c>
      <c r="Q3493" t="s">
        <v>7030</v>
      </c>
    </row>
    <row r="3494" spans="1:17" x14ac:dyDescent="0.3">
      <c r="A3494" t="s">
        <v>4382</v>
      </c>
      <c r="B3494" t="str">
        <f>"002820"</f>
        <v>002820</v>
      </c>
      <c r="C3494" t="s">
        <v>7031</v>
      </c>
      <c r="D3494" t="s">
        <v>123</v>
      </c>
      <c r="F3494">
        <v>63905825</v>
      </c>
      <c r="G3494">
        <v>24496312</v>
      </c>
      <c r="H3494">
        <v>55389490</v>
      </c>
      <c r="I3494">
        <v>66653282</v>
      </c>
      <c r="J3494">
        <v>44390529</v>
      </c>
      <c r="K3494">
        <v>58913487</v>
      </c>
      <c r="L3494">
        <v>54168427</v>
      </c>
      <c r="P3494">
        <v>146</v>
      </c>
      <c r="Q3494" t="s">
        <v>7032</v>
      </c>
    </row>
    <row r="3495" spans="1:17" x14ac:dyDescent="0.3">
      <c r="A3495" t="s">
        <v>4382</v>
      </c>
      <c r="B3495" t="str">
        <f>"002821"</f>
        <v>002821</v>
      </c>
      <c r="C3495" t="s">
        <v>7033</v>
      </c>
      <c r="D3495" t="s">
        <v>113</v>
      </c>
      <c r="F3495">
        <v>-781555560</v>
      </c>
      <c r="G3495">
        <v>-237862473</v>
      </c>
      <c r="H3495">
        <v>-76092494</v>
      </c>
      <c r="I3495">
        <v>-143307180</v>
      </c>
      <c r="J3495">
        <v>36753196</v>
      </c>
      <c r="K3495">
        <v>78183341</v>
      </c>
      <c r="L3495">
        <v>128963094</v>
      </c>
      <c r="P3495">
        <v>2420</v>
      </c>
      <c r="Q3495" t="s">
        <v>7034</v>
      </c>
    </row>
    <row r="3496" spans="1:17" x14ac:dyDescent="0.3">
      <c r="A3496" t="s">
        <v>4382</v>
      </c>
      <c r="B3496" t="str">
        <f>"002822"</f>
        <v>002822</v>
      </c>
      <c r="C3496" t="s">
        <v>7035</v>
      </c>
      <c r="D3496" t="s">
        <v>95</v>
      </c>
      <c r="F3496">
        <v>-421935824</v>
      </c>
      <c r="G3496">
        <v>-301064737</v>
      </c>
      <c r="H3496">
        <v>-56590028</v>
      </c>
      <c r="I3496">
        <v>-545549089</v>
      </c>
      <c r="J3496">
        <v>-294326032</v>
      </c>
      <c r="K3496">
        <v>-110644238</v>
      </c>
      <c r="L3496">
        <v>-125692193</v>
      </c>
      <c r="P3496">
        <v>134</v>
      </c>
      <c r="Q3496" t="s">
        <v>7036</v>
      </c>
    </row>
    <row r="3497" spans="1:17" x14ac:dyDescent="0.3">
      <c r="A3497" t="s">
        <v>4382</v>
      </c>
      <c r="B3497" t="str">
        <f>"002823"</f>
        <v>002823</v>
      </c>
      <c r="C3497" t="s">
        <v>7037</v>
      </c>
      <c r="D3497" t="s">
        <v>188</v>
      </c>
      <c r="F3497">
        <v>-247879610</v>
      </c>
      <c r="G3497">
        <v>2810444</v>
      </c>
      <c r="H3497">
        <v>-73264114</v>
      </c>
      <c r="I3497">
        <v>-143393160</v>
      </c>
      <c r="J3497">
        <v>-72515162</v>
      </c>
      <c r="K3497">
        <v>-45841448</v>
      </c>
      <c r="L3497">
        <v>34626700</v>
      </c>
      <c r="P3497">
        <v>158</v>
      </c>
      <c r="Q3497" t="s">
        <v>7038</v>
      </c>
    </row>
    <row r="3498" spans="1:17" x14ac:dyDescent="0.3">
      <c r="A3498" t="s">
        <v>4382</v>
      </c>
      <c r="B3498" t="str">
        <f>"002824"</f>
        <v>002824</v>
      </c>
      <c r="C3498" t="s">
        <v>7039</v>
      </c>
      <c r="D3498" t="s">
        <v>234</v>
      </c>
      <c r="F3498">
        <v>-17563208</v>
      </c>
      <c r="G3498">
        <v>11064262</v>
      </c>
      <c r="H3498">
        <v>16077947</v>
      </c>
      <c r="I3498">
        <v>-173310212</v>
      </c>
      <c r="J3498">
        <v>-52969098</v>
      </c>
      <c r="K3498">
        <v>-12281789</v>
      </c>
      <c r="L3498">
        <v>43321</v>
      </c>
      <c r="P3498">
        <v>168</v>
      </c>
      <c r="Q3498" t="s">
        <v>7040</v>
      </c>
    </row>
    <row r="3499" spans="1:17" x14ac:dyDescent="0.3">
      <c r="A3499" t="s">
        <v>4382</v>
      </c>
      <c r="B3499" t="str">
        <f>"002825"</f>
        <v>002825</v>
      </c>
      <c r="C3499" t="s">
        <v>7041</v>
      </c>
      <c r="D3499" t="s">
        <v>133</v>
      </c>
      <c r="F3499">
        <v>6136161</v>
      </c>
      <c r="G3499">
        <v>65609366</v>
      </c>
      <c r="H3499">
        <v>18769115</v>
      </c>
      <c r="I3499">
        <v>14592475</v>
      </c>
      <c r="J3499">
        <v>52710324</v>
      </c>
      <c r="K3499">
        <v>1812478</v>
      </c>
      <c r="L3499">
        <v>-82875</v>
      </c>
      <c r="P3499">
        <v>100</v>
      </c>
      <c r="Q3499" t="s">
        <v>7042</v>
      </c>
    </row>
    <row r="3500" spans="1:17" x14ac:dyDescent="0.3">
      <c r="A3500" t="s">
        <v>4382</v>
      </c>
      <c r="B3500" t="str">
        <f>"002826"</f>
        <v>002826</v>
      </c>
      <c r="C3500" t="s">
        <v>7043</v>
      </c>
      <c r="D3500" t="s">
        <v>113</v>
      </c>
      <c r="F3500">
        <v>42678303</v>
      </c>
      <c r="G3500">
        <v>-5092059</v>
      </c>
      <c r="H3500">
        <v>-119586720</v>
      </c>
      <c r="I3500">
        <v>-54416177</v>
      </c>
      <c r="J3500">
        <v>-29155311</v>
      </c>
      <c r="K3500">
        <v>-11707491</v>
      </c>
      <c r="L3500">
        <v>-7531900</v>
      </c>
      <c r="P3500">
        <v>127</v>
      </c>
      <c r="Q3500" t="s">
        <v>7044</v>
      </c>
    </row>
    <row r="3501" spans="1:17" x14ac:dyDescent="0.3">
      <c r="A3501" t="s">
        <v>4382</v>
      </c>
      <c r="B3501" t="str">
        <f>"002827"</f>
        <v>002827</v>
      </c>
      <c r="C3501" t="s">
        <v>7045</v>
      </c>
      <c r="D3501" t="s">
        <v>133</v>
      </c>
      <c r="F3501">
        <v>18395211</v>
      </c>
      <c r="G3501">
        <v>-62219415</v>
      </c>
      <c r="H3501">
        <v>-82962951</v>
      </c>
      <c r="I3501">
        <v>16552397</v>
      </c>
      <c r="J3501">
        <v>55196570</v>
      </c>
      <c r="K3501">
        <v>42879800</v>
      </c>
      <c r="L3501">
        <v>20185241</v>
      </c>
      <c r="P3501">
        <v>89</v>
      </c>
      <c r="Q3501" t="s">
        <v>7046</v>
      </c>
    </row>
    <row r="3502" spans="1:17" x14ac:dyDescent="0.3">
      <c r="A3502" t="s">
        <v>4382</v>
      </c>
      <c r="B3502" t="str">
        <f>"002828"</f>
        <v>002828</v>
      </c>
      <c r="C3502" t="s">
        <v>7047</v>
      </c>
      <c r="D3502" t="s">
        <v>70</v>
      </c>
      <c r="F3502">
        <v>-15058698</v>
      </c>
      <c r="G3502">
        <v>-154633596</v>
      </c>
      <c r="H3502">
        <v>-287447457</v>
      </c>
      <c r="I3502">
        <v>-198385670</v>
      </c>
      <c r="J3502">
        <v>-135653731</v>
      </c>
      <c r="K3502">
        <v>-8815174</v>
      </c>
      <c r="L3502">
        <v>-97099580</v>
      </c>
      <c r="P3502">
        <v>73</v>
      </c>
      <c r="Q3502" t="s">
        <v>7048</v>
      </c>
    </row>
    <row r="3503" spans="1:17" x14ac:dyDescent="0.3">
      <c r="A3503" t="s">
        <v>4382</v>
      </c>
      <c r="B3503" t="str">
        <f>"002829"</f>
        <v>002829</v>
      </c>
      <c r="C3503" t="s">
        <v>7049</v>
      </c>
      <c r="D3503" t="s">
        <v>92</v>
      </c>
      <c r="F3503">
        <v>-87571812</v>
      </c>
      <c r="G3503">
        <v>-36242791</v>
      </c>
      <c r="H3503">
        <v>-51699505</v>
      </c>
      <c r="I3503">
        <v>-98275751</v>
      </c>
      <c r="J3503">
        <v>-150963987</v>
      </c>
      <c r="K3503">
        <v>-20399579</v>
      </c>
      <c r="L3503">
        <v>-74212878</v>
      </c>
      <c r="P3503">
        <v>132</v>
      </c>
      <c r="Q3503" t="s">
        <v>7050</v>
      </c>
    </row>
    <row r="3504" spans="1:17" x14ac:dyDescent="0.3">
      <c r="A3504" t="s">
        <v>4382</v>
      </c>
      <c r="B3504" t="str">
        <f>"002830"</f>
        <v>002830</v>
      </c>
      <c r="C3504" t="s">
        <v>7051</v>
      </c>
      <c r="D3504" t="s">
        <v>95</v>
      </c>
      <c r="F3504">
        <v>-48911897</v>
      </c>
      <c r="G3504">
        <v>171105144</v>
      </c>
      <c r="H3504">
        <v>56442133</v>
      </c>
      <c r="I3504">
        <v>55029697</v>
      </c>
      <c r="J3504">
        <v>81201742</v>
      </c>
      <c r="K3504">
        <v>58854859</v>
      </c>
      <c r="L3504">
        <v>70198884</v>
      </c>
      <c r="P3504">
        <v>78</v>
      </c>
      <c r="Q3504" t="s">
        <v>7052</v>
      </c>
    </row>
    <row r="3505" spans="1:17" x14ac:dyDescent="0.3">
      <c r="A3505" t="s">
        <v>4382</v>
      </c>
      <c r="B3505" t="str">
        <f>"002831"</f>
        <v>002831</v>
      </c>
      <c r="C3505" t="s">
        <v>7053</v>
      </c>
      <c r="D3505" t="s">
        <v>161</v>
      </c>
      <c r="F3505">
        <v>-541230630</v>
      </c>
      <c r="G3505">
        <v>-145110367</v>
      </c>
      <c r="H3505">
        <v>338757310</v>
      </c>
      <c r="I3505">
        <v>235548872</v>
      </c>
      <c r="J3505">
        <v>278646942</v>
      </c>
      <c r="K3505">
        <v>-77600232</v>
      </c>
      <c r="L3505">
        <v>-98020060</v>
      </c>
      <c r="P3505">
        <v>664</v>
      </c>
      <c r="Q3505" t="s">
        <v>7054</v>
      </c>
    </row>
    <row r="3506" spans="1:17" x14ac:dyDescent="0.3">
      <c r="A3506" t="s">
        <v>4382</v>
      </c>
      <c r="B3506" t="str">
        <f>"002832"</f>
        <v>002832</v>
      </c>
      <c r="C3506" t="s">
        <v>7055</v>
      </c>
      <c r="D3506" t="s">
        <v>227</v>
      </c>
      <c r="F3506">
        <v>525898550</v>
      </c>
      <c r="G3506">
        <v>356095783</v>
      </c>
      <c r="H3506">
        <v>40272890</v>
      </c>
      <c r="I3506">
        <v>13930057</v>
      </c>
      <c r="J3506">
        <v>-7741575</v>
      </c>
      <c r="K3506">
        <v>57526295</v>
      </c>
      <c r="P3506">
        <v>641</v>
      </c>
      <c r="Q3506" t="s">
        <v>7056</v>
      </c>
    </row>
    <row r="3507" spans="1:17" x14ac:dyDescent="0.3">
      <c r="A3507" t="s">
        <v>4382</v>
      </c>
      <c r="B3507" t="str">
        <f>"002833"</f>
        <v>002833</v>
      </c>
      <c r="C3507" t="s">
        <v>7057</v>
      </c>
      <c r="D3507" t="s">
        <v>78</v>
      </c>
      <c r="F3507">
        <v>44655014</v>
      </c>
      <c r="G3507">
        <v>120878254</v>
      </c>
      <c r="H3507">
        <v>165195659</v>
      </c>
      <c r="I3507">
        <v>184063775</v>
      </c>
      <c r="J3507">
        <v>241318240</v>
      </c>
      <c r="K3507">
        <v>123704472</v>
      </c>
      <c r="L3507">
        <v>22680940</v>
      </c>
      <c r="P3507">
        <v>2870</v>
      </c>
      <c r="Q3507" t="s">
        <v>7058</v>
      </c>
    </row>
    <row r="3508" spans="1:17" x14ac:dyDescent="0.3">
      <c r="A3508" t="s">
        <v>4382</v>
      </c>
      <c r="B3508" t="str">
        <f>"002835"</f>
        <v>002835</v>
      </c>
      <c r="C3508" t="s">
        <v>7059</v>
      </c>
      <c r="D3508" t="s">
        <v>212</v>
      </c>
      <c r="F3508">
        <v>-70638614</v>
      </c>
      <c r="G3508">
        <v>-51729336</v>
      </c>
      <c r="H3508">
        <v>12333841</v>
      </c>
      <c r="I3508">
        <v>-50372889</v>
      </c>
      <c r="J3508">
        <v>-18263095</v>
      </c>
      <c r="K3508">
        <v>-50445685</v>
      </c>
      <c r="L3508">
        <v>42918900</v>
      </c>
      <c r="P3508">
        <v>94</v>
      </c>
      <c r="Q3508" t="s">
        <v>7060</v>
      </c>
    </row>
    <row r="3509" spans="1:17" x14ac:dyDescent="0.3">
      <c r="A3509" t="s">
        <v>4382</v>
      </c>
      <c r="B3509" t="str">
        <f>"002836"</f>
        <v>002836</v>
      </c>
      <c r="C3509" t="s">
        <v>7061</v>
      </c>
      <c r="D3509" t="s">
        <v>161</v>
      </c>
      <c r="F3509">
        <v>14932775</v>
      </c>
      <c r="G3509">
        <v>41753172</v>
      </c>
      <c r="H3509">
        <v>50620500</v>
      </c>
      <c r="I3509">
        <v>39894383</v>
      </c>
      <c r="J3509">
        <v>-19002140</v>
      </c>
      <c r="K3509">
        <v>-5714782</v>
      </c>
      <c r="P3509">
        <v>63</v>
      </c>
      <c r="Q3509" t="s">
        <v>7062</v>
      </c>
    </row>
    <row r="3510" spans="1:17" x14ac:dyDescent="0.3">
      <c r="A3510" t="s">
        <v>4382</v>
      </c>
      <c r="B3510" t="str">
        <f>"002837"</f>
        <v>002837</v>
      </c>
      <c r="C3510" t="s">
        <v>7063</v>
      </c>
      <c r="D3510" t="s">
        <v>78</v>
      </c>
      <c r="F3510">
        <v>-22011779</v>
      </c>
      <c r="G3510">
        <v>-49835980</v>
      </c>
      <c r="H3510">
        <v>-21458215</v>
      </c>
      <c r="I3510">
        <v>-315675349</v>
      </c>
      <c r="J3510">
        <v>-170367615</v>
      </c>
      <c r="K3510">
        <v>-6634917</v>
      </c>
      <c r="L3510">
        <v>4813100</v>
      </c>
      <c r="P3510">
        <v>397</v>
      </c>
      <c r="Q3510" t="s">
        <v>7064</v>
      </c>
    </row>
    <row r="3511" spans="1:17" x14ac:dyDescent="0.3">
      <c r="A3511" t="s">
        <v>4382</v>
      </c>
      <c r="B3511" t="str">
        <f>"002838"</f>
        <v>002838</v>
      </c>
      <c r="C3511" t="s">
        <v>7065</v>
      </c>
      <c r="D3511" t="s">
        <v>133</v>
      </c>
      <c r="F3511">
        <v>-312073011</v>
      </c>
      <c r="G3511">
        <v>790342333</v>
      </c>
      <c r="H3511">
        <v>129233720</v>
      </c>
      <c r="I3511">
        <v>-45643148</v>
      </c>
      <c r="J3511">
        <v>-36482901</v>
      </c>
      <c r="K3511">
        <v>17979218</v>
      </c>
      <c r="L3511">
        <v>-9233884</v>
      </c>
      <c r="P3511">
        <v>614</v>
      </c>
      <c r="Q3511" t="s">
        <v>7066</v>
      </c>
    </row>
    <row r="3512" spans="1:17" x14ac:dyDescent="0.3">
      <c r="A3512" t="s">
        <v>4382</v>
      </c>
      <c r="B3512" t="str">
        <f>"002839"</f>
        <v>002839</v>
      </c>
      <c r="C3512" t="s">
        <v>7067</v>
      </c>
      <c r="D3512" t="s">
        <v>19</v>
      </c>
      <c r="F3512">
        <v>-4007563076</v>
      </c>
      <c r="G3512">
        <v>4769178649</v>
      </c>
      <c r="H3512">
        <v>-4625437856</v>
      </c>
      <c r="I3512">
        <v>-3179130618</v>
      </c>
      <c r="J3512">
        <v>3061932589</v>
      </c>
      <c r="K3512">
        <v>4536211900</v>
      </c>
      <c r="L3512">
        <v>4632558700</v>
      </c>
      <c r="P3512">
        <v>474</v>
      </c>
      <c r="Q3512" t="s">
        <v>7068</v>
      </c>
    </row>
    <row r="3513" spans="1:17" x14ac:dyDescent="0.3">
      <c r="A3513" t="s">
        <v>4382</v>
      </c>
      <c r="B3513" t="str">
        <f>"002840"</f>
        <v>002840</v>
      </c>
      <c r="C3513" t="s">
        <v>7069</v>
      </c>
      <c r="D3513" t="s">
        <v>123</v>
      </c>
      <c r="F3513">
        <v>-1725689137</v>
      </c>
      <c r="G3513">
        <v>-488417228</v>
      </c>
      <c r="H3513">
        <v>-343294355</v>
      </c>
      <c r="I3513">
        <v>-176761282</v>
      </c>
      <c r="J3513">
        <v>27283724</v>
      </c>
      <c r="K3513">
        <v>74926507</v>
      </c>
      <c r="L3513">
        <v>-181703217</v>
      </c>
      <c r="P3513">
        <v>600</v>
      </c>
      <c r="Q3513" t="s">
        <v>7070</v>
      </c>
    </row>
    <row r="3514" spans="1:17" x14ac:dyDescent="0.3">
      <c r="A3514" t="s">
        <v>4382</v>
      </c>
      <c r="B3514" t="str">
        <f>"002841"</f>
        <v>002841</v>
      </c>
      <c r="C3514" t="s">
        <v>7071</v>
      </c>
      <c r="D3514" t="s">
        <v>110</v>
      </c>
      <c r="F3514">
        <v>1206839790</v>
      </c>
      <c r="G3514">
        <v>1537902086</v>
      </c>
      <c r="H3514">
        <v>2574697462</v>
      </c>
      <c r="I3514">
        <v>1082186887</v>
      </c>
      <c r="J3514">
        <v>641471061</v>
      </c>
      <c r="K3514">
        <v>660103639</v>
      </c>
      <c r="L3514">
        <v>252155399</v>
      </c>
      <c r="P3514">
        <v>3100</v>
      </c>
      <c r="Q3514" t="s">
        <v>7072</v>
      </c>
    </row>
    <row r="3515" spans="1:17" x14ac:dyDescent="0.3">
      <c r="A3515" t="s">
        <v>4382</v>
      </c>
      <c r="B3515" t="str">
        <f>"002842"</f>
        <v>002842</v>
      </c>
      <c r="C3515" t="s">
        <v>7073</v>
      </c>
      <c r="D3515" t="s">
        <v>234</v>
      </c>
      <c r="F3515">
        <v>28678351</v>
      </c>
      <c r="G3515">
        <v>-101372054</v>
      </c>
      <c r="H3515">
        <v>-194400108</v>
      </c>
      <c r="I3515">
        <v>-145012122</v>
      </c>
      <c r="J3515">
        <v>-142147947</v>
      </c>
      <c r="K3515">
        <v>12566969</v>
      </c>
      <c r="L3515">
        <v>15304700</v>
      </c>
      <c r="P3515">
        <v>99</v>
      </c>
      <c r="Q3515" t="s">
        <v>7074</v>
      </c>
    </row>
    <row r="3516" spans="1:17" x14ac:dyDescent="0.3">
      <c r="A3516" t="s">
        <v>4382</v>
      </c>
      <c r="B3516" t="str">
        <f>"002843"</f>
        <v>002843</v>
      </c>
      <c r="C3516" t="s">
        <v>7075</v>
      </c>
      <c r="D3516" t="s">
        <v>78</v>
      </c>
      <c r="F3516">
        <v>58528302</v>
      </c>
      <c r="G3516">
        <v>42832788</v>
      </c>
      <c r="H3516">
        <v>-40021644</v>
      </c>
      <c r="I3516">
        <v>4346448</v>
      </c>
      <c r="J3516">
        <v>11743397</v>
      </c>
      <c r="K3516">
        <v>50900384</v>
      </c>
      <c r="L3516">
        <v>41597760</v>
      </c>
      <c r="P3516">
        <v>73</v>
      </c>
      <c r="Q3516" t="s">
        <v>7076</v>
      </c>
    </row>
    <row r="3517" spans="1:17" x14ac:dyDescent="0.3">
      <c r="A3517" t="s">
        <v>4382</v>
      </c>
      <c r="B3517" t="str">
        <f>"002845"</f>
        <v>002845</v>
      </c>
      <c r="C3517" t="s">
        <v>7077</v>
      </c>
      <c r="D3517" t="s">
        <v>150</v>
      </c>
      <c r="F3517">
        <v>122720370</v>
      </c>
      <c r="G3517">
        <v>-605405776</v>
      </c>
      <c r="H3517">
        <v>-269736683</v>
      </c>
      <c r="I3517">
        <v>-189353583</v>
      </c>
      <c r="J3517">
        <v>-113149705</v>
      </c>
      <c r="K3517">
        <v>-112534615</v>
      </c>
      <c r="L3517">
        <v>34966698</v>
      </c>
      <c r="P3517">
        <v>222</v>
      </c>
      <c r="Q3517" t="s">
        <v>7078</v>
      </c>
    </row>
    <row r="3518" spans="1:17" x14ac:dyDescent="0.3">
      <c r="A3518" t="s">
        <v>4382</v>
      </c>
      <c r="B3518" t="str">
        <f>"002846"</f>
        <v>002846</v>
      </c>
      <c r="C3518" t="s">
        <v>7079</v>
      </c>
      <c r="D3518" t="s">
        <v>161</v>
      </c>
      <c r="F3518">
        <v>-274856986</v>
      </c>
      <c r="G3518">
        <v>-156166776</v>
      </c>
      <c r="H3518">
        <v>-31611242</v>
      </c>
      <c r="I3518">
        <v>-49736410</v>
      </c>
      <c r="J3518">
        <v>-52182484</v>
      </c>
      <c r="K3518">
        <v>24978136</v>
      </c>
      <c r="L3518">
        <v>18761538</v>
      </c>
      <c r="P3518">
        <v>109</v>
      </c>
      <c r="Q3518" t="s">
        <v>7080</v>
      </c>
    </row>
    <row r="3519" spans="1:17" x14ac:dyDescent="0.3">
      <c r="A3519" t="s">
        <v>4382</v>
      </c>
      <c r="B3519" t="str">
        <f>"002847"</f>
        <v>002847</v>
      </c>
      <c r="C3519" t="s">
        <v>7081</v>
      </c>
      <c r="D3519" t="s">
        <v>123</v>
      </c>
      <c r="F3519">
        <v>105992762</v>
      </c>
      <c r="G3519">
        <v>-7169980</v>
      </c>
      <c r="H3519">
        <v>-186707499</v>
      </c>
      <c r="I3519">
        <v>-104975232</v>
      </c>
      <c r="J3519">
        <v>-85662086</v>
      </c>
      <c r="K3519">
        <v>45388440</v>
      </c>
      <c r="L3519">
        <v>-6296026</v>
      </c>
      <c r="P3519">
        <v>742</v>
      </c>
      <c r="Q3519" t="s">
        <v>7082</v>
      </c>
    </row>
    <row r="3520" spans="1:17" x14ac:dyDescent="0.3">
      <c r="A3520" t="s">
        <v>4382</v>
      </c>
      <c r="B3520" t="str">
        <f>"002848"</f>
        <v>002848</v>
      </c>
      <c r="C3520" t="s">
        <v>7083</v>
      </c>
      <c r="D3520" t="s">
        <v>126</v>
      </c>
      <c r="F3520">
        <v>-75669587</v>
      </c>
      <c r="G3520">
        <v>-40852101</v>
      </c>
      <c r="H3520">
        <v>9518128</v>
      </c>
      <c r="I3520">
        <v>14889805</v>
      </c>
      <c r="J3520">
        <v>-138434021</v>
      </c>
      <c r="K3520">
        <v>-91333484</v>
      </c>
      <c r="L3520">
        <v>-33226985</v>
      </c>
      <c r="P3520">
        <v>189</v>
      </c>
      <c r="Q3520" t="s">
        <v>7084</v>
      </c>
    </row>
    <row r="3521" spans="1:17" x14ac:dyDescent="0.3">
      <c r="A3521" t="s">
        <v>4382</v>
      </c>
      <c r="B3521" t="str">
        <f>"002849"</f>
        <v>002849</v>
      </c>
      <c r="C3521" t="s">
        <v>7085</v>
      </c>
      <c r="D3521" t="s">
        <v>78</v>
      </c>
      <c r="F3521">
        <v>-91470823</v>
      </c>
      <c r="G3521">
        <v>-101015691</v>
      </c>
      <c r="H3521">
        <v>-208729255</v>
      </c>
      <c r="I3521">
        <v>-155561661</v>
      </c>
      <c r="J3521">
        <v>-80286307</v>
      </c>
      <c r="K3521">
        <v>-77644107</v>
      </c>
      <c r="P3521">
        <v>177</v>
      </c>
      <c r="Q3521" t="s">
        <v>7086</v>
      </c>
    </row>
    <row r="3522" spans="1:17" x14ac:dyDescent="0.3">
      <c r="A3522" t="s">
        <v>4382</v>
      </c>
      <c r="B3522" t="str">
        <f>"002850"</f>
        <v>002850</v>
      </c>
      <c r="C3522" t="s">
        <v>7087</v>
      </c>
      <c r="D3522" t="s">
        <v>188</v>
      </c>
      <c r="F3522">
        <v>-538251469</v>
      </c>
      <c r="G3522">
        <v>-207083090</v>
      </c>
      <c r="H3522">
        <v>-117147451</v>
      </c>
      <c r="I3522">
        <v>-290977389</v>
      </c>
      <c r="J3522">
        <v>-647371701</v>
      </c>
      <c r="K3522">
        <v>-29339395</v>
      </c>
      <c r="P3522">
        <v>379</v>
      </c>
      <c r="Q3522" t="s">
        <v>7088</v>
      </c>
    </row>
    <row r="3523" spans="1:17" x14ac:dyDescent="0.3">
      <c r="A3523" t="s">
        <v>4382</v>
      </c>
      <c r="B3523" t="str">
        <f>"002851"</f>
        <v>002851</v>
      </c>
      <c r="C3523" t="s">
        <v>7089</v>
      </c>
      <c r="D3523" t="s">
        <v>188</v>
      </c>
      <c r="F3523">
        <v>-321537759</v>
      </c>
      <c r="G3523">
        <v>131686291</v>
      </c>
      <c r="H3523">
        <v>153186434</v>
      </c>
      <c r="I3523">
        <v>-131305686</v>
      </c>
      <c r="J3523">
        <v>10385827</v>
      </c>
      <c r="K3523">
        <v>316295</v>
      </c>
      <c r="P3523">
        <v>566</v>
      </c>
      <c r="Q3523" t="s">
        <v>7090</v>
      </c>
    </row>
    <row r="3524" spans="1:17" x14ac:dyDescent="0.3">
      <c r="A3524" t="s">
        <v>4382</v>
      </c>
      <c r="B3524" t="str">
        <f>"002852"</f>
        <v>002852</v>
      </c>
      <c r="C3524" t="s">
        <v>7091</v>
      </c>
      <c r="D3524" t="s">
        <v>205</v>
      </c>
      <c r="F3524">
        <v>-474494690</v>
      </c>
      <c r="G3524">
        <v>-407132250</v>
      </c>
      <c r="H3524">
        <v>-450038330</v>
      </c>
      <c r="I3524">
        <v>-172182733</v>
      </c>
      <c r="J3524">
        <v>-392925498</v>
      </c>
      <c r="K3524">
        <v>95034135</v>
      </c>
      <c r="P3524">
        <v>141</v>
      </c>
      <c r="Q3524" t="s">
        <v>7092</v>
      </c>
    </row>
    <row r="3525" spans="1:17" x14ac:dyDescent="0.3">
      <c r="A3525" t="s">
        <v>4382</v>
      </c>
      <c r="B3525" t="str">
        <f>"002853"</f>
        <v>002853</v>
      </c>
      <c r="C3525" t="s">
        <v>7093</v>
      </c>
      <c r="D3525" t="s">
        <v>161</v>
      </c>
      <c r="F3525">
        <v>-548454472</v>
      </c>
      <c r="G3525">
        <v>173956456</v>
      </c>
      <c r="H3525">
        <v>-181093987</v>
      </c>
      <c r="I3525">
        <v>-189879603</v>
      </c>
      <c r="J3525">
        <v>25664517</v>
      </c>
      <c r="K3525">
        <v>29481904</v>
      </c>
      <c r="P3525">
        <v>379</v>
      </c>
      <c r="Q3525" t="s">
        <v>7094</v>
      </c>
    </row>
    <row r="3526" spans="1:17" x14ac:dyDescent="0.3">
      <c r="A3526" t="s">
        <v>4382</v>
      </c>
      <c r="B3526" t="str">
        <f>"002855"</f>
        <v>002855</v>
      </c>
      <c r="C3526" t="s">
        <v>7095</v>
      </c>
      <c r="D3526" t="s">
        <v>150</v>
      </c>
      <c r="F3526">
        <v>31779647</v>
      </c>
      <c r="G3526">
        <v>-21473457</v>
      </c>
      <c r="H3526">
        <v>30925277</v>
      </c>
      <c r="I3526">
        <v>-117346105</v>
      </c>
      <c r="J3526">
        <v>-116823933</v>
      </c>
      <c r="K3526">
        <v>-29121524</v>
      </c>
      <c r="P3526">
        <v>138</v>
      </c>
      <c r="Q3526" t="s">
        <v>7096</v>
      </c>
    </row>
    <row r="3527" spans="1:17" x14ac:dyDescent="0.3">
      <c r="A3527" t="s">
        <v>4382</v>
      </c>
      <c r="B3527" t="str">
        <f>"002856"</f>
        <v>002856</v>
      </c>
      <c r="C3527" t="s">
        <v>7097</v>
      </c>
      <c r="D3527" t="s">
        <v>95</v>
      </c>
      <c r="F3527">
        <v>-104925369</v>
      </c>
      <c r="G3527">
        <v>-163107496</v>
      </c>
      <c r="H3527">
        <v>-99453496</v>
      </c>
      <c r="I3527">
        <v>-303440166</v>
      </c>
      <c r="J3527">
        <v>-155321374</v>
      </c>
      <c r="K3527">
        <v>-80568077</v>
      </c>
      <c r="P3527">
        <v>51</v>
      </c>
      <c r="Q3527" t="s">
        <v>7098</v>
      </c>
    </row>
    <row r="3528" spans="1:17" x14ac:dyDescent="0.3">
      <c r="A3528" t="s">
        <v>4382</v>
      </c>
      <c r="B3528" t="str">
        <f>"002857"</f>
        <v>002857</v>
      </c>
      <c r="C3528" t="s">
        <v>7099</v>
      </c>
      <c r="D3528" t="s">
        <v>188</v>
      </c>
      <c r="F3528">
        <v>-13578775</v>
      </c>
      <c r="G3528">
        <v>-2786702</v>
      </c>
      <c r="H3528">
        <v>-64133638</v>
      </c>
      <c r="I3528">
        <v>-10111766</v>
      </c>
      <c r="J3528">
        <v>-22193107</v>
      </c>
      <c r="K3528">
        <v>-41259899</v>
      </c>
      <c r="P3528">
        <v>45</v>
      </c>
      <c r="Q3528" t="s">
        <v>7100</v>
      </c>
    </row>
    <row r="3529" spans="1:17" x14ac:dyDescent="0.3">
      <c r="A3529" t="s">
        <v>4382</v>
      </c>
      <c r="B3529" t="str">
        <f>"002858"</f>
        <v>002858</v>
      </c>
      <c r="C3529" t="s">
        <v>7101</v>
      </c>
      <c r="D3529" t="s">
        <v>110</v>
      </c>
      <c r="F3529">
        <v>-6043531</v>
      </c>
      <c r="G3529">
        <v>39515547</v>
      </c>
      <c r="H3529">
        <v>-70566381</v>
      </c>
      <c r="I3529">
        <v>-69344535</v>
      </c>
      <c r="J3529">
        <v>-14781093</v>
      </c>
      <c r="K3529">
        <v>32893353</v>
      </c>
      <c r="P3529">
        <v>75</v>
      </c>
      <c r="Q3529" t="s">
        <v>7102</v>
      </c>
    </row>
    <row r="3530" spans="1:17" x14ac:dyDescent="0.3">
      <c r="A3530" t="s">
        <v>4382</v>
      </c>
      <c r="B3530" t="str">
        <f>"002859"</f>
        <v>002859</v>
      </c>
      <c r="C3530" t="s">
        <v>7103</v>
      </c>
      <c r="D3530" t="s">
        <v>150</v>
      </c>
      <c r="F3530">
        <v>-371080299</v>
      </c>
      <c r="G3530">
        <v>-198734758</v>
      </c>
      <c r="H3530">
        <v>164042537</v>
      </c>
      <c r="I3530">
        <v>-73113372</v>
      </c>
      <c r="J3530">
        <v>-5711544</v>
      </c>
      <c r="K3530">
        <v>-70826170</v>
      </c>
      <c r="P3530">
        <v>2971</v>
      </c>
      <c r="Q3530" t="s">
        <v>7104</v>
      </c>
    </row>
    <row r="3531" spans="1:17" x14ac:dyDescent="0.3">
      <c r="A3531" t="s">
        <v>4382</v>
      </c>
      <c r="B3531" t="str">
        <f>"002860"</f>
        <v>002860</v>
      </c>
      <c r="C3531" t="s">
        <v>7105</v>
      </c>
      <c r="D3531" t="s">
        <v>126</v>
      </c>
      <c r="F3531">
        <v>6791572</v>
      </c>
      <c r="G3531">
        <v>6645873</v>
      </c>
      <c r="H3531">
        <v>61605701</v>
      </c>
      <c r="I3531">
        <v>29477993</v>
      </c>
      <c r="J3531">
        <v>12101844</v>
      </c>
      <c r="K3531">
        <v>30009594</v>
      </c>
      <c r="P3531">
        <v>249</v>
      </c>
      <c r="Q3531" t="s">
        <v>7106</v>
      </c>
    </row>
    <row r="3532" spans="1:17" x14ac:dyDescent="0.3">
      <c r="A3532" t="s">
        <v>4382</v>
      </c>
      <c r="B3532" t="str">
        <f>"002861"</f>
        <v>002861</v>
      </c>
      <c r="C3532" t="s">
        <v>7107</v>
      </c>
      <c r="D3532" t="s">
        <v>150</v>
      </c>
      <c r="F3532">
        <v>-74894537</v>
      </c>
      <c r="G3532">
        <v>-52867258</v>
      </c>
      <c r="H3532">
        <v>27801538</v>
      </c>
      <c r="I3532">
        <v>-80444095</v>
      </c>
      <c r="J3532">
        <v>24308128</v>
      </c>
      <c r="K3532">
        <v>3673193</v>
      </c>
      <c r="P3532">
        <v>155</v>
      </c>
      <c r="Q3532" t="s">
        <v>7108</v>
      </c>
    </row>
    <row r="3533" spans="1:17" x14ac:dyDescent="0.3">
      <c r="A3533" t="s">
        <v>4382</v>
      </c>
      <c r="B3533" t="str">
        <f>"002862"</f>
        <v>002862</v>
      </c>
      <c r="C3533" t="s">
        <v>7109</v>
      </c>
      <c r="D3533" t="s">
        <v>161</v>
      </c>
      <c r="F3533">
        <v>-58337921</v>
      </c>
      <c r="G3533">
        <v>-60049264</v>
      </c>
      <c r="H3533">
        <v>-23936120</v>
      </c>
      <c r="I3533">
        <v>-44385682</v>
      </c>
      <c r="J3533">
        <v>-4657587</v>
      </c>
      <c r="K3533">
        <v>-45211221</v>
      </c>
      <c r="P3533">
        <v>66</v>
      </c>
      <c r="Q3533" t="s">
        <v>7110</v>
      </c>
    </row>
    <row r="3534" spans="1:17" x14ac:dyDescent="0.3">
      <c r="A3534" t="s">
        <v>4382</v>
      </c>
      <c r="B3534" t="str">
        <f>"002863"</f>
        <v>002863</v>
      </c>
      <c r="C3534" t="s">
        <v>7111</v>
      </c>
      <c r="D3534" t="s">
        <v>27</v>
      </c>
      <c r="F3534">
        <v>-207562086</v>
      </c>
      <c r="G3534">
        <v>-200489071</v>
      </c>
      <c r="H3534">
        <v>-284754126</v>
      </c>
      <c r="I3534">
        <v>-301347694</v>
      </c>
      <c r="J3534">
        <v>-511635961</v>
      </c>
      <c r="K3534">
        <v>-34563981</v>
      </c>
      <c r="P3534">
        <v>104</v>
      </c>
      <c r="Q3534" t="s">
        <v>7112</v>
      </c>
    </row>
    <row r="3535" spans="1:17" x14ac:dyDescent="0.3">
      <c r="A3535" t="s">
        <v>4382</v>
      </c>
      <c r="B3535" t="str">
        <f>"002864"</f>
        <v>002864</v>
      </c>
      <c r="C3535" t="s">
        <v>7113</v>
      </c>
      <c r="D3535" t="s">
        <v>113</v>
      </c>
      <c r="F3535">
        <v>20031604</v>
      </c>
      <c r="G3535">
        <v>-4560535</v>
      </c>
      <c r="H3535">
        <v>25732875</v>
      </c>
      <c r="I3535">
        <v>17335111</v>
      </c>
      <c r="J3535">
        <v>-544785</v>
      </c>
      <c r="K3535">
        <v>27073504</v>
      </c>
      <c r="P3535">
        <v>184</v>
      </c>
      <c r="Q3535" t="s">
        <v>7114</v>
      </c>
    </row>
    <row r="3536" spans="1:17" x14ac:dyDescent="0.3">
      <c r="A3536" t="s">
        <v>4382</v>
      </c>
      <c r="B3536" t="str">
        <f>"002865"</f>
        <v>002865</v>
      </c>
      <c r="C3536" t="s">
        <v>7115</v>
      </c>
      <c r="D3536" t="s">
        <v>27</v>
      </c>
      <c r="F3536">
        <v>76601626</v>
      </c>
      <c r="G3536">
        <v>-92488808</v>
      </c>
      <c r="H3536">
        <v>-164374594</v>
      </c>
      <c r="I3536">
        <v>-99254871</v>
      </c>
      <c r="J3536">
        <v>-132066511</v>
      </c>
      <c r="K3536">
        <v>30097124</v>
      </c>
      <c r="P3536">
        <v>111</v>
      </c>
      <c r="Q3536" t="s">
        <v>7116</v>
      </c>
    </row>
    <row r="3537" spans="1:17" x14ac:dyDescent="0.3">
      <c r="A3537" t="s">
        <v>4382</v>
      </c>
      <c r="B3537" t="str">
        <f>"002866"</f>
        <v>002866</v>
      </c>
      <c r="C3537" t="s">
        <v>7117</v>
      </c>
      <c r="D3537" t="s">
        <v>150</v>
      </c>
      <c r="F3537">
        <v>-96480465</v>
      </c>
      <c r="G3537">
        <v>26373614</v>
      </c>
      <c r="H3537">
        <v>31339691</v>
      </c>
      <c r="I3537">
        <v>-236966698</v>
      </c>
      <c r="J3537">
        <v>10213413</v>
      </c>
      <c r="K3537">
        <v>21100541</v>
      </c>
      <c r="P3537">
        <v>161</v>
      </c>
      <c r="Q3537" t="s">
        <v>7118</v>
      </c>
    </row>
    <row r="3538" spans="1:17" x14ac:dyDescent="0.3">
      <c r="A3538" t="s">
        <v>4382</v>
      </c>
      <c r="B3538" t="str">
        <f>"002867"</f>
        <v>002867</v>
      </c>
      <c r="C3538" t="s">
        <v>7119</v>
      </c>
      <c r="D3538" t="s">
        <v>227</v>
      </c>
      <c r="F3538">
        <v>-982855709</v>
      </c>
      <c r="G3538">
        <v>1103447445</v>
      </c>
      <c r="H3538">
        <v>386648949</v>
      </c>
      <c r="I3538">
        <v>33769342</v>
      </c>
      <c r="J3538">
        <v>381672540</v>
      </c>
      <c r="K3538">
        <v>214572051</v>
      </c>
      <c r="P3538">
        <v>1642</v>
      </c>
      <c r="Q3538" t="s">
        <v>7120</v>
      </c>
    </row>
    <row r="3539" spans="1:17" x14ac:dyDescent="0.3">
      <c r="A3539" t="s">
        <v>4382</v>
      </c>
      <c r="B3539" t="str">
        <f>"002868"</f>
        <v>002868</v>
      </c>
      <c r="C3539" t="s">
        <v>7121</v>
      </c>
      <c r="D3539" t="s">
        <v>205</v>
      </c>
      <c r="F3539">
        <v>-238347147</v>
      </c>
      <c r="G3539">
        <v>-81661177</v>
      </c>
      <c r="H3539">
        <v>-12284667</v>
      </c>
      <c r="I3539">
        <v>25393742</v>
      </c>
      <c r="J3539">
        <v>69338651</v>
      </c>
      <c r="K3539">
        <v>97888856</v>
      </c>
      <c r="P3539">
        <v>88</v>
      </c>
      <c r="Q3539" t="s">
        <v>7122</v>
      </c>
    </row>
    <row r="3540" spans="1:17" x14ac:dyDescent="0.3">
      <c r="A3540" t="s">
        <v>4382</v>
      </c>
      <c r="B3540" t="str">
        <f>"002869"</f>
        <v>002869</v>
      </c>
      <c r="C3540" t="s">
        <v>7123</v>
      </c>
      <c r="D3540" t="s">
        <v>150</v>
      </c>
      <c r="F3540">
        <v>-121948518</v>
      </c>
      <c r="G3540">
        <v>-270901618</v>
      </c>
      <c r="H3540">
        <v>1159641523</v>
      </c>
      <c r="I3540">
        <v>-298092420</v>
      </c>
      <c r="J3540">
        <v>-124608137</v>
      </c>
      <c r="K3540">
        <v>-216969832</v>
      </c>
      <c r="P3540">
        <v>600</v>
      </c>
      <c r="Q3540" t="s">
        <v>7124</v>
      </c>
    </row>
    <row r="3541" spans="1:17" x14ac:dyDescent="0.3">
      <c r="A3541" t="s">
        <v>4382</v>
      </c>
      <c r="B3541" t="str">
        <f>"002870"</f>
        <v>002870</v>
      </c>
      <c r="C3541" t="s">
        <v>7125</v>
      </c>
      <c r="D3541" t="s">
        <v>78</v>
      </c>
      <c r="F3541">
        <v>-70812244</v>
      </c>
      <c r="G3541">
        <v>96977148</v>
      </c>
      <c r="H3541">
        <v>18997777</v>
      </c>
      <c r="I3541">
        <v>5937231</v>
      </c>
      <c r="J3541">
        <v>-23036967</v>
      </c>
      <c r="K3541">
        <v>16875142</v>
      </c>
      <c r="P3541">
        <v>91</v>
      </c>
      <c r="Q3541" t="s">
        <v>7126</v>
      </c>
    </row>
    <row r="3542" spans="1:17" x14ac:dyDescent="0.3">
      <c r="A3542" t="s">
        <v>4382</v>
      </c>
      <c r="B3542" t="str">
        <f>"002871"</f>
        <v>002871</v>
      </c>
      <c r="C3542" t="s">
        <v>7127</v>
      </c>
      <c r="D3542" t="s">
        <v>78</v>
      </c>
      <c r="F3542">
        <v>-44856679</v>
      </c>
      <c r="G3542">
        <v>51014937</v>
      </c>
      <c r="H3542">
        <v>23533268</v>
      </c>
      <c r="I3542">
        <v>-59796640</v>
      </c>
      <c r="J3542">
        <v>50841390</v>
      </c>
      <c r="K3542">
        <v>47187350</v>
      </c>
      <c r="P3542">
        <v>66</v>
      </c>
      <c r="Q3542" t="s">
        <v>7128</v>
      </c>
    </row>
    <row r="3543" spans="1:17" x14ac:dyDescent="0.3">
      <c r="A3543" t="s">
        <v>4382</v>
      </c>
      <c r="B3543" t="str">
        <f>"002872"</f>
        <v>002872</v>
      </c>
      <c r="C3543" t="s">
        <v>7129</v>
      </c>
      <c r="D3543" t="s">
        <v>113</v>
      </c>
      <c r="F3543">
        <v>-97825075</v>
      </c>
      <c r="G3543">
        <v>71731267</v>
      </c>
      <c r="H3543">
        <v>64262212</v>
      </c>
      <c r="I3543">
        <v>-161504480</v>
      </c>
      <c r="J3543">
        <v>-928627089</v>
      </c>
      <c r="K3543">
        <v>-117649968</v>
      </c>
      <c r="P3543">
        <v>69</v>
      </c>
      <c r="Q3543" t="s">
        <v>7130</v>
      </c>
    </row>
    <row r="3544" spans="1:17" x14ac:dyDescent="0.3">
      <c r="A3544" t="s">
        <v>4382</v>
      </c>
      <c r="B3544" t="str">
        <f>"002873"</f>
        <v>002873</v>
      </c>
      <c r="C3544" t="s">
        <v>7131</v>
      </c>
      <c r="D3544" t="s">
        <v>113</v>
      </c>
      <c r="F3544">
        <v>59034954</v>
      </c>
      <c r="G3544">
        <v>67224809</v>
      </c>
      <c r="H3544">
        <v>-80077578</v>
      </c>
      <c r="I3544">
        <v>21956615</v>
      </c>
      <c r="J3544">
        <v>-45568783</v>
      </c>
      <c r="K3544">
        <v>37995287</v>
      </c>
      <c r="P3544">
        <v>167</v>
      </c>
      <c r="Q3544" t="s">
        <v>7132</v>
      </c>
    </row>
    <row r="3545" spans="1:17" x14ac:dyDescent="0.3">
      <c r="A3545" t="s">
        <v>4382</v>
      </c>
      <c r="B3545" t="str">
        <f>"002875"</f>
        <v>002875</v>
      </c>
      <c r="C3545" t="s">
        <v>7133</v>
      </c>
      <c r="D3545" t="s">
        <v>227</v>
      </c>
      <c r="F3545">
        <v>29644770</v>
      </c>
      <c r="G3545">
        <v>-16355216</v>
      </c>
      <c r="H3545">
        <v>-146064030</v>
      </c>
      <c r="I3545">
        <v>-106244004</v>
      </c>
      <c r="J3545">
        <v>-18979002</v>
      </c>
      <c r="K3545">
        <v>-30981767</v>
      </c>
      <c r="P3545">
        <v>92</v>
      </c>
      <c r="Q3545" t="s">
        <v>7134</v>
      </c>
    </row>
    <row r="3546" spans="1:17" x14ac:dyDescent="0.3">
      <c r="A3546" t="s">
        <v>4382</v>
      </c>
      <c r="B3546" t="str">
        <f>"002876"</f>
        <v>002876</v>
      </c>
      <c r="C3546" t="s">
        <v>7135</v>
      </c>
      <c r="D3546" t="s">
        <v>150</v>
      </c>
      <c r="F3546">
        <v>-72652537</v>
      </c>
      <c r="G3546">
        <v>-92635773</v>
      </c>
      <c r="H3546">
        <v>-337205730</v>
      </c>
      <c r="I3546">
        <v>-134216821</v>
      </c>
      <c r="J3546">
        <v>-222155426</v>
      </c>
      <c r="K3546">
        <v>-191416219</v>
      </c>
      <c r="P3546">
        <v>213</v>
      </c>
      <c r="Q3546" t="s">
        <v>7136</v>
      </c>
    </row>
    <row r="3547" spans="1:17" x14ac:dyDescent="0.3">
      <c r="A3547" t="s">
        <v>4382</v>
      </c>
      <c r="B3547" t="str">
        <f>"002877"</f>
        <v>002877</v>
      </c>
      <c r="C3547" t="s">
        <v>7137</v>
      </c>
      <c r="D3547" t="s">
        <v>78</v>
      </c>
      <c r="F3547">
        <v>-89968856</v>
      </c>
      <c r="G3547">
        <v>-161644895</v>
      </c>
      <c r="H3547">
        <v>-92422761</v>
      </c>
      <c r="I3547">
        <v>-85916023</v>
      </c>
      <c r="J3547">
        <v>-49280659</v>
      </c>
      <c r="K3547">
        <v>16612563</v>
      </c>
      <c r="P3547">
        <v>100</v>
      </c>
      <c r="Q3547" t="s">
        <v>7138</v>
      </c>
    </row>
    <row r="3548" spans="1:17" x14ac:dyDescent="0.3">
      <c r="A3548" t="s">
        <v>4382</v>
      </c>
      <c r="B3548" t="str">
        <f>"002878"</f>
        <v>002878</v>
      </c>
      <c r="C3548" t="s">
        <v>7139</v>
      </c>
      <c r="D3548" t="s">
        <v>110</v>
      </c>
      <c r="F3548">
        <v>-62566569</v>
      </c>
      <c r="G3548">
        <v>-12327365</v>
      </c>
      <c r="H3548">
        <v>-14844340</v>
      </c>
      <c r="I3548">
        <v>-4512711</v>
      </c>
      <c r="J3548">
        <v>-30733047</v>
      </c>
      <c r="K3548">
        <v>-10999720</v>
      </c>
      <c r="P3548">
        <v>345</v>
      </c>
      <c r="Q3548" t="s">
        <v>7140</v>
      </c>
    </row>
    <row r="3549" spans="1:17" x14ac:dyDescent="0.3">
      <c r="A3549" t="s">
        <v>4382</v>
      </c>
      <c r="B3549" t="str">
        <f>"002879"</f>
        <v>002879</v>
      </c>
      <c r="C3549" t="s">
        <v>7141</v>
      </c>
      <c r="D3549" t="s">
        <v>188</v>
      </c>
      <c r="F3549">
        <v>-112854305</v>
      </c>
      <c r="G3549">
        <v>-68435126</v>
      </c>
      <c r="H3549">
        <v>-16855034</v>
      </c>
      <c r="I3549">
        <v>-431733</v>
      </c>
      <c r="J3549">
        <v>-20149913</v>
      </c>
      <c r="K3549">
        <v>15130883</v>
      </c>
      <c r="P3549">
        <v>267</v>
      </c>
      <c r="Q3549" t="s">
        <v>7142</v>
      </c>
    </row>
    <row r="3550" spans="1:17" x14ac:dyDescent="0.3">
      <c r="A3550" t="s">
        <v>4382</v>
      </c>
      <c r="B3550" t="str">
        <f>"002880"</f>
        <v>002880</v>
      </c>
      <c r="C3550" t="s">
        <v>7143</v>
      </c>
      <c r="D3550" t="s">
        <v>113</v>
      </c>
      <c r="F3550">
        <v>-48313970</v>
      </c>
      <c r="G3550">
        <v>103775712</v>
      </c>
      <c r="H3550">
        <v>89040900</v>
      </c>
      <c r="I3550">
        <v>-28129958</v>
      </c>
      <c r="J3550">
        <v>-29788368</v>
      </c>
      <c r="K3550">
        <v>52329579</v>
      </c>
      <c r="P3550">
        <v>214</v>
      </c>
      <c r="Q3550" t="s">
        <v>7144</v>
      </c>
    </row>
    <row r="3551" spans="1:17" x14ac:dyDescent="0.3">
      <c r="A3551" t="s">
        <v>4382</v>
      </c>
      <c r="B3551" t="str">
        <f>"002881"</f>
        <v>002881</v>
      </c>
      <c r="C3551" t="s">
        <v>7145</v>
      </c>
      <c r="D3551" t="s">
        <v>150</v>
      </c>
      <c r="F3551">
        <v>-259441258</v>
      </c>
      <c r="G3551">
        <v>-39802873</v>
      </c>
      <c r="H3551">
        <v>54274</v>
      </c>
      <c r="I3551">
        <v>53469707</v>
      </c>
      <c r="J3551">
        <v>-28238529</v>
      </c>
      <c r="K3551">
        <v>-2757454</v>
      </c>
      <c r="P3551">
        <v>241</v>
      </c>
      <c r="Q3551" t="s">
        <v>7146</v>
      </c>
    </row>
    <row r="3552" spans="1:17" x14ac:dyDescent="0.3">
      <c r="A3552" t="s">
        <v>4382</v>
      </c>
      <c r="B3552" t="str">
        <f>"002882"</f>
        <v>002882</v>
      </c>
      <c r="C3552" t="s">
        <v>7147</v>
      </c>
      <c r="D3552" t="s">
        <v>188</v>
      </c>
      <c r="F3552">
        <v>-834624865</v>
      </c>
      <c r="G3552">
        <v>-183228000</v>
      </c>
      <c r="H3552">
        <v>-382084586</v>
      </c>
      <c r="I3552">
        <v>-477276326</v>
      </c>
      <c r="J3552">
        <v>-158758739</v>
      </c>
      <c r="K3552">
        <v>47649459</v>
      </c>
      <c r="P3552">
        <v>118</v>
      </c>
      <c r="Q3552" t="s">
        <v>7148</v>
      </c>
    </row>
    <row r="3553" spans="1:17" x14ac:dyDescent="0.3">
      <c r="A3553" t="s">
        <v>4382</v>
      </c>
      <c r="B3553" t="str">
        <f>"002883"</f>
        <v>002883</v>
      </c>
      <c r="C3553" t="s">
        <v>7149</v>
      </c>
      <c r="D3553" t="s">
        <v>95</v>
      </c>
      <c r="F3553">
        <v>-40041696</v>
      </c>
      <c r="G3553">
        <v>-14783217</v>
      </c>
      <c r="H3553">
        <v>-24776170</v>
      </c>
      <c r="I3553">
        <v>-32515569</v>
      </c>
      <c r="J3553">
        <v>15149406</v>
      </c>
      <c r="K3553">
        <v>-12053682</v>
      </c>
      <c r="P3553">
        <v>102</v>
      </c>
      <c r="Q3553" t="s">
        <v>7150</v>
      </c>
    </row>
    <row r="3554" spans="1:17" x14ac:dyDescent="0.3">
      <c r="A3554" t="s">
        <v>4382</v>
      </c>
      <c r="B3554" t="str">
        <f>"002884"</f>
        <v>002884</v>
      </c>
      <c r="C3554" t="s">
        <v>7151</v>
      </c>
      <c r="D3554" t="s">
        <v>78</v>
      </c>
      <c r="F3554">
        <v>23300696</v>
      </c>
      <c r="G3554">
        <v>131437541</v>
      </c>
      <c r="H3554">
        <v>155335236</v>
      </c>
      <c r="I3554">
        <v>89579949</v>
      </c>
      <c r="J3554">
        <v>44630611</v>
      </c>
      <c r="K3554">
        <v>74725262</v>
      </c>
      <c r="P3554">
        <v>997</v>
      </c>
      <c r="Q3554" t="s">
        <v>7152</v>
      </c>
    </row>
    <row r="3555" spans="1:17" x14ac:dyDescent="0.3">
      <c r="A3555" t="s">
        <v>4382</v>
      </c>
      <c r="B3555" t="str">
        <f>"002885"</f>
        <v>002885</v>
      </c>
      <c r="C3555" t="s">
        <v>7153</v>
      </c>
      <c r="D3555" t="s">
        <v>150</v>
      </c>
      <c r="F3555">
        <v>-169639216</v>
      </c>
      <c r="G3555">
        <v>42270163</v>
      </c>
      <c r="H3555">
        <v>-52635155</v>
      </c>
      <c r="I3555">
        <v>-167251647</v>
      </c>
      <c r="J3555">
        <v>-113256042</v>
      </c>
      <c r="K3555">
        <v>-15925115</v>
      </c>
      <c r="P3555">
        <v>199</v>
      </c>
      <c r="Q3555" t="s">
        <v>7154</v>
      </c>
    </row>
    <row r="3556" spans="1:17" x14ac:dyDescent="0.3">
      <c r="A3556" t="s">
        <v>4382</v>
      </c>
      <c r="B3556" t="str">
        <f>"002886"</f>
        <v>002886</v>
      </c>
      <c r="C3556" t="s">
        <v>7155</v>
      </c>
      <c r="D3556" t="s">
        <v>133</v>
      </c>
      <c r="F3556">
        <v>-314563060</v>
      </c>
      <c r="G3556">
        <v>-6302360</v>
      </c>
      <c r="H3556">
        <v>-16816401</v>
      </c>
      <c r="I3556">
        <v>-166231182</v>
      </c>
      <c r="J3556">
        <v>-117557352</v>
      </c>
      <c r="K3556">
        <v>-31007495</v>
      </c>
      <c r="P3556">
        <v>191</v>
      </c>
      <c r="Q3556" t="s">
        <v>7156</v>
      </c>
    </row>
    <row r="3557" spans="1:17" x14ac:dyDescent="0.3">
      <c r="A3557" t="s">
        <v>4382</v>
      </c>
      <c r="B3557" t="str">
        <f>"002887"</f>
        <v>002887</v>
      </c>
      <c r="C3557" t="s">
        <v>7157</v>
      </c>
      <c r="D3557" t="s">
        <v>33</v>
      </c>
      <c r="F3557">
        <v>-201528200</v>
      </c>
      <c r="G3557">
        <v>-257198033</v>
      </c>
      <c r="H3557">
        <v>-164908804</v>
      </c>
      <c r="I3557">
        <v>-149748176</v>
      </c>
      <c r="J3557">
        <v>-79906483</v>
      </c>
      <c r="K3557">
        <v>-4612785</v>
      </c>
      <c r="P3557">
        <v>167</v>
      </c>
      <c r="Q3557" t="s">
        <v>7158</v>
      </c>
    </row>
    <row r="3558" spans="1:17" x14ac:dyDescent="0.3">
      <c r="A3558" t="s">
        <v>4382</v>
      </c>
      <c r="B3558" t="str">
        <f>"002888"</f>
        <v>002888</v>
      </c>
      <c r="C3558" t="s">
        <v>7159</v>
      </c>
      <c r="D3558" t="s">
        <v>150</v>
      </c>
      <c r="F3558">
        <v>-84491672</v>
      </c>
      <c r="G3558">
        <v>-5832350</v>
      </c>
      <c r="H3558">
        <v>25636985</v>
      </c>
      <c r="I3558">
        <v>-26938576</v>
      </c>
      <c r="J3558">
        <v>-26546655</v>
      </c>
      <c r="K3558">
        <v>1681354</v>
      </c>
      <c r="P3558">
        <v>80</v>
      </c>
      <c r="Q3558" t="s">
        <v>7160</v>
      </c>
    </row>
    <row r="3559" spans="1:17" x14ac:dyDescent="0.3">
      <c r="A3559" t="s">
        <v>4382</v>
      </c>
      <c r="B3559" t="str">
        <f>"002889"</f>
        <v>002889</v>
      </c>
      <c r="C3559" t="s">
        <v>7161</v>
      </c>
      <c r="D3559" t="s">
        <v>22</v>
      </c>
      <c r="F3559">
        <v>-374027965</v>
      </c>
      <c r="G3559">
        <v>16271841</v>
      </c>
      <c r="H3559">
        <v>36256732</v>
      </c>
      <c r="I3559">
        <v>293479139</v>
      </c>
      <c r="J3559">
        <v>-40713947</v>
      </c>
      <c r="K3559">
        <v>-330407055</v>
      </c>
      <c r="P3559">
        <v>123</v>
      </c>
      <c r="Q3559" t="s">
        <v>7162</v>
      </c>
    </row>
    <row r="3560" spans="1:17" x14ac:dyDescent="0.3">
      <c r="A3560" t="s">
        <v>4382</v>
      </c>
      <c r="B3560" t="str">
        <f>"002890"</f>
        <v>002890</v>
      </c>
      <c r="C3560" t="s">
        <v>7163</v>
      </c>
      <c r="D3560" t="s">
        <v>78</v>
      </c>
      <c r="F3560">
        <v>-32834104</v>
      </c>
      <c r="G3560">
        <v>955479</v>
      </c>
      <c r="H3560">
        <v>2145028</v>
      </c>
      <c r="I3560">
        <v>-26421508</v>
      </c>
      <c r="J3560">
        <v>-2141286</v>
      </c>
      <c r="K3560">
        <v>20620120</v>
      </c>
      <c r="P3560">
        <v>70</v>
      </c>
      <c r="Q3560" t="s">
        <v>7164</v>
      </c>
    </row>
    <row r="3561" spans="1:17" x14ac:dyDescent="0.3">
      <c r="A3561" t="s">
        <v>4382</v>
      </c>
      <c r="B3561" t="str">
        <f>"002891"</f>
        <v>002891</v>
      </c>
      <c r="C3561" t="s">
        <v>7165</v>
      </c>
      <c r="D3561" t="s">
        <v>205</v>
      </c>
      <c r="F3561">
        <v>-145298424</v>
      </c>
      <c r="G3561">
        <v>-288721155</v>
      </c>
      <c r="H3561">
        <v>-100170081</v>
      </c>
      <c r="I3561">
        <v>-238677482</v>
      </c>
      <c r="J3561">
        <v>26960565</v>
      </c>
      <c r="K3561">
        <v>37015183</v>
      </c>
      <c r="P3561">
        <v>650</v>
      </c>
      <c r="Q3561" t="s">
        <v>7166</v>
      </c>
    </row>
    <row r="3562" spans="1:17" x14ac:dyDescent="0.3">
      <c r="A3562" t="s">
        <v>4382</v>
      </c>
      <c r="B3562" t="str">
        <f>"002892"</f>
        <v>002892</v>
      </c>
      <c r="C3562" t="s">
        <v>7167</v>
      </c>
      <c r="D3562" t="s">
        <v>188</v>
      </c>
      <c r="F3562">
        <v>-73909366</v>
      </c>
      <c r="G3562">
        <v>-13951565</v>
      </c>
      <c r="H3562">
        <v>13052624</v>
      </c>
      <c r="I3562">
        <v>13912495</v>
      </c>
      <c r="J3562">
        <v>-8558186</v>
      </c>
      <c r="K3562">
        <v>-32143647</v>
      </c>
      <c r="P3562">
        <v>145</v>
      </c>
      <c r="Q3562" t="s">
        <v>7168</v>
      </c>
    </row>
    <row r="3563" spans="1:17" x14ac:dyDescent="0.3">
      <c r="A3563" t="s">
        <v>4382</v>
      </c>
      <c r="B3563" t="str">
        <f>"002893"</f>
        <v>002893</v>
      </c>
      <c r="C3563" t="s">
        <v>7169</v>
      </c>
      <c r="D3563" t="s">
        <v>41</v>
      </c>
      <c r="F3563">
        <v>-97639565</v>
      </c>
      <c r="G3563">
        <v>-270626792</v>
      </c>
      <c r="H3563">
        <v>-132172813</v>
      </c>
      <c r="I3563">
        <v>-203131434</v>
      </c>
      <c r="J3563">
        <v>-206851354</v>
      </c>
      <c r="K3563">
        <v>-118407863</v>
      </c>
      <c r="P3563">
        <v>92</v>
      </c>
      <c r="Q3563" t="s">
        <v>7170</v>
      </c>
    </row>
    <row r="3564" spans="1:17" x14ac:dyDescent="0.3">
      <c r="A3564" t="s">
        <v>4382</v>
      </c>
      <c r="B3564" t="str">
        <f>"002895"</f>
        <v>002895</v>
      </c>
      <c r="C3564" t="s">
        <v>7171</v>
      </c>
      <c r="D3564" t="s">
        <v>133</v>
      </c>
      <c r="F3564">
        <v>-1525922509</v>
      </c>
      <c r="G3564">
        <v>50925005</v>
      </c>
      <c r="H3564">
        <v>18508370</v>
      </c>
      <c r="I3564">
        <v>-77858936</v>
      </c>
      <c r="J3564">
        <v>45587161</v>
      </c>
      <c r="K3564">
        <v>176000915</v>
      </c>
      <c r="P3564">
        <v>149</v>
      </c>
      <c r="Q3564" t="s">
        <v>7172</v>
      </c>
    </row>
    <row r="3565" spans="1:17" x14ac:dyDescent="0.3">
      <c r="A3565" t="s">
        <v>4382</v>
      </c>
      <c r="B3565" t="str">
        <f>"002896"</f>
        <v>002896</v>
      </c>
      <c r="C3565" t="s">
        <v>7173</v>
      </c>
      <c r="D3565" t="s">
        <v>78</v>
      </c>
      <c r="F3565">
        <v>-57443657</v>
      </c>
      <c r="G3565">
        <v>49267636</v>
      </c>
      <c r="H3565">
        <v>-86557925</v>
      </c>
      <c r="I3565">
        <v>-123064494</v>
      </c>
      <c r="J3565">
        <v>-6451162</v>
      </c>
      <c r="K3565">
        <v>17955344</v>
      </c>
      <c r="P3565">
        <v>137</v>
      </c>
      <c r="Q3565" t="s">
        <v>7174</v>
      </c>
    </row>
    <row r="3566" spans="1:17" x14ac:dyDescent="0.3">
      <c r="A3566" t="s">
        <v>4382</v>
      </c>
      <c r="B3566" t="str">
        <f>"002897"</f>
        <v>002897</v>
      </c>
      <c r="C3566" t="s">
        <v>7175</v>
      </c>
      <c r="D3566" t="s">
        <v>100</v>
      </c>
      <c r="F3566">
        <v>-639701334</v>
      </c>
      <c r="G3566">
        <v>110975384</v>
      </c>
      <c r="H3566">
        <v>-140466273</v>
      </c>
      <c r="I3566">
        <v>-75135818</v>
      </c>
      <c r="J3566">
        <v>-11557034</v>
      </c>
      <c r="K3566">
        <v>47187424</v>
      </c>
      <c r="P3566">
        <v>235</v>
      </c>
      <c r="Q3566" t="s">
        <v>7176</v>
      </c>
    </row>
    <row r="3567" spans="1:17" x14ac:dyDescent="0.3">
      <c r="A3567" t="s">
        <v>4382</v>
      </c>
      <c r="B3567" t="str">
        <f>"002898"</f>
        <v>002898</v>
      </c>
      <c r="C3567" t="s">
        <v>7177</v>
      </c>
      <c r="D3567" t="s">
        <v>113</v>
      </c>
      <c r="F3567">
        <v>-15238481</v>
      </c>
      <c r="G3567">
        <v>-62640098</v>
      </c>
      <c r="H3567">
        <v>-116323228</v>
      </c>
      <c r="I3567">
        <v>-155899035</v>
      </c>
      <c r="J3567">
        <v>-7886144</v>
      </c>
      <c r="K3567">
        <v>33436730</v>
      </c>
      <c r="P3567">
        <v>90</v>
      </c>
      <c r="Q3567" t="s">
        <v>7178</v>
      </c>
    </row>
    <row r="3568" spans="1:17" x14ac:dyDescent="0.3">
      <c r="A3568" t="s">
        <v>4382</v>
      </c>
      <c r="B3568" t="str">
        <f>"002899"</f>
        <v>002899</v>
      </c>
      <c r="C3568" t="s">
        <v>7179</v>
      </c>
      <c r="D3568" t="s">
        <v>161</v>
      </c>
      <c r="F3568">
        <v>-297137078</v>
      </c>
      <c r="G3568">
        <v>11080406</v>
      </c>
      <c r="H3568">
        <v>-60240424</v>
      </c>
      <c r="I3568">
        <v>-80786637</v>
      </c>
      <c r="J3568">
        <v>-3188918</v>
      </c>
      <c r="K3568">
        <v>5110809</v>
      </c>
      <c r="P3568">
        <v>65</v>
      </c>
      <c r="Q3568" t="s">
        <v>7180</v>
      </c>
    </row>
    <row r="3569" spans="1:17" x14ac:dyDescent="0.3">
      <c r="A3569" t="s">
        <v>4382</v>
      </c>
      <c r="B3569" t="str">
        <f>"002900"</f>
        <v>002900</v>
      </c>
      <c r="C3569" t="s">
        <v>7181</v>
      </c>
      <c r="D3569" t="s">
        <v>113</v>
      </c>
      <c r="F3569">
        <v>-54136704</v>
      </c>
      <c r="G3569">
        <v>-173727564</v>
      </c>
      <c r="H3569">
        <v>131766830</v>
      </c>
      <c r="I3569">
        <v>206902830</v>
      </c>
      <c r="J3569">
        <v>26360658</v>
      </c>
      <c r="K3569">
        <v>66009428</v>
      </c>
      <c r="P3569">
        <v>196</v>
      </c>
      <c r="Q3569" t="s">
        <v>7182</v>
      </c>
    </row>
    <row r="3570" spans="1:17" x14ac:dyDescent="0.3">
      <c r="A3570" t="s">
        <v>4382</v>
      </c>
      <c r="B3570" t="str">
        <f>"002901"</f>
        <v>002901</v>
      </c>
      <c r="C3570" t="s">
        <v>7183</v>
      </c>
      <c r="D3570" t="s">
        <v>113</v>
      </c>
      <c r="F3570">
        <v>156481354</v>
      </c>
      <c r="G3570">
        <v>172918124</v>
      </c>
      <c r="H3570">
        <v>41186901</v>
      </c>
      <c r="I3570">
        <v>122773327</v>
      </c>
      <c r="J3570">
        <v>139529666</v>
      </c>
      <c r="K3570">
        <v>84738440</v>
      </c>
      <c r="P3570">
        <v>1704</v>
      </c>
      <c r="Q3570" t="s">
        <v>7184</v>
      </c>
    </row>
    <row r="3571" spans="1:17" x14ac:dyDescent="0.3">
      <c r="A3571" t="s">
        <v>4382</v>
      </c>
      <c r="B3571" t="str">
        <f>"002902"</f>
        <v>002902</v>
      </c>
      <c r="C3571" t="s">
        <v>7185</v>
      </c>
      <c r="D3571" t="s">
        <v>100</v>
      </c>
      <c r="F3571">
        <v>-89446854</v>
      </c>
      <c r="G3571">
        <v>-79928572</v>
      </c>
      <c r="H3571">
        <v>78876191</v>
      </c>
      <c r="I3571">
        <v>-151299599</v>
      </c>
      <c r="J3571">
        <v>-12136651</v>
      </c>
      <c r="K3571">
        <v>987201</v>
      </c>
      <c r="P3571">
        <v>216</v>
      </c>
      <c r="Q3571" t="s">
        <v>7186</v>
      </c>
    </row>
    <row r="3572" spans="1:17" x14ac:dyDescent="0.3">
      <c r="A3572" t="s">
        <v>4382</v>
      </c>
      <c r="B3572" t="str">
        <f>"002903"</f>
        <v>002903</v>
      </c>
      <c r="C3572" t="s">
        <v>7187</v>
      </c>
      <c r="D3572" t="s">
        <v>78</v>
      </c>
      <c r="F3572">
        <v>-40847137</v>
      </c>
      <c r="G3572">
        <v>80274293</v>
      </c>
      <c r="H3572">
        <v>25894233</v>
      </c>
      <c r="I3572">
        <v>-107938451</v>
      </c>
      <c r="J3572">
        <v>22932990</v>
      </c>
      <c r="K3572">
        <v>33666988</v>
      </c>
      <c r="P3572">
        <v>143</v>
      </c>
      <c r="Q3572" t="s">
        <v>7188</v>
      </c>
    </row>
    <row r="3573" spans="1:17" x14ac:dyDescent="0.3">
      <c r="A3573" t="s">
        <v>4382</v>
      </c>
      <c r="B3573" t="str">
        <f>"002905"</f>
        <v>002905</v>
      </c>
      <c r="C3573" t="s">
        <v>7189</v>
      </c>
      <c r="D3573" t="s">
        <v>89</v>
      </c>
      <c r="F3573">
        <v>-72979527</v>
      </c>
      <c r="G3573">
        <v>-117663736</v>
      </c>
      <c r="H3573">
        <v>-77343938</v>
      </c>
      <c r="I3573">
        <v>-172767079</v>
      </c>
      <c r="J3573">
        <v>49900263</v>
      </c>
      <c r="K3573">
        <v>-88928862</v>
      </c>
      <c r="P3573">
        <v>133</v>
      </c>
      <c r="Q3573" t="s">
        <v>7190</v>
      </c>
    </row>
    <row r="3574" spans="1:17" x14ac:dyDescent="0.3">
      <c r="A3574" t="s">
        <v>4382</v>
      </c>
      <c r="B3574" t="str">
        <f>"002906"</f>
        <v>002906</v>
      </c>
      <c r="C3574" t="s">
        <v>7191</v>
      </c>
      <c r="D3574" t="s">
        <v>27</v>
      </c>
      <c r="F3574">
        <v>-88519755</v>
      </c>
      <c r="G3574">
        <v>84645623</v>
      </c>
      <c r="H3574">
        <v>-39564796</v>
      </c>
      <c r="I3574">
        <v>-124176624</v>
      </c>
      <c r="J3574">
        <v>-171546198</v>
      </c>
      <c r="K3574">
        <v>162925744</v>
      </c>
      <c r="P3574">
        <v>229</v>
      </c>
      <c r="Q3574" t="s">
        <v>7192</v>
      </c>
    </row>
    <row r="3575" spans="1:17" x14ac:dyDescent="0.3">
      <c r="A3575" t="s">
        <v>4382</v>
      </c>
      <c r="B3575" t="str">
        <f>"002907"</f>
        <v>002907</v>
      </c>
      <c r="C3575" t="s">
        <v>7193</v>
      </c>
      <c r="D3575" t="s">
        <v>113</v>
      </c>
      <c r="F3575">
        <v>31307839</v>
      </c>
      <c r="G3575">
        <v>44132344</v>
      </c>
      <c r="H3575">
        <v>-21726476</v>
      </c>
      <c r="I3575">
        <v>19742886</v>
      </c>
      <c r="J3575">
        <v>38739479</v>
      </c>
      <c r="K3575">
        <v>31990452</v>
      </c>
      <c r="P3575">
        <v>286</v>
      </c>
      <c r="Q3575" t="s">
        <v>7194</v>
      </c>
    </row>
    <row r="3576" spans="1:17" x14ac:dyDescent="0.3">
      <c r="A3576" t="s">
        <v>4382</v>
      </c>
      <c r="B3576" t="str">
        <f>"002908"</f>
        <v>002908</v>
      </c>
      <c r="C3576" t="s">
        <v>7195</v>
      </c>
      <c r="D3576" t="s">
        <v>100</v>
      </c>
      <c r="F3576">
        <v>-177737983</v>
      </c>
      <c r="G3576">
        <v>-301059954</v>
      </c>
      <c r="H3576">
        <v>-91714328</v>
      </c>
      <c r="I3576">
        <v>-131155743</v>
      </c>
      <c r="J3576">
        <v>-45613410</v>
      </c>
      <c r="K3576">
        <v>-143174413</v>
      </c>
      <c r="P3576">
        <v>127</v>
      </c>
      <c r="Q3576" t="s">
        <v>7196</v>
      </c>
    </row>
    <row r="3577" spans="1:17" x14ac:dyDescent="0.3">
      <c r="A3577" t="s">
        <v>4382</v>
      </c>
      <c r="B3577" t="str">
        <f>"002909"</f>
        <v>002909</v>
      </c>
      <c r="C3577" t="s">
        <v>7197</v>
      </c>
      <c r="D3577" t="s">
        <v>133</v>
      </c>
      <c r="F3577">
        <v>-284702920</v>
      </c>
      <c r="G3577">
        <v>-174984165</v>
      </c>
      <c r="H3577">
        <v>-93302854</v>
      </c>
      <c r="I3577">
        <v>-55338896</v>
      </c>
      <c r="J3577">
        <v>-8988257</v>
      </c>
      <c r="K3577">
        <v>18181436</v>
      </c>
      <c r="P3577">
        <v>87</v>
      </c>
      <c r="Q3577" t="s">
        <v>7198</v>
      </c>
    </row>
    <row r="3578" spans="1:17" x14ac:dyDescent="0.3">
      <c r="A3578" t="s">
        <v>4382</v>
      </c>
      <c r="B3578" t="str">
        <f>"002910"</f>
        <v>002910</v>
      </c>
      <c r="C3578" t="s">
        <v>7199</v>
      </c>
      <c r="D3578" t="s">
        <v>123</v>
      </c>
      <c r="F3578">
        <v>-136505203</v>
      </c>
      <c r="G3578">
        <v>-105174466</v>
      </c>
      <c r="H3578">
        <v>-127111256</v>
      </c>
      <c r="I3578">
        <v>-67962246</v>
      </c>
      <c r="J3578">
        <v>78505137</v>
      </c>
      <c r="K3578">
        <v>72813935</v>
      </c>
      <c r="P3578">
        <v>147</v>
      </c>
      <c r="Q3578" t="s">
        <v>7200</v>
      </c>
    </row>
    <row r="3579" spans="1:17" x14ac:dyDescent="0.3">
      <c r="A3579" t="s">
        <v>4382</v>
      </c>
      <c r="B3579" t="str">
        <f>"002911"</f>
        <v>002911</v>
      </c>
      <c r="C3579" t="s">
        <v>7201</v>
      </c>
      <c r="D3579" t="s">
        <v>41</v>
      </c>
      <c r="F3579">
        <v>-918285269</v>
      </c>
      <c r="G3579">
        <v>233512621</v>
      </c>
      <c r="H3579">
        <v>350712018</v>
      </c>
      <c r="I3579">
        <v>412752794</v>
      </c>
      <c r="J3579">
        <v>277190944</v>
      </c>
      <c r="K3579">
        <v>261930912</v>
      </c>
      <c r="P3579">
        <v>183</v>
      </c>
      <c r="Q3579" t="s">
        <v>7202</v>
      </c>
    </row>
    <row r="3580" spans="1:17" x14ac:dyDescent="0.3">
      <c r="A3580" t="s">
        <v>4382</v>
      </c>
      <c r="B3580" t="str">
        <f>"002912"</f>
        <v>002912</v>
      </c>
      <c r="C3580" t="s">
        <v>7203</v>
      </c>
      <c r="D3580" t="s">
        <v>212</v>
      </c>
      <c r="F3580">
        <v>-277931322</v>
      </c>
      <c r="G3580">
        <v>-154045083</v>
      </c>
      <c r="H3580">
        <v>38407794</v>
      </c>
      <c r="I3580">
        <v>-58974039</v>
      </c>
      <c r="J3580">
        <v>32260837</v>
      </c>
      <c r="K3580">
        <v>17363000</v>
      </c>
      <c r="P3580">
        <v>586</v>
      </c>
      <c r="Q3580" t="s">
        <v>7204</v>
      </c>
    </row>
    <row r="3581" spans="1:17" x14ac:dyDescent="0.3">
      <c r="A3581" t="s">
        <v>4382</v>
      </c>
      <c r="B3581" t="str">
        <f>"002913"</f>
        <v>002913</v>
      </c>
      <c r="C3581" t="s">
        <v>7205</v>
      </c>
      <c r="D3581" t="s">
        <v>150</v>
      </c>
      <c r="F3581">
        <v>-754927690</v>
      </c>
      <c r="G3581">
        <v>-340565879</v>
      </c>
      <c r="H3581">
        <v>76493498</v>
      </c>
      <c r="I3581">
        <v>13512009</v>
      </c>
      <c r="J3581">
        <v>-46404850</v>
      </c>
      <c r="K3581">
        <v>-29233291</v>
      </c>
      <c r="P3581">
        <v>205</v>
      </c>
      <c r="Q3581" t="s">
        <v>7206</v>
      </c>
    </row>
    <row r="3582" spans="1:17" x14ac:dyDescent="0.3">
      <c r="A3582" t="s">
        <v>4382</v>
      </c>
      <c r="B3582" t="str">
        <f>"002915"</f>
        <v>002915</v>
      </c>
      <c r="C3582" t="s">
        <v>7207</v>
      </c>
      <c r="D3582" t="s">
        <v>133</v>
      </c>
      <c r="F3582">
        <v>14237005</v>
      </c>
      <c r="G3582">
        <v>-25190889</v>
      </c>
      <c r="H3582">
        <v>-20762348</v>
      </c>
      <c r="I3582">
        <v>-28630354</v>
      </c>
      <c r="J3582">
        <v>-12500114</v>
      </c>
      <c r="K3582">
        <v>22782867</v>
      </c>
      <c r="P3582">
        <v>90</v>
      </c>
      <c r="Q3582" t="s">
        <v>7208</v>
      </c>
    </row>
    <row r="3583" spans="1:17" x14ac:dyDescent="0.3">
      <c r="A3583" t="s">
        <v>4382</v>
      </c>
      <c r="B3583" t="str">
        <f>"002916"</f>
        <v>002916</v>
      </c>
      <c r="C3583" t="s">
        <v>7209</v>
      </c>
      <c r="D3583" t="s">
        <v>150</v>
      </c>
      <c r="F3583">
        <v>-919803665</v>
      </c>
      <c r="G3583">
        <v>-572898486</v>
      </c>
      <c r="H3583">
        <v>-649889373</v>
      </c>
      <c r="I3583">
        <v>-425130043</v>
      </c>
      <c r="J3583">
        <v>98224667</v>
      </c>
      <c r="K3583">
        <v>105515869</v>
      </c>
      <c r="P3583">
        <v>2555</v>
      </c>
      <c r="Q3583" t="s">
        <v>7210</v>
      </c>
    </row>
    <row r="3584" spans="1:17" x14ac:dyDescent="0.3">
      <c r="A3584" t="s">
        <v>4382</v>
      </c>
      <c r="B3584" t="str">
        <f>"002917"</f>
        <v>002917</v>
      </c>
      <c r="C3584" t="s">
        <v>7211</v>
      </c>
      <c r="D3584" t="s">
        <v>133</v>
      </c>
      <c r="F3584">
        <v>-32066311</v>
      </c>
      <c r="G3584">
        <v>-19260134</v>
      </c>
      <c r="H3584">
        <v>-39600248</v>
      </c>
      <c r="I3584">
        <v>-28762184</v>
      </c>
      <c r="J3584">
        <v>10348108</v>
      </c>
      <c r="K3584">
        <v>-4639316</v>
      </c>
      <c r="P3584">
        <v>67</v>
      </c>
      <c r="Q3584" t="s">
        <v>7212</v>
      </c>
    </row>
    <row r="3585" spans="1:17" x14ac:dyDescent="0.3">
      <c r="A3585" t="s">
        <v>4382</v>
      </c>
      <c r="B3585" t="str">
        <f>"002918"</f>
        <v>002918</v>
      </c>
      <c r="C3585" t="s">
        <v>7213</v>
      </c>
      <c r="D3585" t="s">
        <v>161</v>
      </c>
      <c r="F3585">
        <v>-936769180</v>
      </c>
      <c r="G3585">
        <v>-913403573</v>
      </c>
      <c r="H3585">
        <v>532826881</v>
      </c>
      <c r="I3585">
        <v>-46706742</v>
      </c>
      <c r="J3585">
        <v>349198761</v>
      </c>
      <c r="K3585">
        <v>98620740</v>
      </c>
      <c r="P3585">
        <v>530</v>
      </c>
      <c r="Q3585" t="s">
        <v>7214</v>
      </c>
    </row>
    <row r="3586" spans="1:17" x14ac:dyDescent="0.3">
      <c r="A3586" t="s">
        <v>4382</v>
      </c>
      <c r="B3586" t="str">
        <f>"002919"</f>
        <v>002919</v>
      </c>
      <c r="C3586" t="s">
        <v>7215</v>
      </c>
      <c r="D3586" t="s">
        <v>481</v>
      </c>
      <c r="F3586">
        <v>-16113402</v>
      </c>
      <c r="G3586">
        <v>68260111</v>
      </c>
      <c r="H3586">
        <v>-26831723</v>
      </c>
      <c r="I3586">
        <v>-49680655</v>
      </c>
      <c r="J3586">
        <v>-83266987</v>
      </c>
      <c r="K3586">
        <v>-1342400</v>
      </c>
      <c r="P3586">
        <v>146</v>
      </c>
      <c r="Q3586" t="s">
        <v>7216</v>
      </c>
    </row>
    <row r="3587" spans="1:17" x14ac:dyDescent="0.3">
      <c r="A3587" t="s">
        <v>4382</v>
      </c>
      <c r="B3587" t="str">
        <f>"002920"</f>
        <v>002920</v>
      </c>
      <c r="C3587" t="s">
        <v>7217</v>
      </c>
      <c r="D3587" t="s">
        <v>212</v>
      </c>
      <c r="F3587">
        <v>-314202119</v>
      </c>
      <c r="G3587">
        <v>-220169738</v>
      </c>
      <c r="H3587">
        <v>-100532730</v>
      </c>
      <c r="I3587">
        <v>587188565</v>
      </c>
      <c r="J3587">
        <v>187494323</v>
      </c>
      <c r="K3587">
        <v>398175584</v>
      </c>
      <c r="P3587">
        <v>688</v>
      </c>
      <c r="Q3587" t="s">
        <v>7218</v>
      </c>
    </row>
    <row r="3588" spans="1:17" x14ac:dyDescent="0.3">
      <c r="A3588" t="s">
        <v>4382</v>
      </c>
      <c r="B3588" t="str">
        <f>"002921"</f>
        <v>002921</v>
      </c>
      <c r="C3588" t="s">
        <v>7219</v>
      </c>
      <c r="D3588" t="s">
        <v>27</v>
      </c>
      <c r="F3588">
        <v>-113806091</v>
      </c>
      <c r="G3588">
        <v>-38875559</v>
      </c>
      <c r="H3588">
        <v>-21249025</v>
      </c>
      <c r="I3588">
        <v>-59928733</v>
      </c>
      <c r="J3588">
        <v>-20323293</v>
      </c>
      <c r="K3588">
        <v>33989383</v>
      </c>
      <c r="P3588">
        <v>95</v>
      </c>
      <c r="Q3588" t="s">
        <v>7220</v>
      </c>
    </row>
    <row r="3589" spans="1:17" x14ac:dyDescent="0.3">
      <c r="A3589" t="s">
        <v>4382</v>
      </c>
      <c r="B3589" t="str">
        <f>"002922"</f>
        <v>002922</v>
      </c>
      <c r="C3589" t="s">
        <v>7221</v>
      </c>
      <c r="D3589" t="s">
        <v>150</v>
      </c>
      <c r="F3589">
        <v>-51753702</v>
      </c>
      <c r="G3589">
        <v>26151629</v>
      </c>
      <c r="H3589">
        <v>-41472120</v>
      </c>
      <c r="I3589">
        <v>-83182888</v>
      </c>
      <c r="J3589">
        <v>24083255</v>
      </c>
      <c r="K3589">
        <v>66154900</v>
      </c>
      <c r="P3589">
        <v>170</v>
      </c>
      <c r="Q3589" t="s">
        <v>7222</v>
      </c>
    </row>
    <row r="3590" spans="1:17" x14ac:dyDescent="0.3">
      <c r="A3590" t="s">
        <v>4382</v>
      </c>
      <c r="B3590" t="str">
        <f>"002923"</f>
        <v>002923</v>
      </c>
      <c r="C3590" t="s">
        <v>7223</v>
      </c>
      <c r="D3590" t="s">
        <v>113</v>
      </c>
      <c r="F3590">
        <v>-137867265</v>
      </c>
      <c r="G3590">
        <v>23554839</v>
      </c>
      <c r="H3590">
        <v>-45198459</v>
      </c>
      <c r="I3590">
        <v>-25993063</v>
      </c>
      <c r="J3590">
        <v>47992524</v>
      </c>
      <c r="K3590">
        <v>63232633</v>
      </c>
      <c r="P3590">
        <v>165</v>
      </c>
      <c r="Q3590" t="s">
        <v>7224</v>
      </c>
    </row>
    <row r="3591" spans="1:17" x14ac:dyDescent="0.3">
      <c r="A3591" t="s">
        <v>4382</v>
      </c>
      <c r="B3591" t="str">
        <f>"002925"</f>
        <v>002925</v>
      </c>
      <c r="C3591" t="s">
        <v>7225</v>
      </c>
      <c r="D3591" t="s">
        <v>150</v>
      </c>
      <c r="F3591">
        <v>277916477</v>
      </c>
      <c r="G3591">
        <v>462783486</v>
      </c>
      <c r="H3591">
        <v>-273470085</v>
      </c>
      <c r="I3591">
        <v>576444107</v>
      </c>
      <c r="J3591">
        <v>526734560</v>
      </c>
      <c r="K3591">
        <v>184453281</v>
      </c>
      <c r="P3591">
        <v>1062</v>
      </c>
      <c r="Q3591" t="s">
        <v>7226</v>
      </c>
    </row>
    <row r="3592" spans="1:17" x14ac:dyDescent="0.3">
      <c r="A3592" t="s">
        <v>4382</v>
      </c>
      <c r="B3592" t="str">
        <f>"002926"</f>
        <v>002926</v>
      </c>
      <c r="C3592" t="s">
        <v>7227</v>
      </c>
      <c r="D3592" t="s">
        <v>75</v>
      </c>
      <c r="F3592">
        <v>4498352532</v>
      </c>
      <c r="G3592">
        <v>-4019056273</v>
      </c>
      <c r="H3592">
        <v>1302852742</v>
      </c>
      <c r="I3592">
        <v>-3623376139</v>
      </c>
      <c r="J3592">
        <v>450420500</v>
      </c>
      <c r="K3592">
        <v>-10584246600</v>
      </c>
      <c r="P3592">
        <v>921</v>
      </c>
      <c r="Q3592" t="s">
        <v>7228</v>
      </c>
    </row>
    <row r="3593" spans="1:17" x14ac:dyDescent="0.3">
      <c r="A3593" t="s">
        <v>4382</v>
      </c>
      <c r="B3593" t="str">
        <f>"002927"</f>
        <v>002927</v>
      </c>
      <c r="C3593" t="s">
        <v>7229</v>
      </c>
      <c r="D3593" t="s">
        <v>188</v>
      </c>
      <c r="F3593">
        <v>-25293188</v>
      </c>
      <c r="G3593">
        <v>-46249072</v>
      </c>
      <c r="H3593">
        <v>6968292</v>
      </c>
      <c r="I3593">
        <v>-12621477</v>
      </c>
      <c r="J3593">
        <v>-17560300</v>
      </c>
      <c r="K3593">
        <v>13040300</v>
      </c>
      <c r="P3593">
        <v>117</v>
      </c>
      <c r="Q3593" t="s">
        <v>7230</v>
      </c>
    </row>
    <row r="3594" spans="1:17" x14ac:dyDescent="0.3">
      <c r="A3594" t="s">
        <v>4382</v>
      </c>
      <c r="B3594" t="str">
        <f>"002928"</f>
        <v>002928</v>
      </c>
      <c r="C3594" t="s">
        <v>7231</v>
      </c>
      <c r="D3594" t="s">
        <v>22</v>
      </c>
      <c r="F3594">
        <v>-757957742</v>
      </c>
      <c r="G3594">
        <v>61470517</v>
      </c>
      <c r="H3594">
        <v>-149852793</v>
      </c>
      <c r="I3594">
        <v>-749775474</v>
      </c>
      <c r="J3594">
        <v>-88573087</v>
      </c>
      <c r="P3594">
        <v>333</v>
      </c>
      <c r="Q3594" t="s">
        <v>7232</v>
      </c>
    </row>
    <row r="3595" spans="1:17" x14ac:dyDescent="0.3">
      <c r="A3595" t="s">
        <v>4382</v>
      </c>
      <c r="B3595" t="str">
        <f>"002929"</f>
        <v>002929</v>
      </c>
      <c r="C3595" t="s">
        <v>7233</v>
      </c>
      <c r="D3595" t="s">
        <v>100</v>
      </c>
      <c r="F3595">
        <v>-783358051</v>
      </c>
      <c r="G3595">
        <v>135368491</v>
      </c>
      <c r="H3595">
        <v>-400127479</v>
      </c>
      <c r="I3595">
        <v>-505338909</v>
      </c>
      <c r="J3595">
        <v>-554397400</v>
      </c>
      <c r="P3595">
        <v>271</v>
      </c>
      <c r="Q3595" t="s">
        <v>7234</v>
      </c>
    </row>
    <row r="3596" spans="1:17" x14ac:dyDescent="0.3">
      <c r="A3596" t="s">
        <v>4382</v>
      </c>
      <c r="B3596" t="str">
        <f>"002930"</f>
        <v>002930</v>
      </c>
      <c r="C3596" t="s">
        <v>7235</v>
      </c>
      <c r="D3596" t="s">
        <v>22</v>
      </c>
      <c r="F3596">
        <v>95210465</v>
      </c>
      <c r="G3596">
        <v>54677530</v>
      </c>
      <c r="H3596">
        <v>-76941406</v>
      </c>
      <c r="I3596">
        <v>-404861652</v>
      </c>
      <c r="J3596">
        <v>108567330</v>
      </c>
      <c r="P3596">
        <v>160</v>
      </c>
      <c r="Q3596" t="s">
        <v>7236</v>
      </c>
    </row>
    <row r="3597" spans="1:17" x14ac:dyDescent="0.3">
      <c r="A3597" t="s">
        <v>4382</v>
      </c>
      <c r="B3597" t="str">
        <f>"002931"</f>
        <v>002931</v>
      </c>
      <c r="C3597" t="s">
        <v>7237</v>
      </c>
      <c r="D3597" t="s">
        <v>78</v>
      </c>
      <c r="F3597">
        <v>-119202366</v>
      </c>
      <c r="G3597">
        <v>15239162</v>
      </c>
      <c r="H3597">
        <v>9740460</v>
      </c>
      <c r="I3597">
        <v>-34631952</v>
      </c>
      <c r="J3597">
        <v>25233740</v>
      </c>
      <c r="P3597">
        <v>107</v>
      </c>
      <c r="Q3597" t="s">
        <v>7238</v>
      </c>
    </row>
    <row r="3598" spans="1:17" x14ac:dyDescent="0.3">
      <c r="A3598" t="s">
        <v>4382</v>
      </c>
      <c r="B3598" t="str">
        <f>"002932"</f>
        <v>002932</v>
      </c>
      <c r="C3598" t="s">
        <v>7239</v>
      </c>
      <c r="D3598" t="s">
        <v>113</v>
      </c>
      <c r="F3598">
        <v>728198101</v>
      </c>
      <c r="G3598">
        <v>179130443</v>
      </c>
      <c r="H3598">
        <v>-10835396</v>
      </c>
      <c r="I3598">
        <v>1333106</v>
      </c>
      <c r="J3598">
        <v>-24030399</v>
      </c>
      <c r="P3598">
        <v>424</v>
      </c>
      <c r="Q3598" t="s">
        <v>7240</v>
      </c>
    </row>
    <row r="3599" spans="1:17" x14ac:dyDescent="0.3">
      <c r="A3599" t="s">
        <v>4382</v>
      </c>
      <c r="B3599" t="str">
        <f>"002933"</f>
        <v>002933</v>
      </c>
      <c r="C3599" t="s">
        <v>7241</v>
      </c>
      <c r="D3599" t="s">
        <v>92</v>
      </c>
      <c r="F3599">
        <v>19958464</v>
      </c>
      <c r="G3599">
        <v>71416463</v>
      </c>
      <c r="H3599">
        <v>12921632</v>
      </c>
      <c r="I3599">
        <v>18175143</v>
      </c>
      <c r="J3599">
        <v>61367283</v>
      </c>
      <c r="P3599">
        <v>314</v>
      </c>
      <c r="Q3599" t="s">
        <v>7242</v>
      </c>
    </row>
    <row r="3600" spans="1:17" x14ac:dyDescent="0.3">
      <c r="A3600" t="s">
        <v>4382</v>
      </c>
      <c r="B3600" t="str">
        <f>"002935"</f>
        <v>002935</v>
      </c>
      <c r="C3600" t="s">
        <v>7243</v>
      </c>
      <c r="D3600" t="s">
        <v>92</v>
      </c>
      <c r="F3600">
        <v>-176366582</v>
      </c>
      <c r="G3600">
        <v>-269918837</v>
      </c>
      <c r="H3600">
        <v>-200711993</v>
      </c>
      <c r="I3600">
        <v>-59048180</v>
      </c>
      <c r="J3600">
        <v>-80307805</v>
      </c>
      <c r="P3600">
        <v>203</v>
      </c>
      <c r="Q3600" t="s">
        <v>7244</v>
      </c>
    </row>
    <row r="3601" spans="1:17" x14ac:dyDescent="0.3">
      <c r="A3601" t="s">
        <v>4382</v>
      </c>
      <c r="B3601" t="str">
        <f>"002936"</f>
        <v>002936</v>
      </c>
      <c r="C3601" t="s">
        <v>7245</v>
      </c>
      <c r="D3601" t="s">
        <v>19</v>
      </c>
      <c r="F3601">
        <v>-26218914000</v>
      </c>
      <c r="G3601">
        <v>-835324000</v>
      </c>
      <c r="H3601">
        <v>-8823001000</v>
      </c>
      <c r="I3601">
        <v>-22892107000</v>
      </c>
      <c r="J3601">
        <v>-12790335000</v>
      </c>
      <c r="P3601">
        <v>469</v>
      </c>
      <c r="Q3601" t="s">
        <v>7246</v>
      </c>
    </row>
    <row r="3602" spans="1:17" x14ac:dyDescent="0.3">
      <c r="A3602" t="s">
        <v>4382</v>
      </c>
      <c r="B3602" t="str">
        <f>"002937"</f>
        <v>002937</v>
      </c>
      <c r="C3602" t="s">
        <v>7247</v>
      </c>
      <c r="D3602" t="s">
        <v>150</v>
      </c>
      <c r="F3602">
        <v>-3371446</v>
      </c>
      <c r="G3602">
        <v>25231015</v>
      </c>
      <c r="H3602">
        <v>134546415</v>
      </c>
      <c r="I3602">
        <v>55115575</v>
      </c>
      <c r="J3602">
        <v>34488449</v>
      </c>
      <c r="P3602">
        <v>210</v>
      </c>
      <c r="Q3602" t="s">
        <v>7248</v>
      </c>
    </row>
    <row r="3603" spans="1:17" x14ac:dyDescent="0.3">
      <c r="A3603" t="s">
        <v>4382</v>
      </c>
      <c r="B3603" t="str">
        <f>"002938"</f>
        <v>002938</v>
      </c>
      <c r="C3603" t="s">
        <v>7249</v>
      </c>
      <c r="D3603" t="s">
        <v>150</v>
      </c>
      <c r="F3603">
        <v>-3185152305</v>
      </c>
      <c r="G3603">
        <v>5054978</v>
      </c>
      <c r="H3603">
        <v>19334035</v>
      </c>
      <c r="I3603">
        <v>214632505</v>
      </c>
      <c r="J3603">
        <v>-1670901163</v>
      </c>
      <c r="P3603">
        <v>961</v>
      </c>
      <c r="Q3603" t="s">
        <v>7250</v>
      </c>
    </row>
    <row r="3604" spans="1:17" x14ac:dyDescent="0.3">
      <c r="A3604" t="s">
        <v>4382</v>
      </c>
      <c r="B3604" t="str">
        <f>"002939"</f>
        <v>002939</v>
      </c>
      <c r="C3604" t="s">
        <v>7251</v>
      </c>
      <c r="D3604" t="s">
        <v>75</v>
      </c>
      <c r="F3604">
        <v>215192218</v>
      </c>
      <c r="G3604">
        <v>-2184918549</v>
      </c>
      <c r="H3604">
        <v>1934283893</v>
      </c>
      <c r="I3604">
        <v>-2013414455</v>
      </c>
      <c r="J3604">
        <v>-5139353207</v>
      </c>
      <c r="P3604">
        <v>832</v>
      </c>
      <c r="Q3604" t="s">
        <v>7252</v>
      </c>
    </row>
    <row r="3605" spans="1:17" x14ac:dyDescent="0.3">
      <c r="A3605" t="s">
        <v>4382</v>
      </c>
      <c r="B3605" t="str">
        <f>"002940"</f>
        <v>002940</v>
      </c>
      <c r="C3605" t="s">
        <v>7253</v>
      </c>
      <c r="D3605" t="s">
        <v>113</v>
      </c>
      <c r="F3605">
        <v>85553572</v>
      </c>
      <c r="G3605">
        <v>100761914</v>
      </c>
      <c r="H3605">
        <v>88675055</v>
      </c>
      <c r="I3605">
        <v>47349441</v>
      </c>
      <c r="J3605">
        <v>85268352</v>
      </c>
      <c r="P3605">
        <v>148</v>
      </c>
      <c r="Q3605" t="s">
        <v>7254</v>
      </c>
    </row>
    <row r="3606" spans="1:17" x14ac:dyDescent="0.3">
      <c r="A3606" t="s">
        <v>4382</v>
      </c>
      <c r="B3606" t="str">
        <f>"002941"</f>
        <v>002941</v>
      </c>
      <c r="C3606" t="s">
        <v>7255</v>
      </c>
      <c r="D3606" t="s">
        <v>95</v>
      </c>
      <c r="F3606">
        <v>574477135</v>
      </c>
      <c r="G3606">
        <v>-40240341</v>
      </c>
      <c r="H3606">
        <v>-1524684979</v>
      </c>
      <c r="I3606">
        <v>-1160117442</v>
      </c>
      <c r="J3606">
        <v>-996996800</v>
      </c>
      <c r="P3606">
        <v>145</v>
      </c>
      <c r="Q3606" t="s">
        <v>7256</v>
      </c>
    </row>
    <row r="3607" spans="1:17" x14ac:dyDescent="0.3">
      <c r="A3607" t="s">
        <v>4382</v>
      </c>
      <c r="B3607" t="str">
        <f>"002942"</f>
        <v>002942</v>
      </c>
      <c r="C3607" t="s">
        <v>7257</v>
      </c>
      <c r="D3607" t="s">
        <v>133</v>
      </c>
      <c r="F3607">
        <v>74751808</v>
      </c>
      <c r="G3607">
        <v>31529537</v>
      </c>
      <c r="H3607">
        <v>118881068</v>
      </c>
      <c r="I3607">
        <v>61964385</v>
      </c>
      <c r="J3607">
        <v>-10915865</v>
      </c>
      <c r="P3607">
        <v>414</v>
      </c>
      <c r="Q3607" t="s">
        <v>7258</v>
      </c>
    </row>
    <row r="3608" spans="1:17" x14ac:dyDescent="0.3">
      <c r="A3608" t="s">
        <v>4382</v>
      </c>
      <c r="B3608" t="str">
        <f>"002943"</f>
        <v>002943</v>
      </c>
      <c r="C3608" t="s">
        <v>7259</v>
      </c>
      <c r="D3608" t="s">
        <v>78</v>
      </c>
      <c r="F3608">
        <v>-116473803</v>
      </c>
      <c r="G3608">
        <v>-135292802</v>
      </c>
      <c r="H3608">
        <v>-143814844</v>
      </c>
      <c r="I3608">
        <v>6435400</v>
      </c>
      <c r="P3608">
        <v>74</v>
      </c>
      <c r="Q3608" t="s">
        <v>7260</v>
      </c>
    </row>
    <row r="3609" spans="1:17" x14ac:dyDescent="0.3">
      <c r="A3609" t="s">
        <v>4382</v>
      </c>
      <c r="B3609" t="str">
        <f>"002945"</f>
        <v>002945</v>
      </c>
      <c r="C3609" t="s">
        <v>7261</v>
      </c>
      <c r="D3609" t="s">
        <v>75</v>
      </c>
      <c r="F3609">
        <v>-2868264529</v>
      </c>
      <c r="G3609">
        <v>542483760</v>
      </c>
      <c r="H3609">
        <v>1209511943</v>
      </c>
      <c r="I3609">
        <v>175486000</v>
      </c>
      <c r="J3609">
        <v>-1500681100</v>
      </c>
      <c r="P3609">
        <v>913</v>
      </c>
      <c r="Q3609" t="s">
        <v>7262</v>
      </c>
    </row>
    <row r="3610" spans="1:17" x14ac:dyDescent="0.3">
      <c r="A3610" t="s">
        <v>4382</v>
      </c>
      <c r="B3610" t="str">
        <f>"002946"</f>
        <v>002946</v>
      </c>
      <c r="C3610" t="s">
        <v>7263</v>
      </c>
      <c r="D3610" t="s">
        <v>123</v>
      </c>
      <c r="F3610">
        <v>298079262</v>
      </c>
      <c r="G3610">
        <v>-16707195</v>
      </c>
      <c r="H3610">
        <v>68141556</v>
      </c>
      <c r="I3610">
        <v>108521933</v>
      </c>
      <c r="J3610">
        <v>2165104</v>
      </c>
      <c r="P3610">
        <v>343</v>
      </c>
      <c r="Q3610" t="s">
        <v>7264</v>
      </c>
    </row>
    <row r="3611" spans="1:17" x14ac:dyDescent="0.3">
      <c r="A3611" t="s">
        <v>4382</v>
      </c>
      <c r="B3611" t="str">
        <f>"002947"</f>
        <v>002947</v>
      </c>
      <c r="C3611" t="s">
        <v>7265</v>
      </c>
      <c r="D3611" t="s">
        <v>150</v>
      </c>
      <c r="F3611">
        <v>-27531714</v>
      </c>
      <c r="G3611">
        <v>125772931</v>
      </c>
      <c r="H3611">
        <v>142919201</v>
      </c>
      <c r="I3611">
        <v>87150957</v>
      </c>
      <c r="J3611">
        <v>76849098</v>
      </c>
      <c r="P3611">
        <v>266</v>
      </c>
      <c r="Q3611" t="s">
        <v>7266</v>
      </c>
    </row>
    <row r="3612" spans="1:17" x14ac:dyDescent="0.3">
      <c r="A3612" t="s">
        <v>4382</v>
      </c>
      <c r="B3612" t="str">
        <f>"002948"</f>
        <v>002948</v>
      </c>
      <c r="C3612" t="s">
        <v>7267</v>
      </c>
      <c r="D3612" t="s">
        <v>19</v>
      </c>
      <c r="F3612">
        <v>-7904736000</v>
      </c>
      <c r="G3612">
        <v>35169742000</v>
      </c>
      <c r="H3612">
        <v>-12451641000</v>
      </c>
      <c r="I3612">
        <v>-8460642000</v>
      </c>
      <c r="J3612">
        <v>-36282123000</v>
      </c>
      <c r="L3612">
        <v>4572114000</v>
      </c>
      <c r="M3612">
        <v>12854770171</v>
      </c>
      <c r="O3612">
        <v>6212547619</v>
      </c>
      <c r="P3612">
        <v>458</v>
      </c>
      <c r="Q3612" t="s">
        <v>7268</v>
      </c>
    </row>
    <row r="3613" spans="1:17" x14ac:dyDescent="0.3">
      <c r="A3613" t="s">
        <v>4382</v>
      </c>
      <c r="B3613" t="str">
        <f>"002949"</f>
        <v>002949</v>
      </c>
      <c r="C3613" t="s">
        <v>7269</v>
      </c>
      <c r="D3613" t="s">
        <v>95</v>
      </c>
      <c r="F3613">
        <v>-219077017</v>
      </c>
      <c r="G3613">
        <v>-232163390</v>
      </c>
      <c r="H3613">
        <v>-242019148</v>
      </c>
      <c r="I3613">
        <v>-22126120</v>
      </c>
      <c r="P3613">
        <v>159</v>
      </c>
      <c r="Q3613" t="s">
        <v>7270</v>
      </c>
    </row>
    <row r="3614" spans="1:17" x14ac:dyDescent="0.3">
      <c r="A3614" t="s">
        <v>4382</v>
      </c>
      <c r="B3614" t="str">
        <f>"002950"</f>
        <v>002950</v>
      </c>
      <c r="C3614" t="s">
        <v>7271</v>
      </c>
      <c r="D3614" t="s">
        <v>113</v>
      </c>
      <c r="F3614">
        <v>-163572019</v>
      </c>
      <c r="G3614">
        <v>1024247308</v>
      </c>
      <c r="H3614">
        <v>-63256362</v>
      </c>
      <c r="I3614">
        <v>-94943352</v>
      </c>
      <c r="P3614">
        <v>1080</v>
      </c>
      <c r="Q3614" t="s">
        <v>7272</v>
      </c>
    </row>
    <row r="3615" spans="1:17" x14ac:dyDescent="0.3">
      <c r="A3615" t="s">
        <v>4382</v>
      </c>
      <c r="B3615" t="str">
        <f>"002951"</f>
        <v>002951</v>
      </c>
      <c r="C3615" t="s">
        <v>7273</v>
      </c>
      <c r="D3615" t="s">
        <v>161</v>
      </c>
      <c r="F3615">
        <v>63106081</v>
      </c>
      <c r="G3615">
        <v>69193027</v>
      </c>
      <c r="H3615">
        <v>215343792</v>
      </c>
      <c r="I3615">
        <v>60528568</v>
      </c>
      <c r="P3615">
        <v>93</v>
      </c>
      <c r="Q3615" t="s">
        <v>7274</v>
      </c>
    </row>
    <row r="3616" spans="1:17" x14ac:dyDescent="0.3">
      <c r="A3616" t="s">
        <v>4382</v>
      </c>
      <c r="B3616" t="str">
        <f>"002952"</f>
        <v>002952</v>
      </c>
      <c r="C3616" t="s">
        <v>7275</v>
      </c>
      <c r="D3616" t="s">
        <v>150</v>
      </c>
      <c r="F3616">
        <v>-100828470</v>
      </c>
      <c r="G3616">
        <v>28247441</v>
      </c>
      <c r="H3616">
        <v>41914994</v>
      </c>
      <c r="I3616">
        <v>29712634</v>
      </c>
      <c r="J3616">
        <v>22088487</v>
      </c>
      <c r="P3616">
        <v>79</v>
      </c>
      <c r="Q3616" t="s">
        <v>7276</v>
      </c>
    </row>
    <row r="3617" spans="1:17" x14ac:dyDescent="0.3">
      <c r="A3617" t="s">
        <v>4382</v>
      </c>
      <c r="B3617" t="str">
        <f>"002953"</f>
        <v>002953</v>
      </c>
      <c r="C3617" t="s">
        <v>7277</v>
      </c>
      <c r="D3617" t="s">
        <v>188</v>
      </c>
      <c r="F3617">
        <v>-313316718</v>
      </c>
      <c r="G3617">
        <v>-173635571</v>
      </c>
      <c r="H3617">
        <v>-4107924</v>
      </c>
      <c r="I3617">
        <v>112403516</v>
      </c>
      <c r="P3617">
        <v>99</v>
      </c>
      <c r="Q3617" t="s">
        <v>7278</v>
      </c>
    </row>
    <row r="3618" spans="1:17" x14ac:dyDescent="0.3">
      <c r="A3618" t="s">
        <v>4382</v>
      </c>
      <c r="B3618" t="str">
        <f>"002955"</f>
        <v>002955</v>
      </c>
      <c r="C3618" t="s">
        <v>7279</v>
      </c>
      <c r="D3618" t="s">
        <v>150</v>
      </c>
      <c r="F3618">
        <v>-324481600</v>
      </c>
      <c r="G3618">
        <v>-208881896</v>
      </c>
      <c r="H3618">
        <v>-82859911</v>
      </c>
      <c r="I3618">
        <v>257538086</v>
      </c>
      <c r="P3618">
        <v>167</v>
      </c>
      <c r="Q3618" t="s">
        <v>7280</v>
      </c>
    </row>
    <row r="3619" spans="1:17" x14ac:dyDescent="0.3">
      <c r="A3619" t="s">
        <v>4382</v>
      </c>
      <c r="B3619" t="str">
        <f>"002956"</f>
        <v>002956</v>
      </c>
      <c r="C3619" t="s">
        <v>7281</v>
      </c>
      <c r="D3619" t="s">
        <v>123</v>
      </c>
      <c r="F3619">
        <v>-15138355</v>
      </c>
      <c r="G3619">
        <v>59181426</v>
      </c>
      <c r="H3619">
        <v>51872315</v>
      </c>
      <c r="I3619">
        <v>68634523</v>
      </c>
      <c r="P3619">
        <v>281</v>
      </c>
      <c r="Q3619" t="s">
        <v>7282</v>
      </c>
    </row>
    <row r="3620" spans="1:17" x14ac:dyDescent="0.3">
      <c r="A3620" t="s">
        <v>4382</v>
      </c>
      <c r="B3620" t="str">
        <f>"002957"</f>
        <v>002957</v>
      </c>
      <c r="C3620" t="s">
        <v>7283</v>
      </c>
      <c r="D3620" t="s">
        <v>78</v>
      </c>
      <c r="F3620">
        <v>8775862</v>
      </c>
      <c r="G3620">
        <v>82863511</v>
      </c>
      <c r="H3620">
        <v>145056052</v>
      </c>
      <c r="I3620">
        <v>150934473</v>
      </c>
      <c r="P3620">
        <v>182</v>
      </c>
      <c r="Q3620" t="s">
        <v>7284</v>
      </c>
    </row>
    <row r="3621" spans="1:17" x14ac:dyDescent="0.3">
      <c r="A3621" t="s">
        <v>4382</v>
      </c>
      <c r="B3621" t="str">
        <f>"002958"</f>
        <v>002958</v>
      </c>
      <c r="C3621" t="s">
        <v>7285</v>
      </c>
      <c r="D3621" t="s">
        <v>19</v>
      </c>
      <c r="F3621">
        <v>2466078000</v>
      </c>
      <c r="G3621">
        <v>6098249000</v>
      </c>
      <c r="H3621">
        <v>-5923471000</v>
      </c>
      <c r="I3621">
        <v>-1776608000</v>
      </c>
      <c r="M3621">
        <v>-340859000</v>
      </c>
      <c r="P3621">
        <v>416</v>
      </c>
      <c r="Q3621" t="s">
        <v>7286</v>
      </c>
    </row>
    <row r="3622" spans="1:17" x14ac:dyDescent="0.3">
      <c r="A3622" t="s">
        <v>4382</v>
      </c>
      <c r="B3622" t="str">
        <f>"002959"</f>
        <v>002959</v>
      </c>
      <c r="C3622" t="s">
        <v>7287</v>
      </c>
      <c r="D3622" t="s">
        <v>126</v>
      </c>
      <c r="F3622">
        <v>-530947925</v>
      </c>
      <c r="G3622">
        <v>446677372</v>
      </c>
      <c r="H3622">
        <v>-5408955</v>
      </c>
      <c r="I3622">
        <v>56681012</v>
      </c>
      <c r="P3622">
        <v>1480</v>
      </c>
      <c r="Q3622" t="s">
        <v>7288</v>
      </c>
    </row>
    <row r="3623" spans="1:17" x14ac:dyDescent="0.3">
      <c r="A3623" t="s">
        <v>4382</v>
      </c>
      <c r="B3623" t="str">
        <f>"002960"</f>
        <v>002960</v>
      </c>
      <c r="C3623" t="s">
        <v>7289</v>
      </c>
      <c r="D3623" t="s">
        <v>78</v>
      </c>
      <c r="F3623">
        <v>-347902823</v>
      </c>
      <c r="G3623">
        <v>-251947463</v>
      </c>
      <c r="H3623">
        <v>-374287051</v>
      </c>
      <c r="I3623">
        <v>-181080805</v>
      </c>
      <c r="P3623">
        <v>390</v>
      </c>
      <c r="Q3623" t="s">
        <v>7290</v>
      </c>
    </row>
    <row r="3624" spans="1:17" x14ac:dyDescent="0.3">
      <c r="A3624" t="s">
        <v>4382</v>
      </c>
      <c r="B3624" t="str">
        <f>"002961"</f>
        <v>002961</v>
      </c>
      <c r="C3624" t="s">
        <v>7291</v>
      </c>
      <c r="D3624" t="s">
        <v>75</v>
      </c>
      <c r="F3624">
        <v>-940079270</v>
      </c>
      <c r="G3624">
        <v>506212493</v>
      </c>
      <c r="H3624">
        <v>-463161338</v>
      </c>
      <c r="I3624">
        <v>-448017259</v>
      </c>
      <c r="P3624">
        <v>121</v>
      </c>
      <c r="Q3624" t="s">
        <v>7292</v>
      </c>
    </row>
    <row r="3625" spans="1:17" x14ac:dyDescent="0.3">
      <c r="A3625" t="s">
        <v>4382</v>
      </c>
      <c r="B3625" t="str">
        <f>"002962"</f>
        <v>002962</v>
      </c>
      <c r="C3625" t="s">
        <v>7293</v>
      </c>
      <c r="D3625" t="s">
        <v>150</v>
      </c>
      <c r="F3625">
        <v>-55158885</v>
      </c>
      <c r="G3625">
        <v>88740382</v>
      </c>
      <c r="H3625">
        <v>38913560</v>
      </c>
      <c r="I3625">
        <v>-34547568</v>
      </c>
      <c r="P3625">
        <v>137</v>
      </c>
      <c r="Q3625" t="s">
        <v>7294</v>
      </c>
    </row>
    <row r="3626" spans="1:17" x14ac:dyDescent="0.3">
      <c r="A3626" t="s">
        <v>4382</v>
      </c>
      <c r="B3626" t="str">
        <f>"002963"</f>
        <v>002963</v>
      </c>
      <c r="C3626" t="s">
        <v>7295</v>
      </c>
      <c r="D3626" t="s">
        <v>95</v>
      </c>
      <c r="F3626">
        <v>49968943</v>
      </c>
      <c r="G3626">
        <v>-114525855</v>
      </c>
      <c r="H3626">
        <v>103792530</v>
      </c>
      <c r="I3626">
        <v>-108840858</v>
      </c>
      <c r="P3626">
        <v>75</v>
      </c>
      <c r="Q3626" t="s">
        <v>7296</v>
      </c>
    </row>
    <row r="3627" spans="1:17" x14ac:dyDescent="0.3">
      <c r="A3627" t="s">
        <v>4382</v>
      </c>
      <c r="B3627" t="str">
        <f>"002965"</f>
        <v>002965</v>
      </c>
      <c r="C3627" t="s">
        <v>7297</v>
      </c>
      <c r="D3627" t="s">
        <v>78</v>
      </c>
      <c r="F3627">
        <v>-238160965</v>
      </c>
      <c r="G3627">
        <v>54143114</v>
      </c>
      <c r="H3627">
        <v>-18676763</v>
      </c>
      <c r="I3627">
        <v>3221049</v>
      </c>
      <c r="P3627">
        <v>400</v>
      </c>
      <c r="Q3627" t="s">
        <v>7298</v>
      </c>
    </row>
    <row r="3628" spans="1:17" x14ac:dyDescent="0.3">
      <c r="A3628" t="s">
        <v>4382</v>
      </c>
      <c r="B3628" t="str">
        <f>"002966"</f>
        <v>002966</v>
      </c>
      <c r="C3628" t="s">
        <v>7299</v>
      </c>
      <c r="D3628" t="s">
        <v>19</v>
      </c>
      <c r="F3628">
        <v>-6903325735</v>
      </c>
      <c r="G3628">
        <v>8976813898</v>
      </c>
      <c r="H3628">
        <v>-4606722786</v>
      </c>
      <c r="I3628">
        <v>-14585166095</v>
      </c>
      <c r="L3628">
        <v>-4167457950</v>
      </c>
      <c r="P3628">
        <v>365</v>
      </c>
      <c r="Q3628" t="s">
        <v>7300</v>
      </c>
    </row>
    <row r="3629" spans="1:17" x14ac:dyDescent="0.3">
      <c r="A3629" t="s">
        <v>4382</v>
      </c>
      <c r="B3629" t="str">
        <f>"002967"</f>
        <v>002967</v>
      </c>
      <c r="C3629" t="s">
        <v>7301</v>
      </c>
      <c r="D3629" t="s">
        <v>110</v>
      </c>
      <c r="F3629">
        <v>-204858021</v>
      </c>
      <c r="G3629">
        <v>-109916529</v>
      </c>
      <c r="H3629">
        <v>-340828593</v>
      </c>
      <c r="I3629">
        <v>-329605797</v>
      </c>
      <c r="P3629">
        <v>238</v>
      </c>
      <c r="Q3629" t="s">
        <v>7302</v>
      </c>
    </row>
    <row r="3630" spans="1:17" x14ac:dyDescent="0.3">
      <c r="A3630" t="s">
        <v>4382</v>
      </c>
      <c r="B3630" t="str">
        <f>"002968"</f>
        <v>002968</v>
      </c>
      <c r="C3630" t="s">
        <v>7303</v>
      </c>
      <c r="D3630" t="s">
        <v>30</v>
      </c>
      <c r="F3630">
        <v>-152567304</v>
      </c>
      <c r="G3630">
        <v>-1697819</v>
      </c>
      <c r="H3630">
        <v>-64940772</v>
      </c>
      <c r="I3630">
        <v>-36890455</v>
      </c>
      <c r="P3630">
        <v>237</v>
      </c>
      <c r="Q3630" t="s">
        <v>7304</v>
      </c>
    </row>
    <row r="3631" spans="1:17" x14ac:dyDescent="0.3">
      <c r="A3631" t="s">
        <v>4382</v>
      </c>
      <c r="B3631" t="str">
        <f>"002969"</f>
        <v>002969</v>
      </c>
      <c r="C3631" t="s">
        <v>7305</v>
      </c>
      <c r="D3631" t="s">
        <v>161</v>
      </c>
      <c r="F3631">
        <v>-29711205</v>
      </c>
      <c r="G3631">
        <v>-88496491</v>
      </c>
      <c r="H3631">
        <v>214306840</v>
      </c>
      <c r="I3631">
        <v>309025816</v>
      </c>
      <c r="P3631">
        <v>78</v>
      </c>
      <c r="Q3631" t="s">
        <v>7306</v>
      </c>
    </row>
    <row r="3632" spans="1:17" x14ac:dyDescent="0.3">
      <c r="A3632" t="s">
        <v>4382</v>
      </c>
      <c r="B3632" t="str">
        <f>"002970"</f>
        <v>002970</v>
      </c>
      <c r="C3632" t="s">
        <v>7307</v>
      </c>
      <c r="D3632" t="s">
        <v>212</v>
      </c>
      <c r="F3632">
        <v>-553451710</v>
      </c>
      <c r="G3632">
        <v>-58813661</v>
      </c>
      <c r="H3632">
        <v>54783724</v>
      </c>
      <c r="I3632">
        <v>-23521202</v>
      </c>
      <c r="P3632">
        <v>563</v>
      </c>
      <c r="Q3632" t="s">
        <v>7308</v>
      </c>
    </row>
    <row r="3633" spans="1:17" x14ac:dyDescent="0.3">
      <c r="A3633" t="s">
        <v>4382</v>
      </c>
      <c r="B3633" t="str">
        <f>"002971"</f>
        <v>002971</v>
      </c>
      <c r="C3633" t="s">
        <v>7309</v>
      </c>
      <c r="D3633" t="s">
        <v>133</v>
      </c>
      <c r="F3633">
        <v>-224834922</v>
      </c>
      <c r="G3633">
        <v>-213404918</v>
      </c>
      <c r="H3633">
        <v>-8358193</v>
      </c>
      <c r="P3633">
        <v>70</v>
      </c>
      <c r="Q3633" t="s">
        <v>7310</v>
      </c>
    </row>
    <row r="3634" spans="1:17" x14ac:dyDescent="0.3">
      <c r="A3634" t="s">
        <v>4382</v>
      </c>
      <c r="B3634" t="str">
        <f>"002972"</f>
        <v>002972</v>
      </c>
      <c r="C3634" t="s">
        <v>7311</v>
      </c>
      <c r="D3634" t="s">
        <v>78</v>
      </c>
      <c r="F3634">
        <v>-42092952</v>
      </c>
      <c r="G3634">
        <v>-26913675</v>
      </c>
      <c r="H3634">
        <v>-12139878</v>
      </c>
      <c r="I3634">
        <v>-61960369</v>
      </c>
      <c r="P3634">
        <v>188</v>
      </c>
      <c r="Q3634" t="s">
        <v>7312</v>
      </c>
    </row>
    <row r="3635" spans="1:17" x14ac:dyDescent="0.3">
      <c r="A3635" t="s">
        <v>4382</v>
      </c>
      <c r="B3635" t="str">
        <f>"002973"</f>
        <v>002973</v>
      </c>
      <c r="C3635" t="s">
        <v>7313</v>
      </c>
      <c r="D3635" t="s">
        <v>33</v>
      </c>
      <c r="F3635">
        <v>-458280127</v>
      </c>
      <c r="G3635">
        <v>-196414979</v>
      </c>
      <c r="H3635">
        <v>-474859624</v>
      </c>
      <c r="I3635">
        <v>-387535485</v>
      </c>
      <c r="P3635">
        <v>213</v>
      </c>
      <c r="Q3635" t="s">
        <v>7314</v>
      </c>
    </row>
    <row r="3636" spans="1:17" x14ac:dyDescent="0.3">
      <c r="A3636" t="s">
        <v>4382</v>
      </c>
      <c r="B3636" t="str">
        <f>"002975"</f>
        <v>002975</v>
      </c>
      <c r="C3636" t="s">
        <v>7315</v>
      </c>
      <c r="D3636" t="s">
        <v>78</v>
      </c>
      <c r="F3636">
        <v>21570463</v>
      </c>
      <c r="G3636">
        <v>70942648</v>
      </c>
      <c r="H3636">
        <v>94745644</v>
      </c>
      <c r="I3636">
        <v>-35921461</v>
      </c>
      <c r="P3636">
        <v>293</v>
      </c>
      <c r="Q3636" t="s">
        <v>7316</v>
      </c>
    </row>
    <row r="3637" spans="1:17" x14ac:dyDescent="0.3">
      <c r="A3637" t="s">
        <v>4382</v>
      </c>
      <c r="B3637" t="str">
        <f>"002976"</f>
        <v>002976</v>
      </c>
      <c r="C3637" t="s">
        <v>7317</v>
      </c>
      <c r="D3637" t="s">
        <v>150</v>
      </c>
      <c r="F3637">
        <v>-14036234</v>
      </c>
      <c r="G3637">
        <v>-8638823</v>
      </c>
      <c r="H3637">
        <v>44656971</v>
      </c>
      <c r="P3637">
        <v>104</v>
      </c>
      <c r="Q3637" t="s">
        <v>7318</v>
      </c>
    </row>
    <row r="3638" spans="1:17" x14ac:dyDescent="0.3">
      <c r="A3638" t="s">
        <v>4382</v>
      </c>
      <c r="B3638" t="str">
        <f>"002977"</f>
        <v>002977</v>
      </c>
      <c r="C3638" t="s">
        <v>7319</v>
      </c>
      <c r="D3638" t="s">
        <v>92</v>
      </c>
      <c r="F3638">
        <v>-75051873</v>
      </c>
      <c r="G3638">
        <v>-46714900</v>
      </c>
      <c r="H3638">
        <v>-5882788</v>
      </c>
      <c r="P3638">
        <v>126</v>
      </c>
      <c r="Q3638" t="s">
        <v>7320</v>
      </c>
    </row>
    <row r="3639" spans="1:17" x14ac:dyDescent="0.3">
      <c r="A3639" t="s">
        <v>4382</v>
      </c>
      <c r="B3639" t="str">
        <f>"002978"</f>
        <v>002978</v>
      </c>
      <c r="C3639" t="s">
        <v>7321</v>
      </c>
      <c r="D3639" t="s">
        <v>234</v>
      </c>
      <c r="F3639">
        <v>780373355</v>
      </c>
      <c r="G3639">
        <v>670322874</v>
      </c>
      <c r="H3639">
        <v>129215254</v>
      </c>
      <c r="P3639">
        <v>229</v>
      </c>
      <c r="Q3639" t="s">
        <v>7322</v>
      </c>
    </row>
    <row r="3640" spans="1:17" x14ac:dyDescent="0.3">
      <c r="A3640" t="s">
        <v>4382</v>
      </c>
      <c r="B3640" t="str">
        <f>"002979"</f>
        <v>002979</v>
      </c>
      <c r="C3640" t="s">
        <v>7323</v>
      </c>
      <c r="D3640" t="s">
        <v>78</v>
      </c>
      <c r="F3640">
        <v>-16628400</v>
      </c>
      <c r="G3640">
        <v>65815173</v>
      </c>
      <c r="H3640">
        <v>44051473</v>
      </c>
      <c r="P3640">
        <v>196</v>
      </c>
      <c r="Q3640" t="s">
        <v>7324</v>
      </c>
    </row>
    <row r="3641" spans="1:17" x14ac:dyDescent="0.3">
      <c r="A3641" t="s">
        <v>4382</v>
      </c>
      <c r="B3641" t="str">
        <f>"002980"</f>
        <v>002980</v>
      </c>
      <c r="C3641" t="s">
        <v>7325</v>
      </c>
      <c r="D3641" t="s">
        <v>188</v>
      </c>
      <c r="F3641">
        <v>-5457456</v>
      </c>
      <c r="G3641">
        <v>272278266</v>
      </c>
      <c r="H3641">
        <v>94409685</v>
      </c>
      <c r="P3641">
        <v>154</v>
      </c>
      <c r="Q3641" t="s">
        <v>7326</v>
      </c>
    </row>
    <row r="3642" spans="1:17" x14ac:dyDescent="0.3">
      <c r="A3642" t="s">
        <v>4382</v>
      </c>
      <c r="B3642" t="str">
        <f>"002981"</f>
        <v>002981</v>
      </c>
      <c r="C3642" t="s">
        <v>7327</v>
      </c>
      <c r="D3642" t="s">
        <v>150</v>
      </c>
      <c r="F3642">
        <v>-112772161</v>
      </c>
      <c r="G3642">
        <v>-84312682</v>
      </c>
      <c r="H3642">
        <v>-20832650</v>
      </c>
      <c r="I3642">
        <v>43995989</v>
      </c>
      <c r="P3642">
        <v>73</v>
      </c>
      <c r="Q3642" t="s">
        <v>7328</v>
      </c>
    </row>
    <row r="3643" spans="1:17" x14ac:dyDescent="0.3">
      <c r="A3643" t="s">
        <v>4382</v>
      </c>
      <c r="B3643" t="str">
        <f>"002982"</f>
        <v>002982</v>
      </c>
      <c r="C3643" t="s">
        <v>7329</v>
      </c>
      <c r="D3643" t="s">
        <v>205</v>
      </c>
      <c r="F3643">
        <v>-514981166</v>
      </c>
      <c r="G3643">
        <v>-175473736</v>
      </c>
      <c r="H3643">
        <v>87458775</v>
      </c>
      <c r="P3643">
        <v>131</v>
      </c>
      <c r="Q3643" t="s">
        <v>7330</v>
      </c>
    </row>
    <row r="3644" spans="1:17" x14ac:dyDescent="0.3">
      <c r="A3644" t="s">
        <v>4382</v>
      </c>
      <c r="B3644" t="str">
        <f>"002983"</f>
        <v>002983</v>
      </c>
      <c r="C3644" t="s">
        <v>7331</v>
      </c>
      <c r="D3644" t="s">
        <v>150</v>
      </c>
      <c r="F3644">
        <v>-193466052</v>
      </c>
      <c r="G3644">
        <v>80149722</v>
      </c>
      <c r="H3644">
        <v>62354262</v>
      </c>
      <c r="P3644">
        <v>109</v>
      </c>
      <c r="Q3644" t="s">
        <v>7332</v>
      </c>
    </row>
    <row r="3645" spans="1:17" x14ac:dyDescent="0.3">
      <c r="A3645" t="s">
        <v>4382</v>
      </c>
      <c r="B3645" t="str">
        <f>"002984"</f>
        <v>002984</v>
      </c>
      <c r="C3645" t="s">
        <v>7333</v>
      </c>
      <c r="D3645" t="s">
        <v>27</v>
      </c>
      <c r="F3645">
        <v>-661041665</v>
      </c>
      <c r="G3645">
        <v>770704682</v>
      </c>
      <c r="H3645">
        <v>948183669</v>
      </c>
      <c r="P3645">
        <v>204</v>
      </c>
      <c r="Q3645" t="s">
        <v>7334</v>
      </c>
    </row>
    <row r="3646" spans="1:17" x14ac:dyDescent="0.3">
      <c r="A3646" t="s">
        <v>4382</v>
      </c>
      <c r="B3646" t="str">
        <f>"002985"</f>
        <v>002985</v>
      </c>
      <c r="C3646" t="s">
        <v>7335</v>
      </c>
      <c r="D3646" t="s">
        <v>92</v>
      </c>
      <c r="F3646">
        <v>-21055604</v>
      </c>
      <c r="G3646">
        <v>-70941072</v>
      </c>
      <c r="H3646">
        <v>-159129410</v>
      </c>
      <c r="P3646">
        <v>549</v>
      </c>
      <c r="Q3646" t="s">
        <v>7336</v>
      </c>
    </row>
    <row r="3647" spans="1:17" x14ac:dyDescent="0.3">
      <c r="A3647" t="s">
        <v>4382</v>
      </c>
      <c r="B3647" t="str">
        <f>"002986"</f>
        <v>002986</v>
      </c>
      <c r="C3647" t="s">
        <v>7337</v>
      </c>
      <c r="D3647" t="s">
        <v>70</v>
      </c>
      <c r="F3647">
        <v>-351046895</v>
      </c>
      <c r="G3647">
        <v>-549583874</v>
      </c>
      <c r="H3647">
        <v>56974193</v>
      </c>
      <c r="P3647">
        <v>58</v>
      </c>
      <c r="Q3647" t="s">
        <v>7338</v>
      </c>
    </row>
    <row r="3648" spans="1:17" x14ac:dyDescent="0.3">
      <c r="A3648" t="s">
        <v>4382</v>
      </c>
      <c r="B3648" t="str">
        <f>"002987"</f>
        <v>002987</v>
      </c>
      <c r="C3648" t="s">
        <v>7339</v>
      </c>
      <c r="D3648" t="s">
        <v>212</v>
      </c>
      <c r="F3648">
        <v>-565474455</v>
      </c>
      <c r="G3648">
        <v>-344861283</v>
      </c>
      <c r="H3648">
        <v>-207032424</v>
      </c>
      <c r="P3648">
        <v>128</v>
      </c>
      <c r="Q3648" t="s">
        <v>7340</v>
      </c>
    </row>
    <row r="3649" spans="1:17" x14ac:dyDescent="0.3">
      <c r="A3649" t="s">
        <v>4382</v>
      </c>
      <c r="B3649" t="str">
        <f>"002988"</f>
        <v>002988</v>
      </c>
      <c r="C3649" t="s">
        <v>7341</v>
      </c>
      <c r="D3649" t="s">
        <v>234</v>
      </c>
      <c r="F3649">
        <v>-815882207</v>
      </c>
      <c r="G3649">
        <v>-520132469</v>
      </c>
      <c r="H3649">
        <v>-78502015</v>
      </c>
      <c r="P3649">
        <v>62</v>
      </c>
      <c r="Q3649" t="s">
        <v>7342</v>
      </c>
    </row>
    <row r="3650" spans="1:17" x14ac:dyDescent="0.3">
      <c r="A3650" t="s">
        <v>4382</v>
      </c>
      <c r="B3650" t="str">
        <f>"002989"</f>
        <v>002989</v>
      </c>
      <c r="C3650" t="s">
        <v>7343</v>
      </c>
      <c r="D3650" t="s">
        <v>95</v>
      </c>
      <c r="F3650">
        <v>-17174442</v>
      </c>
      <c r="G3650">
        <v>12601602</v>
      </c>
      <c r="H3650">
        <v>42437055</v>
      </c>
      <c r="I3650">
        <v>72344300</v>
      </c>
      <c r="P3650">
        <v>137</v>
      </c>
      <c r="Q3650" t="s">
        <v>7344</v>
      </c>
    </row>
    <row r="3651" spans="1:17" x14ac:dyDescent="0.3">
      <c r="A3651" t="s">
        <v>4382</v>
      </c>
      <c r="B3651" t="str">
        <f>"002990"</f>
        <v>002990</v>
      </c>
      <c r="C3651" t="s">
        <v>7345</v>
      </c>
      <c r="D3651" t="s">
        <v>212</v>
      </c>
      <c r="F3651">
        <v>50892478</v>
      </c>
      <c r="G3651">
        <v>-154732845</v>
      </c>
      <c r="H3651">
        <v>-90801596</v>
      </c>
      <c r="P3651">
        <v>110</v>
      </c>
      <c r="Q3651" t="s">
        <v>7346</v>
      </c>
    </row>
    <row r="3652" spans="1:17" x14ac:dyDescent="0.3">
      <c r="A3652" t="s">
        <v>4382</v>
      </c>
      <c r="B3652" t="str">
        <f>"002991"</f>
        <v>002991</v>
      </c>
      <c r="C3652" t="s">
        <v>7347</v>
      </c>
      <c r="D3652" t="s">
        <v>123</v>
      </c>
      <c r="F3652">
        <v>-123918278</v>
      </c>
      <c r="G3652">
        <v>3350676</v>
      </c>
      <c r="H3652">
        <v>51909660</v>
      </c>
      <c r="P3652">
        <v>212</v>
      </c>
      <c r="Q3652" t="s">
        <v>7348</v>
      </c>
    </row>
    <row r="3653" spans="1:17" x14ac:dyDescent="0.3">
      <c r="A3653" t="s">
        <v>4382</v>
      </c>
      <c r="B3653" t="str">
        <f>"002992"</f>
        <v>002992</v>
      </c>
      <c r="C3653" t="s">
        <v>7349</v>
      </c>
      <c r="D3653" t="s">
        <v>150</v>
      </c>
      <c r="F3653">
        <v>-265176845</v>
      </c>
      <c r="G3653">
        <v>-208647586</v>
      </c>
      <c r="H3653">
        <v>-180486419</v>
      </c>
      <c r="P3653">
        <v>51</v>
      </c>
      <c r="Q3653" t="s">
        <v>7350</v>
      </c>
    </row>
    <row r="3654" spans="1:17" x14ac:dyDescent="0.3">
      <c r="A3654" t="s">
        <v>4382</v>
      </c>
      <c r="B3654" t="str">
        <f>"002993"</f>
        <v>002993</v>
      </c>
      <c r="C3654" t="s">
        <v>7351</v>
      </c>
      <c r="D3654" t="s">
        <v>150</v>
      </c>
      <c r="F3654">
        <v>-125837216</v>
      </c>
      <c r="G3654">
        <v>1578642</v>
      </c>
      <c r="H3654">
        <v>198132388</v>
      </c>
      <c r="P3654">
        <v>146</v>
      </c>
      <c r="Q3654" t="s">
        <v>7352</v>
      </c>
    </row>
    <row r="3655" spans="1:17" x14ac:dyDescent="0.3">
      <c r="A3655" t="s">
        <v>4382</v>
      </c>
      <c r="B3655" t="str">
        <f>"002995"</f>
        <v>002995</v>
      </c>
      <c r="C3655" t="s">
        <v>7353</v>
      </c>
      <c r="D3655" t="s">
        <v>89</v>
      </c>
      <c r="F3655">
        <v>-196502577</v>
      </c>
      <c r="G3655">
        <v>-47494739</v>
      </c>
      <c r="H3655">
        <v>46138866</v>
      </c>
      <c r="P3655">
        <v>74</v>
      </c>
      <c r="Q3655" t="s">
        <v>7354</v>
      </c>
    </row>
    <row r="3656" spans="1:17" x14ac:dyDescent="0.3">
      <c r="A3656" t="s">
        <v>4382</v>
      </c>
      <c r="B3656" t="str">
        <f>"002996"</f>
        <v>002996</v>
      </c>
      <c r="C3656" t="s">
        <v>7355</v>
      </c>
      <c r="D3656" t="s">
        <v>234</v>
      </c>
      <c r="F3656">
        <v>-312310839</v>
      </c>
      <c r="G3656">
        <v>-176169914</v>
      </c>
      <c r="H3656">
        <v>51539133</v>
      </c>
      <c r="P3656">
        <v>73</v>
      </c>
      <c r="Q3656" t="s">
        <v>7356</v>
      </c>
    </row>
    <row r="3657" spans="1:17" x14ac:dyDescent="0.3">
      <c r="A3657" t="s">
        <v>4382</v>
      </c>
      <c r="B3657" t="str">
        <f>"002997"</f>
        <v>002997</v>
      </c>
      <c r="C3657" t="s">
        <v>7357</v>
      </c>
      <c r="D3657" t="s">
        <v>27</v>
      </c>
      <c r="F3657">
        <v>-121637530</v>
      </c>
      <c r="G3657">
        <v>-45885373</v>
      </c>
      <c r="H3657">
        <v>-118410875</v>
      </c>
      <c r="P3657">
        <v>86</v>
      </c>
      <c r="Q3657" t="s">
        <v>7358</v>
      </c>
    </row>
    <row r="3658" spans="1:17" x14ac:dyDescent="0.3">
      <c r="A3658" t="s">
        <v>4382</v>
      </c>
      <c r="B3658" t="str">
        <f>"002998"</f>
        <v>002998</v>
      </c>
      <c r="C3658" t="s">
        <v>7359</v>
      </c>
      <c r="D3658" t="s">
        <v>133</v>
      </c>
      <c r="F3658">
        <v>-348095261</v>
      </c>
      <c r="G3658">
        <v>-45286863</v>
      </c>
      <c r="H3658">
        <v>-101437947</v>
      </c>
      <c r="P3658">
        <v>36</v>
      </c>
      <c r="Q3658" t="s">
        <v>7360</v>
      </c>
    </row>
    <row r="3659" spans="1:17" x14ac:dyDescent="0.3">
      <c r="A3659" t="s">
        <v>4382</v>
      </c>
      <c r="B3659" t="str">
        <f>"002999"</f>
        <v>002999</v>
      </c>
      <c r="C3659" t="s">
        <v>7361</v>
      </c>
      <c r="D3659" t="s">
        <v>133</v>
      </c>
      <c r="F3659">
        <v>-1099372367</v>
      </c>
      <c r="G3659">
        <v>-449824062</v>
      </c>
      <c r="H3659">
        <v>-669098190</v>
      </c>
      <c r="P3659">
        <v>45</v>
      </c>
      <c r="Q3659" t="s">
        <v>7362</v>
      </c>
    </row>
    <row r="3660" spans="1:17" x14ac:dyDescent="0.3">
      <c r="A3660" t="s">
        <v>4382</v>
      </c>
      <c r="B3660" t="str">
        <f>"003000"</f>
        <v>003000</v>
      </c>
      <c r="C3660" t="s">
        <v>7363</v>
      </c>
      <c r="D3660" t="s">
        <v>123</v>
      </c>
      <c r="F3660">
        <v>46702583</v>
      </c>
      <c r="G3660">
        <v>47367326</v>
      </c>
      <c r="H3660">
        <v>95957015</v>
      </c>
      <c r="P3660">
        <v>86</v>
      </c>
      <c r="Q3660" t="s">
        <v>7364</v>
      </c>
    </row>
    <row r="3661" spans="1:17" x14ac:dyDescent="0.3">
      <c r="A3661" t="s">
        <v>4382</v>
      </c>
      <c r="B3661" t="str">
        <f>"003001"</f>
        <v>003001</v>
      </c>
      <c r="C3661" t="s">
        <v>7365</v>
      </c>
      <c r="D3661" t="s">
        <v>95</v>
      </c>
      <c r="F3661">
        <v>-365908184</v>
      </c>
      <c r="G3661">
        <v>-125608045</v>
      </c>
      <c r="H3661">
        <v>-81756223</v>
      </c>
      <c r="P3661">
        <v>95</v>
      </c>
      <c r="Q3661" t="s">
        <v>7366</v>
      </c>
    </row>
    <row r="3662" spans="1:17" x14ac:dyDescent="0.3">
      <c r="A3662" t="s">
        <v>4382</v>
      </c>
      <c r="B3662" t="str">
        <f>"003002"</f>
        <v>003002</v>
      </c>
      <c r="C3662" t="s">
        <v>7367</v>
      </c>
      <c r="D3662" t="s">
        <v>133</v>
      </c>
      <c r="F3662">
        <v>12516707</v>
      </c>
      <c r="G3662">
        <v>82930920</v>
      </c>
      <c r="H3662">
        <v>9207720</v>
      </c>
      <c r="P3662">
        <v>39</v>
      </c>
      <c r="Q3662" t="s">
        <v>7368</v>
      </c>
    </row>
    <row r="3663" spans="1:17" x14ac:dyDescent="0.3">
      <c r="A3663" t="s">
        <v>4382</v>
      </c>
      <c r="B3663" t="str">
        <f>"003003"</f>
        <v>003003</v>
      </c>
      <c r="C3663" t="s">
        <v>7369</v>
      </c>
      <c r="D3663" t="s">
        <v>161</v>
      </c>
      <c r="F3663">
        <v>-269091330</v>
      </c>
      <c r="G3663">
        <v>-153038521</v>
      </c>
      <c r="H3663">
        <v>-61576382</v>
      </c>
      <c r="J3663">
        <v>-71398297</v>
      </c>
      <c r="P3663">
        <v>39</v>
      </c>
      <c r="Q3663" t="s">
        <v>7370</v>
      </c>
    </row>
    <row r="3664" spans="1:17" x14ac:dyDescent="0.3">
      <c r="A3664" t="s">
        <v>4382</v>
      </c>
      <c r="B3664" t="str">
        <f>"003004"</f>
        <v>003004</v>
      </c>
      <c r="C3664" t="s">
        <v>7371</v>
      </c>
      <c r="D3664" t="s">
        <v>212</v>
      </c>
      <c r="F3664">
        <v>-40764245</v>
      </c>
      <c r="G3664">
        <v>51054051</v>
      </c>
      <c r="H3664">
        <v>-27366674</v>
      </c>
      <c r="P3664">
        <v>37</v>
      </c>
      <c r="Q3664" t="s">
        <v>7372</v>
      </c>
    </row>
    <row r="3665" spans="1:17" x14ac:dyDescent="0.3">
      <c r="A3665" t="s">
        <v>4382</v>
      </c>
      <c r="B3665" t="str">
        <f>"003005"</f>
        <v>003005</v>
      </c>
      <c r="C3665" t="s">
        <v>7373</v>
      </c>
      <c r="D3665" t="s">
        <v>212</v>
      </c>
      <c r="F3665">
        <v>-169874908</v>
      </c>
      <c r="G3665">
        <v>-52014339</v>
      </c>
      <c r="H3665">
        <v>-24071252</v>
      </c>
      <c r="P3665">
        <v>68</v>
      </c>
      <c r="Q3665" t="s">
        <v>7374</v>
      </c>
    </row>
    <row r="3666" spans="1:17" x14ac:dyDescent="0.3">
      <c r="A3666" t="s">
        <v>4382</v>
      </c>
      <c r="B3666" t="str">
        <f>"003006"</f>
        <v>003006</v>
      </c>
      <c r="C3666" t="s">
        <v>7375</v>
      </c>
      <c r="D3666" t="s">
        <v>481</v>
      </c>
      <c r="F3666">
        <v>52489743</v>
      </c>
      <c r="G3666">
        <v>79374398</v>
      </c>
      <c r="H3666">
        <v>54728852</v>
      </c>
      <c r="P3666">
        <v>172</v>
      </c>
      <c r="Q3666" t="s">
        <v>7376</v>
      </c>
    </row>
    <row r="3667" spans="1:17" x14ac:dyDescent="0.3">
      <c r="A3667" t="s">
        <v>4382</v>
      </c>
      <c r="B3667" t="str">
        <f>"003007"</f>
        <v>003007</v>
      </c>
      <c r="C3667" t="s">
        <v>7377</v>
      </c>
      <c r="D3667" t="s">
        <v>212</v>
      </c>
      <c r="F3667">
        <v>-109176818</v>
      </c>
      <c r="G3667">
        <v>-4494642</v>
      </c>
      <c r="H3667">
        <v>19097295</v>
      </c>
      <c r="P3667">
        <v>38</v>
      </c>
      <c r="Q3667" t="s">
        <v>7378</v>
      </c>
    </row>
    <row r="3668" spans="1:17" x14ac:dyDescent="0.3">
      <c r="A3668" t="s">
        <v>4382</v>
      </c>
      <c r="B3668" t="str">
        <f>"003008"</f>
        <v>003008</v>
      </c>
      <c r="C3668" t="s">
        <v>7379</v>
      </c>
      <c r="D3668" t="s">
        <v>110</v>
      </c>
      <c r="F3668">
        <v>7163026</v>
      </c>
      <c r="G3668">
        <v>33560477</v>
      </c>
      <c r="H3668">
        <v>5932365</v>
      </c>
      <c r="P3668">
        <v>68</v>
      </c>
      <c r="Q3668" t="s">
        <v>7380</v>
      </c>
    </row>
    <row r="3669" spans="1:17" x14ac:dyDescent="0.3">
      <c r="A3669" t="s">
        <v>4382</v>
      </c>
      <c r="B3669" t="str">
        <f>"003009"</f>
        <v>003009</v>
      </c>
      <c r="C3669" t="s">
        <v>7381</v>
      </c>
      <c r="D3669" t="s">
        <v>92</v>
      </c>
      <c r="F3669">
        <v>-98527537</v>
      </c>
      <c r="G3669">
        <v>-95054964</v>
      </c>
      <c r="H3669">
        <v>-54590231</v>
      </c>
      <c r="P3669">
        <v>105</v>
      </c>
      <c r="Q3669" t="s">
        <v>7382</v>
      </c>
    </row>
    <row r="3670" spans="1:17" x14ac:dyDescent="0.3">
      <c r="A3670" t="s">
        <v>4382</v>
      </c>
      <c r="B3670" t="str">
        <f>"003010"</f>
        <v>003010</v>
      </c>
      <c r="C3670" t="s">
        <v>7383</v>
      </c>
      <c r="D3670" t="s">
        <v>120</v>
      </c>
      <c r="F3670">
        <v>-148502865</v>
      </c>
      <c r="G3670">
        <v>-39636760</v>
      </c>
      <c r="H3670">
        <v>172901</v>
      </c>
      <c r="P3670">
        <v>58</v>
      </c>
      <c r="Q3670" t="s">
        <v>7384</v>
      </c>
    </row>
    <row r="3671" spans="1:17" x14ac:dyDescent="0.3">
      <c r="A3671" t="s">
        <v>4382</v>
      </c>
      <c r="B3671" t="str">
        <f>"003011"</f>
        <v>003011</v>
      </c>
      <c r="C3671" t="s">
        <v>7385</v>
      </c>
      <c r="D3671" t="s">
        <v>161</v>
      </c>
      <c r="F3671">
        <v>-499278235</v>
      </c>
      <c r="G3671">
        <v>82918337</v>
      </c>
      <c r="H3671">
        <v>-21230189</v>
      </c>
      <c r="P3671">
        <v>90</v>
      </c>
      <c r="Q3671" t="s">
        <v>7386</v>
      </c>
    </row>
    <row r="3672" spans="1:17" x14ac:dyDescent="0.3">
      <c r="A3672" t="s">
        <v>4382</v>
      </c>
      <c r="B3672" t="str">
        <f>"003012"</f>
        <v>003012</v>
      </c>
      <c r="C3672" t="s">
        <v>7387</v>
      </c>
      <c r="D3672" t="s">
        <v>161</v>
      </c>
      <c r="F3672">
        <v>-416681317</v>
      </c>
      <c r="G3672">
        <v>270235418</v>
      </c>
      <c r="H3672">
        <v>24886468</v>
      </c>
      <c r="P3672">
        <v>120</v>
      </c>
      <c r="Q3672" t="s">
        <v>7388</v>
      </c>
    </row>
    <row r="3673" spans="1:17" x14ac:dyDescent="0.3">
      <c r="A3673" t="s">
        <v>4382</v>
      </c>
      <c r="B3673" t="str">
        <f>"003013"</f>
        <v>003013</v>
      </c>
      <c r="C3673" t="s">
        <v>7389</v>
      </c>
      <c r="D3673" t="s">
        <v>95</v>
      </c>
      <c r="F3673">
        <v>-297512321</v>
      </c>
      <c r="G3673">
        <v>-695941806</v>
      </c>
      <c r="H3673">
        <v>-284619003</v>
      </c>
      <c r="P3673">
        <v>101</v>
      </c>
      <c r="Q3673" t="s">
        <v>7390</v>
      </c>
    </row>
    <row r="3674" spans="1:17" x14ac:dyDescent="0.3">
      <c r="A3674" t="s">
        <v>4382</v>
      </c>
      <c r="B3674" t="str">
        <f>"003015"</f>
        <v>003015</v>
      </c>
      <c r="C3674" t="s">
        <v>7391</v>
      </c>
      <c r="D3674" t="s">
        <v>150</v>
      </c>
      <c r="F3674">
        <v>-110991607</v>
      </c>
      <c r="G3674">
        <v>24466637</v>
      </c>
      <c r="H3674">
        <v>-148897317</v>
      </c>
      <c r="P3674">
        <v>46</v>
      </c>
      <c r="Q3674" t="s">
        <v>7392</v>
      </c>
    </row>
    <row r="3675" spans="1:17" x14ac:dyDescent="0.3">
      <c r="A3675" t="s">
        <v>4382</v>
      </c>
      <c r="B3675" t="str">
        <f>"003016"</f>
        <v>003016</v>
      </c>
      <c r="C3675" t="s">
        <v>7393</v>
      </c>
      <c r="D3675" t="s">
        <v>227</v>
      </c>
      <c r="F3675">
        <v>107260702</v>
      </c>
      <c r="G3675">
        <v>126010444</v>
      </c>
      <c r="H3675">
        <v>-107133706</v>
      </c>
      <c r="P3675">
        <v>58</v>
      </c>
      <c r="Q3675" t="s">
        <v>7394</v>
      </c>
    </row>
    <row r="3676" spans="1:17" x14ac:dyDescent="0.3">
      <c r="A3676" t="s">
        <v>4382</v>
      </c>
      <c r="B3676" t="str">
        <f>"003017"</f>
        <v>003017</v>
      </c>
      <c r="C3676" t="s">
        <v>7395</v>
      </c>
      <c r="D3676" t="s">
        <v>133</v>
      </c>
      <c r="F3676">
        <v>-51642789</v>
      </c>
      <c r="G3676">
        <v>9654048</v>
      </c>
      <c r="H3676">
        <v>22399527</v>
      </c>
      <c r="P3676">
        <v>39</v>
      </c>
      <c r="Q3676" t="s">
        <v>7396</v>
      </c>
    </row>
    <row r="3677" spans="1:17" x14ac:dyDescent="0.3">
      <c r="A3677" t="s">
        <v>4382</v>
      </c>
      <c r="B3677" t="str">
        <f>"003018"</f>
        <v>003018</v>
      </c>
      <c r="C3677" t="s">
        <v>7397</v>
      </c>
      <c r="D3677" t="s">
        <v>161</v>
      </c>
      <c r="F3677">
        <v>66507735</v>
      </c>
      <c r="G3677">
        <v>-18210738</v>
      </c>
      <c r="H3677">
        <v>-10333531</v>
      </c>
      <c r="P3677">
        <v>38</v>
      </c>
      <c r="Q3677" t="s">
        <v>7398</v>
      </c>
    </row>
    <row r="3678" spans="1:17" x14ac:dyDescent="0.3">
      <c r="A3678" t="s">
        <v>4382</v>
      </c>
      <c r="B3678" t="str">
        <f>"003019"</f>
        <v>003019</v>
      </c>
      <c r="C3678" t="s">
        <v>7399</v>
      </c>
      <c r="D3678" t="s">
        <v>150</v>
      </c>
      <c r="F3678">
        <v>-297503780</v>
      </c>
      <c r="G3678">
        <v>84986241</v>
      </c>
      <c r="H3678">
        <v>70590777</v>
      </c>
      <c r="P3678">
        <v>63</v>
      </c>
      <c r="Q3678" t="s">
        <v>7400</v>
      </c>
    </row>
    <row r="3679" spans="1:17" x14ac:dyDescent="0.3">
      <c r="A3679" t="s">
        <v>4382</v>
      </c>
      <c r="B3679" t="str">
        <f>"003020"</f>
        <v>003020</v>
      </c>
      <c r="C3679" t="s">
        <v>7401</v>
      </c>
      <c r="D3679" t="s">
        <v>113</v>
      </c>
      <c r="F3679">
        <v>-36451237</v>
      </c>
      <c r="G3679">
        <v>120599053</v>
      </c>
      <c r="H3679">
        <v>27833905</v>
      </c>
      <c r="P3679">
        <v>79</v>
      </c>
      <c r="Q3679" t="s">
        <v>7402</v>
      </c>
    </row>
    <row r="3680" spans="1:17" x14ac:dyDescent="0.3">
      <c r="A3680" t="s">
        <v>4382</v>
      </c>
      <c r="B3680" t="str">
        <f>"003021"</f>
        <v>003021</v>
      </c>
      <c r="C3680" t="s">
        <v>7403</v>
      </c>
      <c r="D3680" t="s">
        <v>188</v>
      </c>
      <c r="F3680">
        <v>14297251</v>
      </c>
      <c r="G3680">
        <v>85570090</v>
      </c>
      <c r="H3680">
        <v>208344469</v>
      </c>
      <c r="P3680">
        <v>80</v>
      </c>
      <c r="Q3680" t="s">
        <v>7404</v>
      </c>
    </row>
    <row r="3681" spans="1:17" x14ac:dyDescent="0.3">
      <c r="A3681" t="s">
        <v>4382</v>
      </c>
      <c r="B3681" t="str">
        <f>"003022"</f>
        <v>003022</v>
      </c>
      <c r="C3681" t="s">
        <v>7405</v>
      </c>
      <c r="D3681" t="s">
        <v>188</v>
      </c>
      <c r="F3681">
        <v>847191297</v>
      </c>
      <c r="G3681">
        <v>507205827</v>
      </c>
      <c r="H3681">
        <v>1073488069</v>
      </c>
      <c r="P3681">
        <v>205</v>
      </c>
      <c r="Q3681" t="s">
        <v>7406</v>
      </c>
    </row>
    <row r="3682" spans="1:17" x14ac:dyDescent="0.3">
      <c r="A3682" t="s">
        <v>4382</v>
      </c>
      <c r="B3682" t="str">
        <f>"003023"</f>
        <v>003023</v>
      </c>
      <c r="C3682" t="s">
        <v>7407</v>
      </c>
      <c r="D3682" t="s">
        <v>126</v>
      </c>
      <c r="F3682">
        <v>34338704</v>
      </c>
      <c r="G3682">
        <v>110582416</v>
      </c>
      <c r="H3682">
        <v>57783484</v>
      </c>
      <c r="P3682">
        <v>49</v>
      </c>
      <c r="Q3682" t="s">
        <v>7408</v>
      </c>
    </row>
    <row r="3683" spans="1:17" x14ac:dyDescent="0.3">
      <c r="A3683" t="s">
        <v>4382</v>
      </c>
      <c r="B3683" t="str">
        <f>"003025"</f>
        <v>003025</v>
      </c>
      <c r="C3683" t="s">
        <v>7409</v>
      </c>
      <c r="D3683" t="s">
        <v>78</v>
      </c>
      <c r="F3683">
        <v>7023596</v>
      </c>
      <c r="G3683">
        <v>31727506</v>
      </c>
      <c r="H3683">
        <v>9546016</v>
      </c>
      <c r="P3683">
        <v>118</v>
      </c>
      <c r="Q3683" t="s">
        <v>7410</v>
      </c>
    </row>
    <row r="3684" spans="1:17" x14ac:dyDescent="0.3">
      <c r="A3684" t="s">
        <v>4382</v>
      </c>
      <c r="B3684" t="str">
        <f>"003026"</f>
        <v>003026</v>
      </c>
      <c r="C3684" t="s">
        <v>7411</v>
      </c>
      <c r="D3684" t="s">
        <v>150</v>
      </c>
      <c r="F3684">
        <v>-53285103</v>
      </c>
      <c r="G3684">
        <v>49918355</v>
      </c>
      <c r="H3684">
        <v>45136065</v>
      </c>
      <c r="P3684">
        <v>106</v>
      </c>
      <c r="Q3684" t="s">
        <v>7412</v>
      </c>
    </row>
    <row r="3685" spans="1:17" x14ac:dyDescent="0.3">
      <c r="A3685" t="s">
        <v>4382</v>
      </c>
      <c r="B3685" t="str">
        <f>"003027"</f>
        <v>003027</v>
      </c>
      <c r="C3685" t="s">
        <v>7413</v>
      </c>
      <c r="D3685" t="s">
        <v>33</v>
      </c>
      <c r="F3685">
        <v>-147230586</v>
      </c>
      <c r="G3685">
        <v>30163993</v>
      </c>
      <c r="H3685">
        <v>-52218540</v>
      </c>
      <c r="P3685">
        <v>58</v>
      </c>
      <c r="Q3685" t="s">
        <v>7414</v>
      </c>
    </row>
    <row r="3686" spans="1:17" x14ac:dyDescent="0.3">
      <c r="A3686" t="s">
        <v>4382</v>
      </c>
      <c r="B3686" t="str">
        <f>"003028"</f>
        <v>003028</v>
      </c>
      <c r="C3686" t="s">
        <v>7415</v>
      </c>
      <c r="D3686" t="s">
        <v>150</v>
      </c>
      <c r="F3686">
        <v>-47475331</v>
      </c>
      <c r="G3686">
        <v>14454867</v>
      </c>
      <c r="H3686">
        <v>59880681</v>
      </c>
      <c r="P3686">
        <v>83</v>
      </c>
      <c r="Q3686" t="s">
        <v>7416</v>
      </c>
    </row>
    <row r="3687" spans="1:17" x14ac:dyDescent="0.3">
      <c r="A3687" t="s">
        <v>4382</v>
      </c>
      <c r="B3687" t="str">
        <f>"003029"</f>
        <v>003029</v>
      </c>
      <c r="C3687" t="s">
        <v>7417</v>
      </c>
      <c r="D3687" t="s">
        <v>212</v>
      </c>
      <c r="F3687">
        <v>-89191995</v>
      </c>
      <c r="G3687">
        <v>-48411561</v>
      </c>
      <c r="H3687">
        <v>-47060640</v>
      </c>
      <c r="P3687">
        <v>76</v>
      </c>
      <c r="Q3687" t="s">
        <v>7418</v>
      </c>
    </row>
    <row r="3688" spans="1:17" x14ac:dyDescent="0.3">
      <c r="A3688" t="s">
        <v>4382</v>
      </c>
      <c r="B3688" t="str">
        <f>"003030"</f>
        <v>003030</v>
      </c>
      <c r="C3688" t="s">
        <v>7419</v>
      </c>
      <c r="D3688" t="s">
        <v>205</v>
      </c>
      <c r="F3688">
        <v>18022198</v>
      </c>
      <c r="G3688">
        <v>-69695775</v>
      </c>
      <c r="H3688">
        <v>92377381</v>
      </c>
      <c r="P3688">
        <v>60</v>
      </c>
      <c r="Q3688" t="s">
        <v>7420</v>
      </c>
    </row>
    <row r="3689" spans="1:17" x14ac:dyDescent="0.3">
      <c r="A3689" t="s">
        <v>4382</v>
      </c>
      <c r="B3689" t="str">
        <f>"003031"</f>
        <v>003031</v>
      </c>
      <c r="C3689" t="s">
        <v>7421</v>
      </c>
      <c r="D3689" t="s">
        <v>100</v>
      </c>
      <c r="F3689">
        <v>29417550</v>
      </c>
      <c r="G3689">
        <v>27653944</v>
      </c>
      <c r="H3689">
        <v>86565600</v>
      </c>
      <c r="P3689">
        <v>87</v>
      </c>
      <c r="Q3689" t="s">
        <v>7422</v>
      </c>
    </row>
    <row r="3690" spans="1:17" x14ac:dyDescent="0.3">
      <c r="A3690" t="s">
        <v>4382</v>
      </c>
      <c r="B3690" t="str">
        <f>"003032"</f>
        <v>003032</v>
      </c>
      <c r="C3690" t="s">
        <v>7423</v>
      </c>
      <c r="D3690" t="s">
        <v>110</v>
      </c>
      <c r="F3690">
        <v>131432768</v>
      </c>
      <c r="G3690">
        <v>-22323600</v>
      </c>
      <c r="H3690">
        <v>171435500</v>
      </c>
      <c r="P3690">
        <v>60</v>
      </c>
      <c r="Q3690" t="s">
        <v>7424</v>
      </c>
    </row>
    <row r="3691" spans="1:17" x14ac:dyDescent="0.3">
      <c r="A3691" t="s">
        <v>4382</v>
      </c>
      <c r="B3691" t="str">
        <f>"003033"</f>
        <v>003033</v>
      </c>
      <c r="C3691" t="s">
        <v>7425</v>
      </c>
      <c r="D3691" t="s">
        <v>27</v>
      </c>
      <c r="F3691">
        <v>-172344255</v>
      </c>
      <c r="G3691">
        <v>-13762593</v>
      </c>
      <c r="H3691">
        <v>14806196</v>
      </c>
      <c r="P3691">
        <v>67</v>
      </c>
      <c r="Q3691" t="s">
        <v>7426</v>
      </c>
    </row>
    <row r="3692" spans="1:17" x14ac:dyDescent="0.3">
      <c r="A3692" t="s">
        <v>4382</v>
      </c>
      <c r="B3692" t="str">
        <f>"003035"</f>
        <v>003035</v>
      </c>
      <c r="C3692" t="s">
        <v>7427</v>
      </c>
      <c r="D3692" t="s">
        <v>41</v>
      </c>
      <c r="F3692">
        <v>-931308127</v>
      </c>
      <c r="G3692">
        <v>-793007905</v>
      </c>
      <c r="H3692">
        <v>-808356816</v>
      </c>
      <c r="P3692">
        <v>279</v>
      </c>
      <c r="Q3692" t="s">
        <v>7428</v>
      </c>
    </row>
    <row r="3693" spans="1:17" x14ac:dyDescent="0.3">
      <c r="A3693" t="s">
        <v>4382</v>
      </c>
      <c r="B3693" t="str">
        <f>"003036"</f>
        <v>003036</v>
      </c>
      <c r="C3693" t="s">
        <v>7429</v>
      </c>
      <c r="D3693" t="s">
        <v>78</v>
      </c>
      <c r="F3693">
        <v>-228401142</v>
      </c>
      <c r="G3693">
        <v>5022163</v>
      </c>
      <c r="H3693">
        <v>79792404</v>
      </c>
      <c r="P3693">
        <v>37</v>
      </c>
      <c r="Q3693" t="s">
        <v>7430</v>
      </c>
    </row>
    <row r="3694" spans="1:17" x14ac:dyDescent="0.3">
      <c r="A3694" t="s">
        <v>4382</v>
      </c>
      <c r="B3694" t="str">
        <f>"003037"</f>
        <v>003037</v>
      </c>
      <c r="C3694" t="s">
        <v>7431</v>
      </c>
      <c r="D3694" t="s">
        <v>350</v>
      </c>
      <c r="F3694">
        <v>-856403010</v>
      </c>
      <c r="G3694">
        <v>81237009</v>
      </c>
      <c r="H3694">
        <v>-237886798</v>
      </c>
      <c r="P3694">
        <v>39</v>
      </c>
      <c r="Q3694" t="s">
        <v>7432</v>
      </c>
    </row>
    <row r="3695" spans="1:17" x14ac:dyDescent="0.3">
      <c r="A3695" t="s">
        <v>4382</v>
      </c>
      <c r="B3695" t="str">
        <f>"003038"</f>
        <v>003038</v>
      </c>
      <c r="C3695" t="s">
        <v>7433</v>
      </c>
      <c r="D3695" t="s">
        <v>234</v>
      </c>
      <c r="F3695">
        <v>-665414958</v>
      </c>
      <c r="G3695">
        <v>-151599747</v>
      </c>
      <c r="P3695">
        <v>75</v>
      </c>
      <c r="Q3695" t="s">
        <v>7434</v>
      </c>
    </row>
    <row r="3696" spans="1:17" x14ac:dyDescent="0.3">
      <c r="A3696" t="s">
        <v>4382</v>
      </c>
      <c r="B3696" t="str">
        <f>"003039"</f>
        <v>003039</v>
      </c>
      <c r="C3696" t="s">
        <v>7435</v>
      </c>
      <c r="D3696" t="s">
        <v>33</v>
      </c>
      <c r="F3696">
        <v>58188071</v>
      </c>
      <c r="P3696">
        <v>64</v>
      </c>
      <c r="Q3696" t="s">
        <v>7436</v>
      </c>
    </row>
    <row r="3697" spans="1:17" x14ac:dyDescent="0.3">
      <c r="A3697" t="s">
        <v>4382</v>
      </c>
      <c r="B3697" t="str">
        <f>"003040"</f>
        <v>003040</v>
      </c>
      <c r="C3697" t="s">
        <v>7437</v>
      </c>
      <c r="D3697" t="s">
        <v>100</v>
      </c>
      <c r="F3697">
        <v>-213364416</v>
      </c>
      <c r="G3697">
        <v>-53063768</v>
      </c>
      <c r="P3697">
        <v>61</v>
      </c>
      <c r="Q3697" t="s">
        <v>7438</v>
      </c>
    </row>
    <row r="3698" spans="1:17" x14ac:dyDescent="0.3">
      <c r="A3698" t="s">
        <v>4382</v>
      </c>
      <c r="B3698" t="str">
        <f>"003041"</f>
        <v>003041</v>
      </c>
      <c r="C3698" t="s">
        <v>7439</v>
      </c>
      <c r="D3698" t="s">
        <v>227</v>
      </c>
      <c r="F3698">
        <v>-265488551</v>
      </c>
      <c r="P3698">
        <v>30</v>
      </c>
      <c r="Q3698" t="s">
        <v>7440</v>
      </c>
    </row>
    <row r="3699" spans="1:17" x14ac:dyDescent="0.3">
      <c r="A3699" t="s">
        <v>4382</v>
      </c>
      <c r="B3699" t="str">
        <f>"003042"</f>
        <v>003042</v>
      </c>
      <c r="C3699" t="s">
        <v>7441</v>
      </c>
      <c r="D3699" t="s">
        <v>133</v>
      </c>
      <c r="F3699">
        <v>-210429723</v>
      </c>
      <c r="G3699">
        <v>-119512004</v>
      </c>
      <c r="H3699">
        <v>-42233576</v>
      </c>
      <c r="P3699">
        <v>29</v>
      </c>
      <c r="Q3699" t="s">
        <v>7442</v>
      </c>
    </row>
    <row r="3700" spans="1:17" x14ac:dyDescent="0.3">
      <c r="A3700" t="s">
        <v>4382</v>
      </c>
      <c r="B3700" t="str">
        <f>"003043"</f>
        <v>003043</v>
      </c>
      <c r="C3700" t="s">
        <v>7443</v>
      </c>
      <c r="D3700" t="s">
        <v>150</v>
      </c>
      <c r="F3700">
        <v>-8263596</v>
      </c>
      <c r="P3700">
        <v>47</v>
      </c>
      <c r="Q3700" t="s">
        <v>7444</v>
      </c>
    </row>
    <row r="3701" spans="1:17" x14ac:dyDescent="0.3">
      <c r="A3701" t="s">
        <v>4382</v>
      </c>
      <c r="B3701" t="str">
        <f>"003816"</f>
        <v>003816</v>
      </c>
      <c r="C3701" t="s">
        <v>7445</v>
      </c>
      <c r="D3701" t="s">
        <v>41</v>
      </c>
      <c r="F3701">
        <v>17013725544</v>
      </c>
      <c r="G3701">
        <v>16799464632</v>
      </c>
      <c r="H3701">
        <v>13590522776</v>
      </c>
      <c r="I3701">
        <v>11978717118</v>
      </c>
      <c r="J3701">
        <v>6886840253</v>
      </c>
      <c r="P3701">
        <v>523</v>
      </c>
      <c r="Q3701" t="s">
        <v>7446</v>
      </c>
    </row>
    <row r="3702" spans="1:17" x14ac:dyDescent="0.3">
      <c r="A3702" t="s">
        <v>4382</v>
      </c>
      <c r="B3702" t="str">
        <f>"200002"</f>
        <v>200002</v>
      </c>
      <c r="C3702" t="s">
        <v>7447</v>
      </c>
      <c r="K3702">
        <v>48876269040.934898</v>
      </c>
      <c r="L3702">
        <v>-6433604194.7566996</v>
      </c>
      <c r="M3702">
        <v>20483859272.646099</v>
      </c>
      <c r="N3702">
        <v>-15399217059.490499</v>
      </c>
      <c r="O3702">
        <v>-4446240208.4654999</v>
      </c>
      <c r="P3702">
        <v>22</v>
      </c>
      <c r="Q3702" t="s">
        <v>7448</v>
      </c>
    </row>
    <row r="3703" spans="1:17" x14ac:dyDescent="0.3">
      <c r="A3703" t="s">
        <v>4382</v>
      </c>
      <c r="B3703" t="str">
        <f>"200011"</f>
        <v>200011</v>
      </c>
      <c r="C3703" t="s">
        <v>7449</v>
      </c>
      <c r="F3703">
        <v>-671785827.17920005</v>
      </c>
      <c r="G3703">
        <v>-547029877.42649996</v>
      </c>
      <c r="H3703">
        <v>546106854.19379997</v>
      </c>
      <c r="I3703">
        <v>52680155.903399996</v>
      </c>
      <c r="J3703">
        <v>-418160730.33630002</v>
      </c>
      <c r="K3703">
        <v>2437085252.8178</v>
      </c>
      <c r="L3703">
        <v>-66643867.000200003</v>
      </c>
      <c r="M3703">
        <v>-125441313.2907</v>
      </c>
      <c r="N3703">
        <v>88454048.137199998</v>
      </c>
      <c r="O3703">
        <v>723652257.56079996</v>
      </c>
      <c r="P3703">
        <v>176</v>
      </c>
      <c r="Q3703" t="s">
        <v>7450</v>
      </c>
    </row>
    <row r="3704" spans="1:17" x14ac:dyDescent="0.3">
      <c r="A3704" t="s">
        <v>4382</v>
      </c>
      <c r="B3704" t="str">
        <f>"200012"</f>
        <v>200012</v>
      </c>
      <c r="C3704" t="s">
        <v>7451</v>
      </c>
      <c r="F3704">
        <v>1643569891.7981999</v>
      </c>
      <c r="G3704">
        <v>1039781105.3717</v>
      </c>
      <c r="H3704">
        <v>1150958162.2256999</v>
      </c>
      <c r="I3704">
        <v>1084552011.7061999</v>
      </c>
      <c r="J3704">
        <v>856302263.36670005</v>
      </c>
      <c r="K3704">
        <v>917982152.65120006</v>
      </c>
      <c r="L3704">
        <v>-182820562.1295</v>
      </c>
      <c r="M3704">
        <v>-629051562.15509999</v>
      </c>
      <c r="N3704">
        <v>-519927594.12</v>
      </c>
      <c r="O3704">
        <v>406930690.63919997</v>
      </c>
      <c r="P3704">
        <v>85</v>
      </c>
      <c r="Q3704" t="s">
        <v>7452</v>
      </c>
    </row>
    <row r="3705" spans="1:17" x14ac:dyDescent="0.3">
      <c r="A3705" t="s">
        <v>4382</v>
      </c>
      <c r="B3705" t="str">
        <f>"200015"</f>
        <v>200015</v>
      </c>
      <c r="C3705" t="s">
        <v>7453</v>
      </c>
      <c r="K3705">
        <v>-55904776.848899998</v>
      </c>
      <c r="P3705">
        <v>0</v>
      </c>
      <c r="Q3705" t="s">
        <v>7454</v>
      </c>
    </row>
    <row r="3706" spans="1:17" x14ac:dyDescent="0.3">
      <c r="A3706" t="s">
        <v>4382</v>
      </c>
      <c r="B3706" t="str">
        <f>"200016"</f>
        <v>200016</v>
      </c>
      <c r="C3706" t="s">
        <v>7455</v>
      </c>
      <c r="F3706">
        <v>-5212514244.7979002</v>
      </c>
      <c r="G3706">
        <v>-3738247507.8948998</v>
      </c>
      <c r="H3706">
        <v>-4089469255.4907999</v>
      </c>
      <c r="I3706">
        <v>-3602011396.1178002</v>
      </c>
      <c r="J3706">
        <v>-4313989570.2363005</v>
      </c>
      <c r="K3706">
        <v>-600701984.89919996</v>
      </c>
      <c r="L3706">
        <v>1160233019.2746</v>
      </c>
      <c r="M3706">
        <v>334680903.68910003</v>
      </c>
      <c r="N3706">
        <v>2084395371.9300001</v>
      </c>
      <c r="O3706">
        <v>858948030.14160001</v>
      </c>
      <c r="P3706">
        <v>36</v>
      </c>
      <c r="Q3706" t="s">
        <v>7456</v>
      </c>
    </row>
    <row r="3707" spans="1:17" x14ac:dyDescent="0.3">
      <c r="A3707" t="s">
        <v>4382</v>
      </c>
      <c r="B3707" t="str">
        <f>"200017"</f>
        <v>200017</v>
      </c>
      <c r="C3707" t="s">
        <v>7457</v>
      </c>
      <c r="F3707">
        <v>-7020359.3539000005</v>
      </c>
      <c r="G3707">
        <v>3730052.9361999999</v>
      </c>
      <c r="H3707">
        <v>-8608330.6820999999</v>
      </c>
      <c r="I3707">
        <v>119508.6765</v>
      </c>
      <c r="J3707">
        <v>-8141748.1070999997</v>
      </c>
      <c r="K3707">
        <v>-10072733.0079</v>
      </c>
      <c r="L3707">
        <v>-404166.51870000002</v>
      </c>
      <c r="M3707">
        <v>3583921.9460999998</v>
      </c>
      <c r="N3707">
        <v>-13183158.723300001</v>
      </c>
      <c r="O3707">
        <v>5101902.3432</v>
      </c>
      <c r="P3707">
        <v>3</v>
      </c>
      <c r="Q3707" t="s">
        <v>7458</v>
      </c>
    </row>
    <row r="3708" spans="1:17" x14ac:dyDescent="0.3">
      <c r="A3708" t="s">
        <v>4382</v>
      </c>
      <c r="B3708" t="str">
        <f>"200018"</f>
        <v>200018</v>
      </c>
      <c r="C3708" t="s">
        <v>7459</v>
      </c>
      <c r="H3708">
        <v>-495935563.92640001</v>
      </c>
      <c r="I3708">
        <v>1452998148.7146001</v>
      </c>
      <c r="J3708">
        <v>-975275169.65190005</v>
      </c>
      <c r="K3708">
        <v>-1989923774.3138001</v>
      </c>
      <c r="L3708">
        <v>-443042975.44120002</v>
      </c>
      <c r="M3708">
        <v>5382995.5203</v>
      </c>
      <c r="N3708">
        <v>9866566.1789999995</v>
      </c>
      <c r="O3708">
        <v>867828.87280000001</v>
      </c>
      <c r="P3708">
        <v>13</v>
      </c>
      <c r="Q3708" t="s">
        <v>7460</v>
      </c>
    </row>
    <row r="3709" spans="1:17" x14ac:dyDescent="0.3">
      <c r="A3709" t="s">
        <v>4382</v>
      </c>
      <c r="B3709" t="str">
        <f>"200019"</f>
        <v>200019</v>
      </c>
      <c r="C3709" t="s">
        <v>7461</v>
      </c>
      <c r="F3709">
        <v>-33411080.224199999</v>
      </c>
      <c r="G3709">
        <v>104582870.50830001</v>
      </c>
      <c r="H3709">
        <v>-420887848.6099</v>
      </c>
      <c r="I3709">
        <v>5305286.4867000002</v>
      </c>
      <c r="J3709">
        <v>-82345004.053499997</v>
      </c>
      <c r="K3709">
        <v>-28897829.1384</v>
      </c>
      <c r="L3709">
        <v>-46453524.715800002</v>
      </c>
      <c r="M3709">
        <v>-138300977.17469999</v>
      </c>
      <c r="N3709">
        <v>-210111251.8653</v>
      </c>
      <c r="O3709">
        <v>-134826225.33680001</v>
      </c>
      <c r="P3709">
        <v>23</v>
      </c>
      <c r="Q3709" t="s">
        <v>7462</v>
      </c>
    </row>
    <row r="3710" spans="1:17" x14ac:dyDescent="0.3">
      <c r="A3710" t="s">
        <v>4382</v>
      </c>
      <c r="B3710" t="str">
        <f>"200020"</f>
        <v>200020</v>
      </c>
      <c r="C3710" t="s">
        <v>7463</v>
      </c>
      <c r="F3710">
        <v>-33561331.434500001</v>
      </c>
      <c r="G3710">
        <v>11683481.319700001</v>
      </c>
      <c r="H3710">
        <v>50814433.566100001</v>
      </c>
      <c r="I3710">
        <v>-72563735.318100005</v>
      </c>
      <c r="J3710">
        <v>-24777948.861000001</v>
      </c>
      <c r="K3710">
        <v>-87861281.705200002</v>
      </c>
      <c r="L3710">
        <v>40878322.434</v>
      </c>
      <c r="M3710">
        <v>-489899295.41159999</v>
      </c>
      <c r="N3710">
        <v>-54049232.1096</v>
      </c>
      <c r="O3710">
        <v>-15841165.0616</v>
      </c>
      <c r="P3710">
        <v>6</v>
      </c>
      <c r="Q3710" t="s">
        <v>7464</v>
      </c>
    </row>
    <row r="3711" spans="1:17" x14ac:dyDescent="0.3">
      <c r="A3711" t="s">
        <v>4382</v>
      </c>
      <c r="B3711" t="str">
        <f>"200022"</f>
        <v>200022</v>
      </c>
      <c r="C3711" t="s">
        <v>7465</v>
      </c>
      <c r="I3711">
        <v>497640409.94340003</v>
      </c>
      <c r="J3711">
        <v>917586201.54960001</v>
      </c>
      <c r="K3711">
        <v>553245790.44690001</v>
      </c>
      <c r="L3711">
        <v>672666339.26380002</v>
      </c>
      <c r="M3711">
        <v>487357790.16409999</v>
      </c>
      <c r="N3711">
        <v>430091070.97140002</v>
      </c>
      <c r="O3711">
        <v>186071446.39680001</v>
      </c>
      <c r="P3711">
        <v>41</v>
      </c>
      <c r="Q3711" t="s">
        <v>7466</v>
      </c>
    </row>
    <row r="3712" spans="1:17" x14ac:dyDescent="0.3">
      <c r="A3712" t="s">
        <v>4382</v>
      </c>
      <c r="B3712" t="str">
        <f>"200024"</f>
        <v>200024</v>
      </c>
      <c r="C3712" t="s">
        <v>7467</v>
      </c>
      <c r="L3712">
        <v>-3259519450.4844999</v>
      </c>
      <c r="M3712">
        <v>-7006604059.4113998</v>
      </c>
      <c r="N3712">
        <v>958157118.24370003</v>
      </c>
      <c r="O3712">
        <v>4529261171.2639999</v>
      </c>
      <c r="P3712">
        <v>0</v>
      </c>
      <c r="Q3712" t="s">
        <v>7468</v>
      </c>
    </row>
    <row r="3713" spans="1:17" x14ac:dyDescent="0.3">
      <c r="A3713" t="s">
        <v>4382</v>
      </c>
      <c r="B3713" t="str">
        <f>"200025"</f>
        <v>200025</v>
      </c>
      <c r="C3713" t="s">
        <v>7469</v>
      </c>
      <c r="F3713">
        <v>36872846.050399996</v>
      </c>
      <c r="G3713">
        <v>-9147652.0184000004</v>
      </c>
      <c r="H3713">
        <v>-40496740.961000003</v>
      </c>
      <c r="I3713">
        <v>-55345620.286799997</v>
      </c>
      <c r="J3713">
        <v>27469341.838799998</v>
      </c>
      <c r="K3713">
        <v>-11270630.336300001</v>
      </c>
      <c r="L3713">
        <v>-95429911.586999997</v>
      </c>
      <c r="M3713">
        <v>-86592630.079799995</v>
      </c>
      <c r="N3713">
        <v>52112345.046300001</v>
      </c>
      <c r="O3713">
        <v>-3570732.8328</v>
      </c>
      <c r="P3713">
        <v>7</v>
      </c>
      <c r="Q3713" t="s">
        <v>7470</v>
      </c>
    </row>
    <row r="3714" spans="1:17" x14ac:dyDescent="0.3">
      <c r="A3714" t="s">
        <v>4382</v>
      </c>
      <c r="B3714" t="str">
        <f>"200026"</f>
        <v>200026</v>
      </c>
      <c r="C3714" t="s">
        <v>7471</v>
      </c>
      <c r="F3714">
        <v>257320893.68430001</v>
      </c>
      <c r="G3714">
        <v>143063859.05689999</v>
      </c>
      <c r="H3714">
        <v>201654121.43939999</v>
      </c>
      <c r="I3714">
        <v>229669042.9359</v>
      </c>
      <c r="J3714">
        <v>327671640.96210003</v>
      </c>
      <c r="K3714">
        <v>186818971.71470001</v>
      </c>
      <c r="L3714">
        <v>121779299.502</v>
      </c>
      <c r="M3714">
        <v>142862035.97490001</v>
      </c>
      <c r="N3714">
        <v>74430704.686499998</v>
      </c>
      <c r="O3714">
        <v>-160679670.51840001</v>
      </c>
      <c r="P3714">
        <v>52</v>
      </c>
      <c r="Q3714" t="s">
        <v>7472</v>
      </c>
    </row>
    <row r="3715" spans="1:17" x14ac:dyDescent="0.3">
      <c r="A3715" t="s">
        <v>4382</v>
      </c>
      <c r="B3715" t="str">
        <f>"200028"</f>
        <v>200028</v>
      </c>
      <c r="C3715" t="s">
        <v>7473</v>
      </c>
      <c r="F3715">
        <v>1418839380.6355</v>
      </c>
      <c r="G3715">
        <v>2046126369.4263</v>
      </c>
      <c r="H3715">
        <v>1003288707.5515</v>
      </c>
      <c r="I3715">
        <v>477726893.8416</v>
      </c>
      <c r="J3715">
        <v>451834284.28740001</v>
      </c>
      <c r="K3715">
        <v>503820365.62190002</v>
      </c>
      <c r="L3715">
        <v>320558301.34920001</v>
      </c>
      <c r="M3715">
        <v>-1043971840.0977</v>
      </c>
      <c r="N3715">
        <v>221282718.30630001</v>
      </c>
      <c r="O3715">
        <v>-99102427.643999994</v>
      </c>
      <c r="P3715">
        <v>209</v>
      </c>
      <c r="Q3715" t="s">
        <v>7474</v>
      </c>
    </row>
    <row r="3716" spans="1:17" x14ac:dyDescent="0.3">
      <c r="A3716" t="s">
        <v>4382</v>
      </c>
      <c r="B3716" t="str">
        <f>"200029"</f>
        <v>200029</v>
      </c>
      <c r="C3716" t="s">
        <v>7475</v>
      </c>
      <c r="F3716">
        <v>-1523377494.342</v>
      </c>
      <c r="G3716">
        <v>110632944.11399999</v>
      </c>
      <c r="H3716">
        <v>1142230376.503</v>
      </c>
      <c r="I3716">
        <v>756940911.29970002</v>
      </c>
      <c r="J3716">
        <v>-236207392.62540001</v>
      </c>
      <c r="K3716">
        <v>639469823.34889996</v>
      </c>
      <c r="L3716">
        <v>976661038.20539999</v>
      </c>
      <c r="M3716">
        <v>299540174.69580001</v>
      </c>
      <c r="N3716">
        <v>-9708475.9562999997</v>
      </c>
      <c r="O3716">
        <v>-245746101.14480001</v>
      </c>
      <c r="P3716">
        <v>18</v>
      </c>
      <c r="Q3716" t="s">
        <v>7476</v>
      </c>
    </row>
    <row r="3717" spans="1:17" x14ac:dyDescent="0.3">
      <c r="A3717" t="s">
        <v>4382</v>
      </c>
      <c r="B3717" t="str">
        <f>"200030"</f>
        <v>200030</v>
      </c>
      <c r="C3717" t="s">
        <v>7477</v>
      </c>
      <c r="F3717">
        <v>-176852796.7746</v>
      </c>
      <c r="G3717">
        <v>-214657849.11410001</v>
      </c>
      <c r="H3717">
        <v>-393691921.35430002</v>
      </c>
      <c r="I3717">
        <v>-299940751.85820001</v>
      </c>
      <c r="J3717">
        <v>9706618.2093000002</v>
      </c>
      <c r="K3717">
        <v>106118947.6477</v>
      </c>
      <c r="L3717">
        <v>478386998.62290001</v>
      </c>
      <c r="M3717">
        <v>149392692.3132</v>
      </c>
      <c r="N3717">
        <v>-448714594.27170002</v>
      </c>
      <c r="O3717">
        <v>-83805.8848</v>
      </c>
      <c r="P3717">
        <v>132</v>
      </c>
      <c r="Q3717" t="s">
        <v>7478</v>
      </c>
    </row>
    <row r="3718" spans="1:17" x14ac:dyDescent="0.3">
      <c r="A3718" t="s">
        <v>4382</v>
      </c>
      <c r="B3718" t="str">
        <f>"200037"</f>
        <v>200037</v>
      </c>
      <c r="C3718" t="s">
        <v>7479</v>
      </c>
      <c r="F3718">
        <v>73902061.343199998</v>
      </c>
      <c r="G3718">
        <v>225944343.1442</v>
      </c>
      <c r="H3718">
        <v>38888768.150899999</v>
      </c>
      <c r="I3718">
        <v>76523133.008100003</v>
      </c>
      <c r="J3718">
        <v>-260009604.08700001</v>
      </c>
      <c r="K3718">
        <v>141334168.53670001</v>
      </c>
      <c r="L3718">
        <v>477398604.80190003</v>
      </c>
      <c r="M3718">
        <v>394948207.82639998</v>
      </c>
      <c r="N3718">
        <v>696129557.78610003</v>
      </c>
      <c r="O3718">
        <v>-15689215.359200001</v>
      </c>
      <c r="P3718">
        <v>9</v>
      </c>
      <c r="Q3718" t="s">
        <v>7480</v>
      </c>
    </row>
    <row r="3719" spans="1:17" x14ac:dyDescent="0.3">
      <c r="A3719" t="s">
        <v>4382</v>
      </c>
      <c r="B3719" t="str">
        <f>"200039"</f>
        <v>200039</v>
      </c>
      <c r="C3719" t="s">
        <v>7481</v>
      </c>
      <c r="K3719">
        <v>-5384268448.3000002</v>
      </c>
      <c r="L3719">
        <v>-11124267690.9</v>
      </c>
      <c r="M3719">
        <v>-10378331178.9</v>
      </c>
      <c r="N3719">
        <v>-5904317983.5</v>
      </c>
      <c r="O3719">
        <v>-619599673.60000002</v>
      </c>
      <c r="P3719">
        <v>0</v>
      </c>
      <c r="Q3719" t="s">
        <v>7482</v>
      </c>
    </row>
    <row r="3720" spans="1:17" x14ac:dyDescent="0.3">
      <c r="A3720" t="s">
        <v>4382</v>
      </c>
      <c r="B3720" t="str">
        <f>"200045"</f>
        <v>200045</v>
      </c>
      <c r="C3720" t="s">
        <v>7483</v>
      </c>
      <c r="F3720">
        <v>-518509817.73890001</v>
      </c>
      <c r="G3720">
        <v>-525525070.58270001</v>
      </c>
      <c r="H3720">
        <v>161821415.96619999</v>
      </c>
      <c r="I3720">
        <v>-650853724.97459996</v>
      </c>
      <c r="J3720">
        <v>-432821215.91339999</v>
      </c>
      <c r="K3720">
        <v>-168702961.11379999</v>
      </c>
      <c r="L3720">
        <v>31487537.756099999</v>
      </c>
      <c r="M3720">
        <v>-138544785.16859999</v>
      </c>
      <c r="N3720">
        <v>-280258327.43279999</v>
      </c>
      <c r="O3720">
        <v>-248581863.57679999</v>
      </c>
      <c r="P3720">
        <v>6</v>
      </c>
      <c r="Q3720" t="s">
        <v>7484</v>
      </c>
    </row>
    <row r="3721" spans="1:17" x14ac:dyDescent="0.3">
      <c r="A3721" t="s">
        <v>4382</v>
      </c>
      <c r="B3721" t="str">
        <f>"200053"</f>
        <v>200053</v>
      </c>
      <c r="C3721" t="s">
        <v>7485</v>
      </c>
      <c r="J3721">
        <v>-378485721.07260001</v>
      </c>
      <c r="K3721">
        <v>-1314011964.4984</v>
      </c>
      <c r="L3721">
        <v>-166022924.41299999</v>
      </c>
      <c r="M3721">
        <v>-282070860.30769998</v>
      </c>
      <c r="N3721">
        <v>-62904925.335600004</v>
      </c>
      <c r="O3721">
        <v>-44208430.354199998</v>
      </c>
      <c r="P3721">
        <v>15</v>
      </c>
      <c r="Q3721" t="s">
        <v>7486</v>
      </c>
    </row>
    <row r="3722" spans="1:17" x14ac:dyDescent="0.3">
      <c r="A3722" t="s">
        <v>4382</v>
      </c>
      <c r="B3722" t="str">
        <f>"200054"</f>
        <v>200054</v>
      </c>
      <c r="C3722" t="s">
        <v>7487</v>
      </c>
      <c r="F3722">
        <v>81414704.941100001</v>
      </c>
      <c r="G3722">
        <v>134090829.19400001</v>
      </c>
      <c r="H3722">
        <v>203129234.74880001</v>
      </c>
      <c r="I3722">
        <v>90511094.195700005</v>
      </c>
      <c r="J3722">
        <v>88427360.747700006</v>
      </c>
      <c r="K3722">
        <v>90891770.060100004</v>
      </c>
      <c r="L3722">
        <v>-42963460.5348</v>
      </c>
      <c r="M3722">
        <v>181952190.69749999</v>
      </c>
      <c r="N3722">
        <v>-20958905.716200002</v>
      </c>
      <c r="O3722">
        <v>-88994391.412799999</v>
      </c>
      <c r="P3722">
        <v>7</v>
      </c>
      <c r="Q3722" t="s">
        <v>7488</v>
      </c>
    </row>
    <row r="3723" spans="1:17" x14ac:dyDescent="0.3">
      <c r="A3723" t="s">
        <v>4382</v>
      </c>
      <c r="B3723" t="str">
        <f>"200055"</f>
        <v>200055</v>
      </c>
      <c r="C3723" t="s">
        <v>7489</v>
      </c>
      <c r="F3723">
        <v>-673411401.9145</v>
      </c>
      <c r="G3723">
        <v>81003434.901700005</v>
      </c>
      <c r="H3723">
        <v>-585562072.88059998</v>
      </c>
      <c r="I3723">
        <v>90588750.060000002</v>
      </c>
      <c r="J3723">
        <v>427287148.17570001</v>
      </c>
      <c r="K3723">
        <v>470643792.35879999</v>
      </c>
      <c r="L3723">
        <v>-494658973.54979998</v>
      </c>
      <c r="M3723">
        <v>-484022408.56290001</v>
      </c>
      <c r="N3723">
        <v>-27644397.393599998</v>
      </c>
      <c r="O3723">
        <v>-107692975.22</v>
      </c>
      <c r="P3723">
        <v>71</v>
      </c>
      <c r="Q3723" t="s">
        <v>7490</v>
      </c>
    </row>
    <row r="3724" spans="1:17" x14ac:dyDescent="0.3">
      <c r="A3724" t="s">
        <v>4382</v>
      </c>
      <c r="B3724" t="str">
        <f>"200056"</f>
        <v>200056</v>
      </c>
      <c r="C3724" t="s">
        <v>7491</v>
      </c>
      <c r="F3724">
        <v>389065617.99239999</v>
      </c>
      <c r="G3724">
        <v>307096118.48409998</v>
      </c>
      <c r="H3724">
        <v>447219597.65710002</v>
      </c>
      <c r="I3724">
        <v>107053897.2093</v>
      </c>
      <c r="J3724">
        <v>-540246974.09189999</v>
      </c>
      <c r="K3724">
        <v>87575071.582499996</v>
      </c>
      <c r="L3724">
        <v>28829783.5944</v>
      </c>
      <c r="M3724">
        <v>-485899266.99629998</v>
      </c>
      <c r="N3724">
        <v>-423382173.97229999</v>
      </c>
      <c r="O3724">
        <v>-182132706.82960001</v>
      </c>
      <c r="P3724">
        <v>13</v>
      </c>
      <c r="Q3724" t="s">
        <v>7492</v>
      </c>
    </row>
    <row r="3725" spans="1:17" x14ac:dyDescent="0.3">
      <c r="A3725" t="s">
        <v>4382</v>
      </c>
      <c r="B3725" t="str">
        <f>"200058"</f>
        <v>200058</v>
      </c>
      <c r="C3725" t="s">
        <v>7493</v>
      </c>
      <c r="F3725">
        <v>-11723713.6295</v>
      </c>
      <c r="G3725">
        <v>159217660.736</v>
      </c>
      <c r="H3725">
        <v>43843637.423600003</v>
      </c>
      <c r="I3725">
        <v>25243169.0766</v>
      </c>
      <c r="J3725">
        <v>184604879.55419999</v>
      </c>
      <c r="K3725">
        <v>-105100257.7603</v>
      </c>
      <c r="L3725">
        <v>-74101631.078400001</v>
      </c>
      <c r="M3725">
        <v>-336211680.50580001</v>
      </c>
      <c r="N3725">
        <v>-118850843.8998</v>
      </c>
      <c r="O3725">
        <v>-51609006.146399997</v>
      </c>
      <c r="P3725">
        <v>7</v>
      </c>
      <c r="Q3725" t="s">
        <v>7494</v>
      </c>
    </row>
    <row r="3726" spans="1:17" x14ac:dyDescent="0.3">
      <c r="A3726" t="s">
        <v>4382</v>
      </c>
      <c r="B3726" t="str">
        <f>"200152"</f>
        <v>200152</v>
      </c>
      <c r="C3726" t="s">
        <v>7495</v>
      </c>
      <c r="F3726">
        <v>597266069.76059997</v>
      </c>
      <c r="G3726">
        <v>-1809188008.8722</v>
      </c>
      <c r="H3726">
        <v>915445100.32430005</v>
      </c>
      <c r="I3726">
        <v>-98346313.808699995</v>
      </c>
      <c r="J3726">
        <v>796202994.46080005</v>
      </c>
      <c r="K3726">
        <v>1148393532.5272</v>
      </c>
      <c r="L3726">
        <v>793394880.36510003</v>
      </c>
      <c r="M3726">
        <v>-171792591.4641</v>
      </c>
      <c r="N3726">
        <v>322232949.74519998</v>
      </c>
      <c r="O3726">
        <v>337010903.4928</v>
      </c>
      <c r="P3726">
        <v>112</v>
      </c>
      <c r="Q3726" t="s">
        <v>7496</v>
      </c>
    </row>
    <row r="3727" spans="1:17" x14ac:dyDescent="0.3">
      <c r="A3727" t="s">
        <v>4382</v>
      </c>
      <c r="B3727" t="str">
        <f>"200160"</f>
        <v>200160</v>
      </c>
      <c r="C3727" t="s">
        <v>7497</v>
      </c>
      <c r="H3727">
        <v>-55581638.204800002</v>
      </c>
      <c r="I3727">
        <v>-208660925.77559999</v>
      </c>
      <c r="J3727">
        <v>42901289.7654</v>
      </c>
      <c r="K3727">
        <v>90541151.370000005</v>
      </c>
      <c r="L3727">
        <v>52373506.246100001</v>
      </c>
      <c r="M3727">
        <v>-62808598.0889</v>
      </c>
      <c r="N3727">
        <v>-10193780.2864</v>
      </c>
      <c r="O3727">
        <v>64678700.648400001</v>
      </c>
      <c r="P3727">
        <v>3</v>
      </c>
      <c r="Q3727" t="s">
        <v>7498</v>
      </c>
    </row>
    <row r="3728" spans="1:17" x14ac:dyDescent="0.3">
      <c r="A3728" t="s">
        <v>4382</v>
      </c>
      <c r="B3728" t="str">
        <f>"200168"</f>
        <v>200168</v>
      </c>
      <c r="C3728" t="s">
        <v>7499</v>
      </c>
      <c r="G3728">
        <v>18526396.015299998</v>
      </c>
      <c r="H3728">
        <v>-1430644.0925</v>
      </c>
      <c r="I3728">
        <v>-2118228.2132999999</v>
      </c>
      <c r="J3728">
        <v>-9840822.6098999996</v>
      </c>
      <c r="K3728">
        <v>-37355000.267399997</v>
      </c>
      <c r="L3728">
        <v>19660741.204500001</v>
      </c>
      <c r="M3728">
        <v>-70109522.767199993</v>
      </c>
      <c r="N3728">
        <v>18926102.105099998</v>
      </c>
      <c r="O3728">
        <v>87415639.485599995</v>
      </c>
      <c r="P3728">
        <v>3</v>
      </c>
      <c r="Q3728" t="s">
        <v>7500</v>
      </c>
    </row>
    <row r="3729" spans="1:17" x14ac:dyDescent="0.3">
      <c r="A3729" t="s">
        <v>4382</v>
      </c>
      <c r="B3729" t="str">
        <f>"200413"</f>
        <v>200413</v>
      </c>
      <c r="C3729" t="s">
        <v>7501</v>
      </c>
      <c r="F3729">
        <v>693260553.32620001</v>
      </c>
      <c r="G3729">
        <v>-3597680410.8446002</v>
      </c>
      <c r="H3729">
        <v>-1265585679.7609999</v>
      </c>
      <c r="I3729">
        <v>-3885780776.9949002</v>
      </c>
      <c r="J3729">
        <v>-1607581317.3654001</v>
      </c>
      <c r="K3729">
        <v>1393540804.0811</v>
      </c>
      <c r="L3729">
        <v>496629799.55190003</v>
      </c>
      <c r="M3729">
        <v>-3555206230.5288</v>
      </c>
      <c r="N3729">
        <v>-4673663170.7256002</v>
      </c>
      <c r="O3729">
        <v>-931712098.31439996</v>
      </c>
      <c r="P3729">
        <v>44</v>
      </c>
      <c r="Q3729" t="s">
        <v>7502</v>
      </c>
    </row>
    <row r="3730" spans="1:17" x14ac:dyDescent="0.3">
      <c r="A3730" t="s">
        <v>4382</v>
      </c>
      <c r="B3730" t="str">
        <f>"200418"</f>
        <v>200418</v>
      </c>
      <c r="C3730" t="s">
        <v>7503</v>
      </c>
      <c r="I3730">
        <v>52925670.682800002</v>
      </c>
      <c r="J3730">
        <v>687577526.47259998</v>
      </c>
      <c r="K3730">
        <v>2220650714.3449001</v>
      </c>
      <c r="L3730">
        <v>3059573088.1051998</v>
      </c>
      <c r="M3730">
        <v>1212484592.4079001</v>
      </c>
      <c r="N3730">
        <v>1100289750.4491</v>
      </c>
      <c r="O3730">
        <v>667361214.97399998</v>
      </c>
      <c r="P3730">
        <v>89</v>
      </c>
      <c r="Q3730" t="s">
        <v>7504</v>
      </c>
    </row>
    <row r="3731" spans="1:17" x14ac:dyDescent="0.3">
      <c r="A3731" t="s">
        <v>4382</v>
      </c>
      <c r="B3731" t="str">
        <f>"200429"</f>
        <v>200429</v>
      </c>
      <c r="C3731" t="s">
        <v>7505</v>
      </c>
      <c r="F3731">
        <v>3077152535.3274999</v>
      </c>
      <c r="G3731">
        <v>807029040.27139997</v>
      </c>
      <c r="H3731">
        <v>1163035206.9375</v>
      </c>
      <c r="I3731">
        <v>1312853438.652</v>
      </c>
      <c r="J3731">
        <v>1628782158.4649999</v>
      </c>
      <c r="K3731">
        <v>1605947954.5931001</v>
      </c>
      <c r="L3731">
        <v>891970342.58039999</v>
      </c>
      <c r="M3731">
        <v>763170351.37049997</v>
      </c>
      <c r="N3731">
        <v>238791601.9962</v>
      </c>
      <c r="O3731">
        <v>-356529770.78799999</v>
      </c>
      <c r="P3731">
        <v>453</v>
      </c>
      <c r="Q3731" t="s">
        <v>7506</v>
      </c>
    </row>
    <row r="3732" spans="1:17" x14ac:dyDescent="0.3">
      <c r="A3732" t="s">
        <v>4382</v>
      </c>
      <c r="B3732" t="str">
        <f>"200468"</f>
        <v>200468</v>
      </c>
      <c r="C3732" t="s">
        <v>7507</v>
      </c>
      <c r="F3732">
        <v>-130996997.4737</v>
      </c>
      <c r="G3732">
        <v>46085841.118299998</v>
      </c>
      <c r="H3732">
        <v>-199496779.54370001</v>
      </c>
      <c r="I3732">
        <v>-259412867.87580001</v>
      </c>
      <c r="J3732">
        <v>-241063207.31220001</v>
      </c>
      <c r="K3732">
        <v>-124781627.5201</v>
      </c>
      <c r="L3732">
        <v>-151001650.5627</v>
      </c>
      <c r="M3732">
        <v>-147376727.12130001</v>
      </c>
      <c r="N3732">
        <v>-105619180.3515</v>
      </c>
      <c r="O3732">
        <v>-65766812.521600001</v>
      </c>
      <c r="P3732">
        <v>4</v>
      </c>
      <c r="Q3732" t="s">
        <v>7508</v>
      </c>
    </row>
    <row r="3733" spans="1:17" x14ac:dyDescent="0.3">
      <c r="A3733" t="s">
        <v>4382</v>
      </c>
      <c r="B3733" t="str">
        <f>"200488"</f>
        <v>200488</v>
      </c>
      <c r="C3733" t="s">
        <v>7509</v>
      </c>
      <c r="F3733">
        <v>8304165614.3315001</v>
      </c>
      <c r="G3733">
        <v>8157253360.5471001</v>
      </c>
      <c r="H3733">
        <v>6253373893.5102997</v>
      </c>
      <c r="I3733">
        <v>6755893058.5134001</v>
      </c>
      <c r="J3733">
        <v>-4073951393.0030999</v>
      </c>
      <c r="K3733">
        <v>-5100225901.2482996</v>
      </c>
      <c r="L3733">
        <v>-12011179889.797501</v>
      </c>
      <c r="M3733">
        <v>-423640021.9188</v>
      </c>
      <c r="N3733">
        <v>-1879817636.7314999</v>
      </c>
      <c r="O3733">
        <v>-1439272179.2728</v>
      </c>
      <c r="P3733">
        <v>268</v>
      </c>
      <c r="Q3733" t="s">
        <v>7510</v>
      </c>
    </row>
    <row r="3734" spans="1:17" x14ac:dyDescent="0.3">
      <c r="A3734" t="s">
        <v>4382</v>
      </c>
      <c r="B3734" t="str">
        <f>"200505"</f>
        <v>200505</v>
      </c>
      <c r="C3734" t="s">
        <v>7511</v>
      </c>
      <c r="F3734">
        <v>925009193.84959996</v>
      </c>
      <c r="G3734">
        <v>-123717862.73639999</v>
      </c>
      <c r="H3734">
        <v>444187141.9605</v>
      </c>
      <c r="I3734">
        <v>428198191.36290002</v>
      </c>
      <c r="J3734">
        <v>-1240411449.4238999</v>
      </c>
      <c r="K3734">
        <v>205475614.47760001</v>
      </c>
      <c r="L3734">
        <v>163140063.77489999</v>
      </c>
      <c r="M3734">
        <v>-317474710.82639998</v>
      </c>
      <c r="N3734">
        <v>-102202103.5632</v>
      </c>
      <c r="O3734">
        <v>-164129879.00400001</v>
      </c>
      <c r="P3734">
        <v>16</v>
      </c>
      <c r="Q3734" t="s">
        <v>7512</v>
      </c>
    </row>
    <row r="3735" spans="1:17" x14ac:dyDescent="0.3">
      <c r="A3735" t="s">
        <v>4382</v>
      </c>
      <c r="B3735" t="str">
        <f>"200512"</f>
        <v>200512</v>
      </c>
      <c r="C3735" t="s">
        <v>7513</v>
      </c>
      <c r="F3735">
        <v>-183003674.31439999</v>
      </c>
      <c r="G3735">
        <v>120037724.2578</v>
      </c>
      <c r="H3735">
        <v>69786565.038699999</v>
      </c>
      <c r="I3735">
        <v>-122732991.3171</v>
      </c>
      <c r="J3735">
        <v>-104916660.82170001</v>
      </c>
      <c r="K3735">
        <v>-119890110.38959999</v>
      </c>
      <c r="L3735">
        <v>-185683960.56690001</v>
      </c>
      <c r="M3735">
        <v>-113242395.4347</v>
      </c>
      <c r="N3735">
        <v>-95985.025200000004</v>
      </c>
      <c r="O3735">
        <v>-5721325.4976000004</v>
      </c>
      <c r="P3735">
        <v>34</v>
      </c>
      <c r="Q3735" t="s">
        <v>7514</v>
      </c>
    </row>
    <row r="3736" spans="1:17" x14ac:dyDescent="0.3">
      <c r="A3736" t="s">
        <v>4382</v>
      </c>
      <c r="B3736" t="str">
        <f>"200513"</f>
        <v>200513</v>
      </c>
      <c r="C3736" t="s">
        <v>7515</v>
      </c>
      <c r="K3736">
        <v>711464677.95290005</v>
      </c>
      <c r="L3736">
        <v>291616019.59869999</v>
      </c>
      <c r="M3736">
        <v>-181383343.61520001</v>
      </c>
      <c r="N3736">
        <v>-475419807.27130002</v>
      </c>
      <c r="O3736">
        <v>-173326770.38999999</v>
      </c>
      <c r="P3736">
        <v>1</v>
      </c>
      <c r="Q3736" t="s">
        <v>7516</v>
      </c>
    </row>
    <row r="3737" spans="1:17" x14ac:dyDescent="0.3">
      <c r="A3737" t="s">
        <v>4382</v>
      </c>
      <c r="B3737" t="str">
        <f>"200521"</f>
        <v>200521</v>
      </c>
      <c r="C3737" t="s">
        <v>7517</v>
      </c>
      <c r="F3737">
        <v>-446594647.82620001</v>
      </c>
      <c r="G3737">
        <v>-652850295.41799998</v>
      </c>
      <c r="H3737">
        <v>-49983917.249200001</v>
      </c>
      <c r="I3737">
        <v>-202389523.0149</v>
      </c>
      <c r="J3737">
        <v>-552987767.22060001</v>
      </c>
      <c r="K3737">
        <v>1732485756.9300001</v>
      </c>
      <c r="L3737">
        <v>1112245490.6252999</v>
      </c>
      <c r="M3737">
        <v>-278300899.66229999</v>
      </c>
      <c r="N3737">
        <v>-197649436.60980001</v>
      </c>
      <c r="O3737">
        <v>-176614716.6376</v>
      </c>
      <c r="P3737">
        <v>23</v>
      </c>
      <c r="Q3737" t="s">
        <v>7518</v>
      </c>
    </row>
    <row r="3738" spans="1:17" x14ac:dyDescent="0.3">
      <c r="A3738" t="s">
        <v>4382</v>
      </c>
      <c r="B3738" t="str">
        <f>"200530"</f>
        <v>200530</v>
      </c>
      <c r="C3738" t="s">
        <v>7519</v>
      </c>
      <c r="F3738">
        <v>-4095607.6784999999</v>
      </c>
      <c r="G3738">
        <v>-119860361.03640001</v>
      </c>
      <c r="H3738">
        <v>-123504625.89579999</v>
      </c>
      <c r="I3738">
        <v>-329163973.92510003</v>
      </c>
      <c r="J3738">
        <v>-356178055.6311</v>
      </c>
      <c r="K3738">
        <v>-347591806.58829999</v>
      </c>
      <c r="L3738">
        <v>-255022056.09240001</v>
      </c>
      <c r="M3738">
        <v>-33390612.695099998</v>
      </c>
      <c r="N3738">
        <v>13576714.826400001</v>
      </c>
      <c r="O3738">
        <v>-107744734.84639999</v>
      </c>
      <c r="P3738">
        <v>25</v>
      </c>
      <c r="Q3738" t="s">
        <v>7520</v>
      </c>
    </row>
    <row r="3739" spans="1:17" x14ac:dyDescent="0.3">
      <c r="A3739" t="s">
        <v>4382</v>
      </c>
      <c r="B3739" t="str">
        <f>"200539"</f>
        <v>200539</v>
      </c>
      <c r="C3739" t="s">
        <v>7521</v>
      </c>
      <c r="F3739">
        <v>-1360840164.2009001</v>
      </c>
      <c r="G3739">
        <v>1462324176.6099</v>
      </c>
      <c r="H3739">
        <v>4136696535.1603999</v>
      </c>
      <c r="I3739">
        <v>3456693993.0867</v>
      </c>
      <c r="J3739">
        <v>1226264506.6970999</v>
      </c>
      <c r="K3739">
        <v>6670560390.2550001</v>
      </c>
      <c r="L3739">
        <v>6370828375.6796999</v>
      </c>
      <c r="M3739">
        <v>4310295486.0948</v>
      </c>
      <c r="N3739">
        <v>6759294383.4596996</v>
      </c>
      <c r="O3739">
        <v>1662460941.2256</v>
      </c>
      <c r="P3739">
        <v>185</v>
      </c>
      <c r="Q3739" t="s">
        <v>7522</v>
      </c>
    </row>
    <row r="3740" spans="1:17" x14ac:dyDescent="0.3">
      <c r="A3740" t="s">
        <v>4382</v>
      </c>
      <c r="B3740" t="str">
        <f>"200541"</f>
        <v>200541</v>
      </c>
      <c r="C3740" t="s">
        <v>7523</v>
      </c>
      <c r="F3740">
        <v>-294091871.6706</v>
      </c>
      <c r="G3740">
        <v>338466414.86940002</v>
      </c>
      <c r="H3740">
        <v>331623112.07789999</v>
      </c>
      <c r="I3740">
        <v>426174988.01069999</v>
      </c>
      <c r="J3740">
        <v>-327934610.34450001</v>
      </c>
      <c r="K3740">
        <v>296566157.09429997</v>
      </c>
      <c r="L3740">
        <v>111780748.125</v>
      </c>
      <c r="M3740">
        <v>123575008.2639</v>
      </c>
      <c r="N3740">
        <v>-27221716.8378</v>
      </c>
      <c r="O3740">
        <v>343276412.99599999</v>
      </c>
      <c r="P3740">
        <v>119</v>
      </c>
      <c r="Q3740" t="s">
        <v>7524</v>
      </c>
    </row>
    <row r="3741" spans="1:17" x14ac:dyDescent="0.3">
      <c r="A3741" t="s">
        <v>4382</v>
      </c>
      <c r="B3741" t="str">
        <f>"200550"</f>
        <v>200550</v>
      </c>
      <c r="C3741" t="s">
        <v>7525</v>
      </c>
      <c r="F3741">
        <v>-1590229819.9036</v>
      </c>
      <c r="G3741">
        <v>-17678345.9245</v>
      </c>
      <c r="H3741">
        <v>48323259.549999997</v>
      </c>
      <c r="I3741">
        <v>-3595413413.3871002</v>
      </c>
      <c r="J3741">
        <v>-2367971184.3134999</v>
      </c>
      <c r="K3741">
        <v>1437512632.0818999</v>
      </c>
      <c r="L3741">
        <v>-1646501426.5164001</v>
      </c>
      <c r="M3741">
        <v>949041956.78460002</v>
      </c>
      <c r="N3741">
        <v>1817191289.4426</v>
      </c>
      <c r="O3741">
        <v>263828555.17680001</v>
      </c>
      <c r="P3741">
        <v>154</v>
      </c>
      <c r="Q3741" t="s">
        <v>7526</v>
      </c>
    </row>
    <row r="3742" spans="1:17" x14ac:dyDescent="0.3">
      <c r="A3742" t="s">
        <v>4382</v>
      </c>
      <c r="B3742" t="str">
        <f>"200553"</f>
        <v>200553</v>
      </c>
      <c r="C3742" t="s">
        <v>7527</v>
      </c>
      <c r="F3742">
        <v>480092731.5</v>
      </c>
      <c r="G3742">
        <v>123133091.40000001</v>
      </c>
      <c r="H3742">
        <v>-892056021.10000002</v>
      </c>
      <c r="I3742">
        <v>1027396436.7</v>
      </c>
      <c r="J3742">
        <v>1825753357.2</v>
      </c>
      <c r="K3742">
        <v>160205325.66280001</v>
      </c>
      <c r="L3742">
        <v>-205700908.23179999</v>
      </c>
      <c r="M3742">
        <v>342886568.42189997</v>
      </c>
      <c r="N3742">
        <v>475669778.04720002</v>
      </c>
      <c r="O3742">
        <v>248565005.37599999</v>
      </c>
      <c r="P3742">
        <v>58</v>
      </c>
      <c r="Q3742" t="s">
        <v>7528</v>
      </c>
    </row>
    <row r="3743" spans="1:17" x14ac:dyDescent="0.3">
      <c r="A3743" t="s">
        <v>4382</v>
      </c>
      <c r="B3743" t="str">
        <f>"200570"</f>
        <v>200570</v>
      </c>
      <c r="C3743" t="s">
        <v>7529</v>
      </c>
      <c r="F3743">
        <v>-525310747.92930001</v>
      </c>
      <c r="G3743">
        <v>-109548773.536</v>
      </c>
      <c r="H3743">
        <v>-211685005.52000001</v>
      </c>
      <c r="I3743">
        <v>-92499732.697500005</v>
      </c>
      <c r="J3743">
        <v>-146737436.32440001</v>
      </c>
      <c r="K3743">
        <v>16569390.304500001</v>
      </c>
      <c r="L3743">
        <v>59711390.314800002</v>
      </c>
      <c r="M3743">
        <v>-192144338.67210001</v>
      </c>
      <c r="N3743">
        <v>-75614753.750400007</v>
      </c>
      <c r="O3743">
        <v>176677269.8576</v>
      </c>
      <c r="P3743">
        <v>10</v>
      </c>
      <c r="Q3743" t="s">
        <v>7530</v>
      </c>
    </row>
    <row r="3744" spans="1:17" x14ac:dyDescent="0.3">
      <c r="A3744" t="s">
        <v>4382</v>
      </c>
      <c r="B3744" t="str">
        <f>"200581"</f>
        <v>200581</v>
      </c>
      <c r="C3744" t="s">
        <v>7531</v>
      </c>
      <c r="F3744">
        <v>-2510440.1310000001</v>
      </c>
      <c r="G3744">
        <v>834419778.50960004</v>
      </c>
      <c r="H3744">
        <v>1044818335.2316</v>
      </c>
      <c r="I3744">
        <v>103529450.046</v>
      </c>
      <c r="J3744">
        <v>226244532.73590001</v>
      </c>
      <c r="K3744">
        <v>35931707.833499998</v>
      </c>
      <c r="L3744">
        <v>194303677.63710001</v>
      </c>
      <c r="M3744">
        <v>112083435.7128</v>
      </c>
      <c r="N3744">
        <v>416357031.85470003</v>
      </c>
      <c r="O3744">
        <v>1030607313.4024</v>
      </c>
      <c r="P3744">
        <v>448</v>
      </c>
      <c r="Q3744" t="s">
        <v>7532</v>
      </c>
    </row>
    <row r="3745" spans="1:17" x14ac:dyDescent="0.3">
      <c r="A3745" t="s">
        <v>4382</v>
      </c>
      <c r="B3745" t="str">
        <f>"200596"</f>
        <v>200596</v>
      </c>
      <c r="C3745" t="s">
        <v>7533</v>
      </c>
      <c r="F3745">
        <v>4258903606.0903001</v>
      </c>
      <c r="G3745">
        <v>2477484186.7617998</v>
      </c>
      <c r="H3745">
        <v>2191554246.0078001</v>
      </c>
      <c r="I3745">
        <v>2621680231.7063999</v>
      </c>
      <c r="J3745">
        <v>1245131682.2558999</v>
      </c>
      <c r="K3745">
        <v>1264066128.6789999</v>
      </c>
      <c r="L3745">
        <v>630526649.57369995</v>
      </c>
      <c r="M3745">
        <v>-67228661.7315</v>
      </c>
      <c r="N3745">
        <v>287652226.68989998</v>
      </c>
      <c r="O3745">
        <v>801595664.4576</v>
      </c>
      <c r="P3745">
        <v>745</v>
      </c>
      <c r="Q3745" t="s">
        <v>7534</v>
      </c>
    </row>
    <row r="3746" spans="1:17" x14ac:dyDescent="0.3">
      <c r="A3746" t="s">
        <v>4382</v>
      </c>
      <c r="B3746" t="str">
        <f>"200613"</f>
        <v>200613</v>
      </c>
      <c r="C3746" t="s">
        <v>7535</v>
      </c>
      <c r="F3746">
        <v>13274028.502499999</v>
      </c>
      <c r="G3746">
        <v>-23422397.883400001</v>
      </c>
      <c r="H3746">
        <v>-9185333.1054999996</v>
      </c>
      <c r="I3746">
        <v>4146467.5266</v>
      </c>
      <c r="J3746">
        <v>-1736760.8988000001</v>
      </c>
      <c r="K3746">
        <v>941011.63710000005</v>
      </c>
      <c r="L3746">
        <v>-1899898.2111</v>
      </c>
      <c r="M3746">
        <v>3246914.1327</v>
      </c>
      <c r="N3746">
        <v>1967933.9556</v>
      </c>
      <c r="O3746">
        <v>-1726034.3632</v>
      </c>
      <c r="P3746">
        <v>4</v>
      </c>
      <c r="Q3746" t="s">
        <v>7536</v>
      </c>
    </row>
    <row r="3747" spans="1:17" x14ac:dyDescent="0.3">
      <c r="A3747" t="s">
        <v>4382</v>
      </c>
      <c r="B3747" t="str">
        <f>"200625"</f>
        <v>200625</v>
      </c>
      <c r="C3747" t="s">
        <v>7537</v>
      </c>
      <c r="F3747">
        <v>25663469598.662899</v>
      </c>
      <c r="G3747">
        <v>4823005706.3027</v>
      </c>
      <c r="H3747">
        <v>496853100.15210003</v>
      </c>
      <c r="I3747">
        <v>-4170570544.2873001</v>
      </c>
      <c r="J3747">
        <v>-1991441579.6145</v>
      </c>
      <c r="K3747">
        <v>3285333933.1659999</v>
      </c>
      <c r="L3747">
        <v>7569098394.4488001</v>
      </c>
      <c r="M3747">
        <v>4417742343.7511997</v>
      </c>
      <c r="N3747">
        <v>1365117693.5583</v>
      </c>
      <c r="O3747">
        <v>-3537379818.8095999</v>
      </c>
      <c r="P3747">
        <v>710</v>
      </c>
      <c r="Q3747" t="s">
        <v>7538</v>
      </c>
    </row>
    <row r="3748" spans="1:17" x14ac:dyDescent="0.3">
      <c r="A3748" t="s">
        <v>4382</v>
      </c>
      <c r="B3748" t="str">
        <f>"200706"</f>
        <v>200706</v>
      </c>
      <c r="C3748" t="s">
        <v>7539</v>
      </c>
      <c r="F3748">
        <v>-5530767.2439000001</v>
      </c>
      <c r="G3748">
        <v>155306714.50389999</v>
      </c>
      <c r="H3748">
        <v>115420802.40790001</v>
      </c>
      <c r="I3748">
        <v>161057335.3308</v>
      </c>
      <c r="J3748">
        <v>-52016159.986199997</v>
      </c>
      <c r="K3748">
        <v>-23140542.859499998</v>
      </c>
      <c r="L3748">
        <v>206458248.58770001</v>
      </c>
      <c r="M3748">
        <v>101914196.9082</v>
      </c>
      <c r="N3748">
        <v>-92135209.286699995</v>
      </c>
      <c r="O3748">
        <v>158967436.74720001</v>
      </c>
      <c r="P3748">
        <v>7</v>
      </c>
      <c r="Q3748" t="s">
        <v>7540</v>
      </c>
    </row>
    <row r="3749" spans="1:17" x14ac:dyDescent="0.3">
      <c r="A3749" t="s">
        <v>4382</v>
      </c>
      <c r="B3749" t="str">
        <f>"200725"</f>
        <v>200725</v>
      </c>
      <c r="C3749" t="s">
        <v>7541</v>
      </c>
      <c r="F3749">
        <v>19215373972.7295</v>
      </c>
      <c r="G3749">
        <v>-9043880950.1998005</v>
      </c>
      <c r="H3749">
        <v>-23344310278.98</v>
      </c>
      <c r="I3749">
        <v>-22134142334.706299</v>
      </c>
      <c r="J3749">
        <v>-20193996601.5495</v>
      </c>
      <c r="K3749">
        <v>-10264518169.804899</v>
      </c>
      <c r="L3749">
        <v>-7159086039.8810997</v>
      </c>
      <c r="M3749">
        <v>-12207657372.7416</v>
      </c>
      <c r="N3749">
        <v>-10304650183.183201</v>
      </c>
      <c r="O3749">
        <v>-2862462325.0120001</v>
      </c>
      <c r="P3749">
        <v>85</v>
      </c>
      <c r="Q3749" t="s">
        <v>7542</v>
      </c>
    </row>
    <row r="3750" spans="1:17" x14ac:dyDescent="0.3">
      <c r="A3750" t="s">
        <v>4382</v>
      </c>
      <c r="B3750" t="str">
        <f>"200726"</f>
        <v>200726</v>
      </c>
      <c r="C3750" t="s">
        <v>7543</v>
      </c>
      <c r="F3750">
        <v>-137800636.88909999</v>
      </c>
      <c r="G3750">
        <v>-9729279.8263000008</v>
      </c>
      <c r="H3750">
        <v>-139503895.44350001</v>
      </c>
      <c r="I3750">
        <v>397747349.83499998</v>
      </c>
      <c r="J3750">
        <v>492130672.05779999</v>
      </c>
      <c r="K3750">
        <v>593669063.77450001</v>
      </c>
      <c r="L3750">
        <v>711868650.2586</v>
      </c>
      <c r="M3750">
        <v>297519633.99839997</v>
      </c>
      <c r="N3750">
        <v>570519579.83759999</v>
      </c>
      <c r="O3750">
        <v>243685181.46799999</v>
      </c>
      <c r="P3750">
        <v>329</v>
      </c>
      <c r="Q3750" t="s">
        <v>7544</v>
      </c>
    </row>
    <row r="3751" spans="1:17" x14ac:dyDescent="0.3">
      <c r="A3751" t="s">
        <v>4382</v>
      </c>
      <c r="B3751" t="str">
        <f>"200761"</f>
        <v>200761</v>
      </c>
      <c r="C3751" t="s">
        <v>7545</v>
      </c>
      <c r="F3751">
        <v>-299181550.59429997</v>
      </c>
      <c r="G3751">
        <v>-3607006175.3014998</v>
      </c>
      <c r="H3751">
        <v>3521541463.0149002</v>
      </c>
      <c r="I3751">
        <v>6460468657.0382996</v>
      </c>
      <c r="J3751">
        <v>-5928195887.3327999</v>
      </c>
      <c r="K3751">
        <v>3061983725.0657001</v>
      </c>
      <c r="L3751">
        <v>-4108147087.7870998</v>
      </c>
      <c r="M3751">
        <v>-1864441034.2070999</v>
      </c>
      <c r="N3751">
        <v>-1210735164.4640999</v>
      </c>
      <c r="O3751">
        <v>-1339079587.5655999</v>
      </c>
      <c r="P3751">
        <v>41</v>
      </c>
      <c r="Q3751" t="s">
        <v>7546</v>
      </c>
    </row>
    <row r="3752" spans="1:17" x14ac:dyDescent="0.3">
      <c r="A3752" t="s">
        <v>4382</v>
      </c>
      <c r="B3752" t="str">
        <f>"200770"</f>
        <v>200770</v>
      </c>
      <c r="C3752" t="s">
        <v>7547</v>
      </c>
      <c r="K3752">
        <v>-220787654.2899</v>
      </c>
      <c r="L3752">
        <v>72828784.270899996</v>
      </c>
      <c r="M3752">
        <v>529463685.43269998</v>
      </c>
      <c r="N3752">
        <v>-45775809.938500002</v>
      </c>
      <c r="O3752">
        <v>135943706.6103</v>
      </c>
      <c r="P3752">
        <v>0</v>
      </c>
      <c r="Q3752" t="s">
        <v>7548</v>
      </c>
    </row>
    <row r="3753" spans="1:17" x14ac:dyDescent="0.3">
      <c r="A3753" t="s">
        <v>4382</v>
      </c>
      <c r="B3753" t="str">
        <f>"200771"</f>
        <v>200771</v>
      </c>
      <c r="C3753" t="s">
        <v>7549</v>
      </c>
      <c r="F3753">
        <v>-371640742.51980001</v>
      </c>
      <c r="G3753">
        <v>-104286860.4029</v>
      </c>
      <c r="H3753">
        <v>-158799756.632</v>
      </c>
      <c r="I3753">
        <v>314783236.24919999</v>
      </c>
      <c r="J3753">
        <v>276229002.92220002</v>
      </c>
      <c r="K3753">
        <v>346195228.50919998</v>
      </c>
      <c r="L3753">
        <v>281521673.43239999</v>
      </c>
      <c r="M3753">
        <v>186384630.3294</v>
      </c>
      <c r="N3753">
        <v>86168276.329500005</v>
      </c>
      <c r="O3753">
        <v>573999092.17200005</v>
      </c>
      <c r="P3753">
        <v>65</v>
      </c>
      <c r="Q3753" t="s">
        <v>7550</v>
      </c>
    </row>
    <row r="3754" spans="1:17" x14ac:dyDescent="0.3">
      <c r="A3754" t="s">
        <v>4382</v>
      </c>
      <c r="B3754" t="str">
        <f>"200869"</f>
        <v>200869</v>
      </c>
      <c r="C3754" t="s">
        <v>7551</v>
      </c>
      <c r="F3754">
        <v>763813435.80550003</v>
      </c>
      <c r="G3754">
        <v>174238855.3495</v>
      </c>
      <c r="H3754">
        <v>487061770.77710003</v>
      </c>
      <c r="I3754">
        <v>664252889.92859995</v>
      </c>
      <c r="J3754">
        <v>530583690.54479998</v>
      </c>
      <c r="K3754">
        <v>521035911.41680002</v>
      </c>
      <c r="L3754">
        <v>788597965.23570001</v>
      </c>
      <c r="M3754">
        <v>531827850.73199999</v>
      </c>
      <c r="N3754">
        <v>56274755.218199998</v>
      </c>
      <c r="O3754">
        <v>129056248.432</v>
      </c>
      <c r="P3754">
        <v>348</v>
      </c>
      <c r="Q3754" t="s">
        <v>7552</v>
      </c>
    </row>
    <row r="3755" spans="1:17" x14ac:dyDescent="0.3">
      <c r="A3755" t="s">
        <v>4382</v>
      </c>
      <c r="B3755" t="str">
        <f>"200986"</f>
        <v>200986</v>
      </c>
      <c r="C3755" t="s">
        <v>7553</v>
      </c>
      <c r="G3755">
        <v>351093932.47310001</v>
      </c>
      <c r="H3755">
        <v>67069327.384800002</v>
      </c>
      <c r="I3755">
        <v>440056738.37519997</v>
      </c>
      <c r="J3755">
        <v>-21213971.499899998</v>
      </c>
      <c r="K3755">
        <v>-179785413.75920001</v>
      </c>
      <c r="L3755">
        <v>475846033.36470002</v>
      </c>
      <c r="M3755">
        <v>71828693.966100007</v>
      </c>
      <c r="N3755">
        <v>89890033.164299995</v>
      </c>
      <c r="O3755">
        <v>-351436646.26319999</v>
      </c>
      <c r="P3755">
        <v>8</v>
      </c>
      <c r="Q3755" t="s">
        <v>7554</v>
      </c>
    </row>
    <row r="3756" spans="1:17" x14ac:dyDescent="0.3">
      <c r="A3756" t="s">
        <v>4382</v>
      </c>
      <c r="B3756" t="str">
        <f>"200992"</f>
        <v>200992</v>
      </c>
      <c r="C3756" t="s">
        <v>7555</v>
      </c>
      <c r="F3756">
        <v>-53978431.530100003</v>
      </c>
      <c r="G3756">
        <v>79286898.942599997</v>
      </c>
      <c r="H3756">
        <v>24009692.4617</v>
      </c>
      <c r="I3756">
        <v>54426366.586800002</v>
      </c>
      <c r="J3756">
        <v>-138856417.77000001</v>
      </c>
      <c r="K3756">
        <v>26688817.6525</v>
      </c>
      <c r="L3756">
        <v>35111045.890199997</v>
      </c>
      <c r="M3756">
        <v>-37339733.390699998</v>
      </c>
      <c r="N3756">
        <v>-32851470.881700002</v>
      </c>
      <c r="O3756">
        <v>-44032635.4384</v>
      </c>
      <c r="P3756">
        <v>22</v>
      </c>
      <c r="Q3756" t="s">
        <v>7556</v>
      </c>
    </row>
    <row r="3757" spans="1:17" x14ac:dyDescent="0.3">
      <c r="A3757" t="s">
        <v>4382</v>
      </c>
      <c r="B3757" t="str">
        <f>"201872"</f>
        <v>201872</v>
      </c>
      <c r="C3757" t="s">
        <v>7557</v>
      </c>
      <c r="F3757">
        <v>3851137416.8393002</v>
      </c>
      <c r="G3757">
        <v>2562522202.3599</v>
      </c>
      <c r="H3757">
        <v>8377103702.6192999</v>
      </c>
      <c r="I3757">
        <v>497640409.94340003</v>
      </c>
      <c r="J3757">
        <v>917586201.54960001</v>
      </c>
      <c r="K3757">
        <v>553245790.63279998</v>
      </c>
      <c r="L3757">
        <v>672666338.48370004</v>
      </c>
      <c r="M3757">
        <v>487357790.06279999</v>
      </c>
      <c r="N3757">
        <v>430091070.97140002</v>
      </c>
      <c r="O3757">
        <v>186071446.39680001</v>
      </c>
      <c r="P3757">
        <v>90</v>
      </c>
      <c r="Q3757" t="s">
        <v>7558</v>
      </c>
    </row>
    <row r="3758" spans="1:17" x14ac:dyDescent="0.3">
      <c r="A3758" t="s">
        <v>4382</v>
      </c>
      <c r="B3758" t="str">
        <f>"300001"</f>
        <v>300001</v>
      </c>
      <c r="C3758" t="s">
        <v>7559</v>
      </c>
      <c r="D3758" t="s">
        <v>188</v>
      </c>
      <c r="F3758">
        <v>-1296897606</v>
      </c>
      <c r="G3758">
        <v>-729083548</v>
      </c>
      <c r="H3758">
        <v>-293038488</v>
      </c>
      <c r="I3758">
        <v>-281614835</v>
      </c>
      <c r="J3758">
        <v>-1709584884</v>
      </c>
      <c r="K3758">
        <v>-438207285</v>
      </c>
      <c r="L3758">
        <v>-440500755</v>
      </c>
      <c r="M3758">
        <v>-271782275</v>
      </c>
      <c r="N3758">
        <v>-80014028</v>
      </c>
      <c r="O3758">
        <v>-83994981</v>
      </c>
      <c r="P3758">
        <v>530</v>
      </c>
      <c r="Q3758" t="s">
        <v>7560</v>
      </c>
    </row>
    <row r="3759" spans="1:17" x14ac:dyDescent="0.3">
      <c r="A3759" t="s">
        <v>4382</v>
      </c>
      <c r="B3759" t="str">
        <f>"300002"</f>
        <v>300002</v>
      </c>
      <c r="C3759" t="s">
        <v>7561</v>
      </c>
      <c r="D3759" t="s">
        <v>89</v>
      </c>
      <c r="F3759">
        <v>78584538</v>
      </c>
      <c r="G3759">
        <v>215663324</v>
      </c>
      <c r="H3759">
        <v>-79942571</v>
      </c>
      <c r="I3759">
        <v>-119491806</v>
      </c>
      <c r="J3759">
        <v>-260987305</v>
      </c>
      <c r="K3759">
        <v>-28075715</v>
      </c>
      <c r="L3759">
        <v>-199180221</v>
      </c>
      <c r="M3759">
        <v>-348318639</v>
      </c>
      <c r="N3759">
        <v>-21547694</v>
      </c>
      <c r="O3759">
        <v>976551</v>
      </c>
      <c r="P3759">
        <v>282</v>
      </c>
      <c r="Q3759" t="s">
        <v>7562</v>
      </c>
    </row>
    <row r="3760" spans="1:17" x14ac:dyDescent="0.3">
      <c r="A3760" t="s">
        <v>4382</v>
      </c>
      <c r="B3760" t="str">
        <f>"300003"</f>
        <v>300003</v>
      </c>
      <c r="C3760" t="s">
        <v>7563</v>
      </c>
      <c r="D3760" t="s">
        <v>113</v>
      </c>
      <c r="F3760">
        <v>1618126424</v>
      </c>
      <c r="G3760">
        <v>1157083203</v>
      </c>
      <c r="H3760">
        <v>883953158</v>
      </c>
      <c r="I3760">
        <v>156536388</v>
      </c>
      <c r="J3760">
        <v>-8547502</v>
      </c>
      <c r="K3760">
        <v>452591837</v>
      </c>
      <c r="L3760">
        <v>109960062</v>
      </c>
      <c r="M3760">
        <v>102876527</v>
      </c>
      <c r="N3760">
        <v>159778290</v>
      </c>
      <c r="O3760">
        <v>118546561</v>
      </c>
      <c r="P3760">
        <v>3270</v>
      </c>
      <c r="Q3760" t="s">
        <v>7564</v>
      </c>
    </row>
    <row r="3761" spans="1:17" x14ac:dyDescent="0.3">
      <c r="A3761" t="s">
        <v>4382</v>
      </c>
      <c r="B3761" t="str">
        <f>"300004"</f>
        <v>300004</v>
      </c>
      <c r="C3761" t="s">
        <v>7565</v>
      </c>
      <c r="D3761" t="s">
        <v>78</v>
      </c>
      <c r="F3761">
        <v>-34176901</v>
      </c>
      <c r="G3761">
        <v>-257073483</v>
      </c>
      <c r="H3761">
        <v>54373791</v>
      </c>
      <c r="I3761">
        <v>138768248</v>
      </c>
      <c r="J3761">
        <v>-98594970</v>
      </c>
      <c r="K3761">
        <v>26550961</v>
      </c>
      <c r="L3761">
        <v>10798460</v>
      </c>
      <c r="M3761">
        <v>-78634032</v>
      </c>
      <c r="N3761">
        <v>-58654750</v>
      </c>
      <c r="O3761">
        <v>27118973</v>
      </c>
      <c r="P3761">
        <v>84</v>
      </c>
      <c r="Q3761" t="s">
        <v>7566</v>
      </c>
    </row>
    <row r="3762" spans="1:17" x14ac:dyDescent="0.3">
      <c r="A3762" t="s">
        <v>4382</v>
      </c>
      <c r="B3762" t="str">
        <f>"300005"</f>
        <v>300005</v>
      </c>
      <c r="C3762" t="s">
        <v>7567</v>
      </c>
      <c r="D3762" t="s">
        <v>227</v>
      </c>
      <c r="F3762">
        <v>-108557768</v>
      </c>
      <c r="G3762">
        <v>-261970130</v>
      </c>
      <c r="H3762">
        <v>-130468653</v>
      </c>
      <c r="I3762">
        <v>-307689734</v>
      </c>
      <c r="J3762">
        <v>-280396266</v>
      </c>
      <c r="K3762">
        <v>-259035654</v>
      </c>
      <c r="L3762">
        <v>-222699500</v>
      </c>
      <c r="M3762">
        <v>-91503004</v>
      </c>
      <c r="N3762">
        <v>-43725676</v>
      </c>
      <c r="O3762">
        <v>-52239485</v>
      </c>
      <c r="P3762">
        <v>181</v>
      </c>
      <c r="Q3762" t="s">
        <v>7568</v>
      </c>
    </row>
    <row r="3763" spans="1:17" x14ac:dyDescent="0.3">
      <c r="A3763" t="s">
        <v>4382</v>
      </c>
      <c r="B3763" t="str">
        <f>"300006"</f>
        <v>300006</v>
      </c>
      <c r="C3763" t="s">
        <v>7569</v>
      </c>
      <c r="D3763" t="s">
        <v>113</v>
      </c>
      <c r="F3763">
        <v>43384847</v>
      </c>
      <c r="G3763">
        <v>188307932</v>
      </c>
      <c r="H3763">
        <v>76980143</v>
      </c>
      <c r="I3763">
        <v>25811553</v>
      </c>
      <c r="J3763">
        <v>16092778</v>
      </c>
      <c r="K3763">
        <v>-31870758</v>
      </c>
      <c r="L3763">
        <v>-15051987</v>
      </c>
      <c r="M3763">
        <v>-109678532</v>
      </c>
      <c r="N3763">
        <v>-224434096</v>
      </c>
      <c r="O3763">
        <v>-118292451</v>
      </c>
      <c r="P3763">
        <v>136</v>
      </c>
      <c r="Q3763" t="s">
        <v>7570</v>
      </c>
    </row>
    <row r="3764" spans="1:17" x14ac:dyDescent="0.3">
      <c r="A3764" t="s">
        <v>4382</v>
      </c>
      <c r="B3764" t="str">
        <f>"300007"</f>
        <v>300007</v>
      </c>
      <c r="C3764" t="s">
        <v>7571</v>
      </c>
      <c r="D3764" t="s">
        <v>78</v>
      </c>
      <c r="F3764">
        <v>-219481475</v>
      </c>
      <c r="G3764">
        <v>86485681</v>
      </c>
      <c r="H3764">
        <v>-150069450</v>
      </c>
      <c r="I3764">
        <v>-188029221</v>
      </c>
      <c r="J3764">
        <v>-58245883</v>
      </c>
      <c r="K3764">
        <v>8840195</v>
      </c>
      <c r="L3764">
        <v>68345514</v>
      </c>
      <c r="M3764">
        <v>-51465128</v>
      </c>
      <c r="N3764">
        <v>-49373036</v>
      </c>
      <c r="O3764">
        <v>-73106198</v>
      </c>
      <c r="P3764">
        <v>315</v>
      </c>
      <c r="Q3764" t="s">
        <v>7572</v>
      </c>
    </row>
    <row r="3765" spans="1:17" x14ac:dyDescent="0.3">
      <c r="A3765" t="s">
        <v>4382</v>
      </c>
      <c r="B3765" t="str">
        <f>"300008"</f>
        <v>300008</v>
      </c>
      <c r="C3765" t="s">
        <v>7573</v>
      </c>
      <c r="D3765" t="s">
        <v>92</v>
      </c>
      <c r="F3765">
        <v>-192016251</v>
      </c>
      <c r="G3765">
        <v>-2844311</v>
      </c>
      <c r="H3765">
        <v>-47275157</v>
      </c>
      <c r="I3765">
        <v>-11405691</v>
      </c>
      <c r="J3765">
        <v>-162295924</v>
      </c>
      <c r="K3765">
        <v>-385694699</v>
      </c>
      <c r="L3765">
        <v>-119669327</v>
      </c>
      <c r="M3765">
        <v>-118901207</v>
      </c>
      <c r="N3765">
        <v>-22557975</v>
      </c>
      <c r="O3765">
        <v>-71467216</v>
      </c>
      <c r="P3765">
        <v>107</v>
      </c>
      <c r="Q3765" t="s">
        <v>7574</v>
      </c>
    </row>
    <row r="3766" spans="1:17" x14ac:dyDescent="0.3">
      <c r="A3766" t="s">
        <v>4382</v>
      </c>
      <c r="B3766" t="str">
        <f>"300009"</f>
        <v>300009</v>
      </c>
      <c r="C3766" t="s">
        <v>7575</v>
      </c>
      <c r="D3766" t="s">
        <v>113</v>
      </c>
      <c r="F3766">
        <v>312748679</v>
      </c>
      <c r="G3766">
        <v>128366663</v>
      </c>
      <c r="H3766">
        <v>17058128</v>
      </c>
      <c r="I3766">
        <v>44325569</v>
      </c>
      <c r="J3766">
        <v>71652955</v>
      </c>
      <c r="K3766">
        <v>88481022</v>
      </c>
      <c r="L3766">
        <v>51421256</v>
      </c>
      <c r="M3766">
        <v>-9117629</v>
      </c>
      <c r="N3766">
        <v>12500378</v>
      </c>
      <c r="O3766">
        <v>-21845595</v>
      </c>
      <c r="P3766">
        <v>842</v>
      </c>
      <c r="Q3766" t="s">
        <v>7576</v>
      </c>
    </row>
    <row r="3767" spans="1:17" x14ac:dyDescent="0.3">
      <c r="A3767" t="s">
        <v>4382</v>
      </c>
      <c r="B3767" t="str">
        <f>"300010"</f>
        <v>300010</v>
      </c>
      <c r="C3767" t="s">
        <v>7577</v>
      </c>
      <c r="D3767" t="s">
        <v>110</v>
      </c>
      <c r="F3767">
        <v>-143072226</v>
      </c>
      <c r="G3767">
        <v>-382917061</v>
      </c>
      <c r="H3767">
        <v>-25997038</v>
      </c>
      <c r="I3767">
        <v>-358037375</v>
      </c>
      <c r="J3767">
        <v>-557627084</v>
      </c>
      <c r="K3767">
        <v>-299996099</v>
      </c>
      <c r="L3767">
        <v>-119079650</v>
      </c>
      <c r="M3767">
        <v>-66294787</v>
      </c>
      <c r="N3767">
        <v>-62202200</v>
      </c>
      <c r="O3767">
        <v>-20962420</v>
      </c>
      <c r="P3767">
        <v>262</v>
      </c>
      <c r="Q3767" t="s">
        <v>7578</v>
      </c>
    </row>
    <row r="3768" spans="1:17" x14ac:dyDescent="0.3">
      <c r="A3768" t="s">
        <v>4382</v>
      </c>
      <c r="B3768" t="str">
        <f>"300011"</f>
        <v>300011</v>
      </c>
      <c r="C3768" t="s">
        <v>7579</v>
      </c>
      <c r="D3768" t="s">
        <v>78</v>
      </c>
      <c r="F3768">
        <v>-13512069</v>
      </c>
      <c r="G3768">
        <v>-54550438</v>
      </c>
      <c r="H3768">
        <v>-34994228</v>
      </c>
      <c r="I3768">
        <v>-62296639</v>
      </c>
      <c r="J3768">
        <v>-99706258</v>
      </c>
      <c r="K3768">
        <v>-109014722</v>
      </c>
      <c r="L3768">
        <v>27498060</v>
      </c>
      <c r="M3768">
        <v>-41259434</v>
      </c>
      <c r="N3768">
        <v>-64450588</v>
      </c>
      <c r="O3768">
        <v>-69389749</v>
      </c>
      <c r="P3768">
        <v>109</v>
      </c>
      <c r="Q3768" t="s">
        <v>7580</v>
      </c>
    </row>
    <row r="3769" spans="1:17" x14ac:dyDescent="0.3">
      <c r="A3769" t="s">
        <v>4382</v>
      </c>
      <c r="B3769" t="str">
        <f>"300012"</f>
        <v>300012</v>
      </c>
      <c r="C3769" t="s">
        <v>7581</v>
      </c>
      <c r="D3769" t="s">
        <v>110</v>
      </c>
      <c r="F3769">
        <v>3296912</v>
      </c>
      <c r="G3769">
        <v>-12827668</v>
      </c>
      <c r="H3769">
        <v>-41981563</v>
      </c>
      <c r="I3769">
        <v>-84545694</v>
      </c>
      <c r="J3769">
        <v>-315953227</v>
      </c>
      <c r="K3769">
        <v>-153346693</v>
      </c>
      <c r="L3769">
        <v>-130651617</v>
      </c>
      <c r="M3769">
        <v>-68998114</v>
      </c>
      <c r="N3769">
        <v>-30803736</v>
      </c>
      <c r="O3769">
        <v>-44123709</v>
      </c>
      <c r="P3769">
        <v>1304</v>
      </c>
      <c r="Q3769" t="s">
        <v>7582</v>
      </c>
    </row>
    <row r="3770" spans="1:17" x14ac:dyDescent="0.3">
      <c r="A3770" t="s">
        <v>4382</v>
      </c>
      <c r="B3770" t="str">
        <f>"300013"</f>
        <v>300013</v>
      </c>
      <c r="C3770" t="s">
        <v>7583</v>
      </c>
      <c r="D3770" t="s">
        <v>22</v>
      </c>
      <c r="F3770">
        <v>138034989</v>
      </c>
      <c r="G3770">
        <v>-54371443</v>
      </c>
      <c r="H3770">
        <v>-48084731</v>
      </c>
      <c r="I3770">
        <v>-99195505</v>
      </c>
      <c r="J3770">
        <v>-104718494</v>
      </c>
      <c r="K3770">
        <v>-169742150</v>
      </c>
      <c r="L3770">
        <v>-35743907</v>
      </c>
      <c r="M3770">
        <v>-12076595</v>
      </c>
      <c r="N3770">
        <v>-20021413</v>
      </c>
      <c r="O3770">
        <v>-26758419</v>
      </c>
      <c r="P3770">
        <v>70</v>
      </c>
      <c r="Q3770" t="s">
        <v>7584</v>
      </c>
    </row>
    <row r="3771" spans="1:17" x14ac:dyDescent="0.3">
      <c r="A3771" t="s">
        <v>4382</v>
      </c>
      <c r="B3771" t="str">
        <f>"300014"</f>
        <v>300014</v>
      </c>
      <c r="C3771" t="s">
        <v>7585</v>
      </c>
      <c r="D3771" t="s">
        <v>188</v>
      </c>
      <c r="F3771">
        <v>-3292797802</v>
      </c>
      <c r="G3771">
        <v>-249498626</v>
      </c>
      <c r="H3771">
        <v>-531987924</v>
      </c>
      <c r="I3771">
        <v>-509009295</v>
      </c>
      <c r="J3771">
        <v>-1191155364</v>
      </c>
      <c r="K3771">
        <v>-630986105</v>
      </c>
      <c r="L3771">
        <v>-127176312</v>
      </c>
      <c r="M3771">
        <v>-134286366</v>
      </c>
      <c r="N3771">
        <v>79753711</v>
      </c>
      <c r="O3771">
        <v>-54919645</v>
      </c>
      <c r="P3771">
        <v>2494</v>
      </c>
      <c r="Q3771" t="s">
        <v>7586</v>
      </c>
    </row>
    <row r="3772" spans="1:17" x14ac:dyDescent="0.3">
      <c r="A3772" t="s">
        <v>4382</v>
      </c>
      <c r="B3772" t="str">
        <f>"300015"</f>
        <v>300015</v>
      </c>
      <c r="C3772" t="s">
        <v>7587</v>
      </c>
      <c r="D3772" t="s">
        <v>113</v>
      </c>
      <c r="F3772">
        <v>2304480991</v>
      </c>
      <c r="G3772">
        <v>2086631693</v>
      </c>
      <c r="H3772">
        <v>1295117476</v>
      </c>
      <c r="I3772">
        <v>666513457</v>
      </c>
      <c r="J3772">
        <v>565947996</v>
      </c>
      <c r="K3772">
        <v>340355027</v>
      </c>
      <c r="L3772">
        <v>289087443</v>
      </c>
      <c r="M3772">
        <v>250679427</v>
      </c>
      <c r="N3772">
        <v>199330407</v>
      </c>
      <c r="O3772">
        <v>40300413</v>
      </c>
      <c r="P3772">
        <v>11105</v>
      </c>
      <c r="Q3772" t="s">
        <v>7588</v>
      </c>
    </row>
    <row r="3773" spans="1:17" x14ac:dyDescent="0.3">
      <c r="A3773" t="s">
        <v>4382</v>
      </c>
      <c r="B3773" t="str">
        <f>"300016"</f>
        <v>300016</v>
      </c>
      <c r="C3773" t="s">
        <v>7589</v>
      </c>
      <c r="D3773" t="s">
        <v>113</v>
      </c>
      <c r="F3773">
        <v>28768468</v>
      </c>
      <c r="G3773">
        <v>2733370</v>
      </c>
      <c r="H3773">
        <v>85194911</v>
      </c>
      <c r="I3773">
        <v>98924450</v>
      </c>
      <c r="J3773">
        <v>64420223</v>
      </c>
      <c r="K3773">
        <v>42605171</v>
      </c>
      <c r="L3773">
        <v>20815025</v>
      </c>
      <c r="M3773">
        <v>6665251</v>
      </c>
      <c r="N3773">
        <v>-12148387</v>
      </c>
      <c r="O3773">
        <v>-48861175</v>
      </c>
      <c r="P3773">
        <v>305</v>
      </c>
      <c r="Q3773" t="s">
        <v>7590</v>
      </c>
    </row>
    <row r="3774" spans="1:17" x14ac:dyDescent="0.3">
      <c r="A3774" t="s">
        <v>4382</v>
      </c>
      <c r="B3774" t="str">
        <f>"300017"</f>
        <v>300017</v>
      </c>
      <c r="C3774" t="s">
        <v>7591</v>
      </c>
      <c r="D3774" t="s">
        <v>212</v>
      </c>
      <c r="F3774">
        <v>387465107</v>
      </c>
      <c r="G3774">
        <v>259156893</v>
      </c>
      <c r="H3774">
        <v>-349578940</v>
      </c>
      <c r="I3774">
        <v>-639569762</v>
      </c>
      <c r="J3774">
        <v>-99235913</v>
      </c>
      <c r="K3774">
        <v>293545097</v>
      </c>
      <c r="L3774">
        <v>195723304</v>
      </c>
      <c r="M3774">
        <v>194052597</v>
      </c>
      <c r="N3774">
        <v>89036201</v>
      </c>
      <c r="O3774">
        <v>21763204</v>
      </c>
      <c r="P3774">
        <v>759</v>
      </c>
      <c r="Q3774" t="s">
        <v>7592</v>
      </c>
    </row>
    <row r="3775" spans="1:17" x14ac:dyDescent="0.3">
      <c r="A3775" t="s">
        <v>4382</v>
      </c>
      <c r="B3775" t="str">
        <f>"300018"</f>
        <v>300018</v>
      </c>
      <c r="C3775" t="s">
        <v>7593</v>
      </c>
      <c r="D3775" t="s">
        <v>188</v>
      </c>
      <c r="F3775">
        <v>-30593609</v>
      </c>
      <c r="G3775">
        <v>-18688392</v>
      </c>
      <c r="H3775">
        <v>22984443</v>
      </c>
      <c r="I3775">
        <v>-16788635</v>
      </c>
      <c r="J3775">
        <v>37289054</v>
      </c>
      <c r="K3775">
        <v>19890352</v>
      </c>
      <c r="L3775">
        <v>-6286357</v>
      </c>
      <c r="M3775">
        <v>-925264</v>
      </c>
      <c r="N3775">
        <v>-958061</v>
      </c>
      <c r="O3775">
        <v>-39661597</v>
      </c>
      <c r="P3775">
        <v>127</v>
      </c>
      <c r="Q3775" t="s">
        <v>7594</v>
      </c>
    </row>
    <row r="3776" spans="1:17" x14ac:dyDescent="0.3">
      <c r="A3776" t="s">
        <v>4382</v>
      </c>
      <c r="B3776" t="str">
        <f>"300019"</f>
        <v>300019</v>
      </c>
      <c r="C3776" t="s">
        <v>7595</v>
      </c>
      <c r="D3776" t="s">
        <v>133</v>
      </c>
      <c r="F3776">
        <v>-122187348</v>
      </c>
      <c r="G3776">
        <v>34375155</v>
      </c>
      <c r="H3776">
        <v>4539647</v>
      </c>
      <c r="I3776">
        <v>-5086991</v>
      </c>
      <c r="J3776">
        <v>37447561</v>
      </c>
      <c r="K3776">
        <v>346450</v>
      </c>
      <c r="L3776">
        <v>-17039775</v>
      </c>
      <c r="M3776">
        <v>-31066977</v>
      </c>
      <c r="N3776">
        <v>-2750742</v>
      </c>
      <c r="O3776">
        <v>-28447552</v>
      </c>
      <c r="P3776">
        <v>296</v>
      </c>
      <c r="Q3776" t="s">
        <v>7596</v>
      </c>
    </row>
    <row r="3777" spans="1:17" x14ac:dyDescent="0.3">
      <c r="A3777" t="s">
        <v>4382</v>
      </c>
      <c r="B3777" t="str">
        <f>"300020"</f>
        <v>300020</v>
      </c>
      <c r="C3777" t="s">
        <v>7597</v>
      </c>
      <c r="D3777" t="s">
        <v>212</v>
      </c>
      <c r="F3777">
        <v>-457867593</v>
      </c>
      <c r="G3777">
        <v>-196065597</v>
      </c>
      <c r="H3777">
        <v>-967103492</v>
      </c>
      <c r="I3777">
        <v>-885525618</v>
      </c>
      <c r="J3777">
        <v>-422463478</v>
      </c>
      <c r="K3777">
        <v>-491769127</v>
      </c>
      <c r="L3777">
        <v>-120930559</v>
      </c>
      <c r="M3777">
        <v>-248378773</v>
      </c>
      <c r="N3777">
        <v>-238016583</v>
      </c>
      <c r="O3777">
        <v>-70612278</v>
      </c>
      <c r="P3777">
        <v>237</v>
      </c>
      <c r="Q3777" t="s">
        <v>7598</v>
      </c>
    </row>
    <row r="3778" spans="1:17" x14ac:dyDescent="0.3">
      <c r="A3778" t="s">
        <v>4382</v>
      </c>
      <c r="B3778" t="str">
        <f>"300021"</f>
        <v>300021</v>
      </c>
      <c r="C3778" t="s">
        <v>7599</v>
      </c>
      <c r="D3778" t="s">
        <v>205</v>
      </c>
      <c r="F3778">
        <v>-470250247</v>
      </c>
      <c r="G3778">
        <v>-266490977</v>
      </c>
      <c r="H3778">
        <v>-215730522</v>
      </c>
      <c r="I3778">
        <v>4841470</v>
      </c>
      <c r="J3778">
        <v>-354193458</v>
      </c>
      <c r="K3778">
        <v>-239036053</v>
      </c>
      <c r="L3778">
        <v>-40314961</v>
      </c>
      <c r="M3778">
        <v>-129731752</v>
      </c>
      <c r="N3778">
        <v>-117545641</v>
      </c>
      <c r="O3778">
        <v>-118582265</v>
      </c>
      <c r="P3778">
        <v>174</v>
      </c>
      <c r="Q3778" t="s">
        <v>7600</v>
      </c>
    </row>
    <row r="3779" spans="1:17" x14ac:dyDescent="0.3">
      <c r="A3779" t="s">
        <v>4382</v>
      </c>
      <c r="B3779" t="str">
        <f>"300022"</f>
        <v>300022</v>
      </c>
      <c r="C3779" t="s">
        <v>7601</v>
      </c>
      <c r="D3779" t="s">
        <v>120</v>
      </c>
      <c r="F3779">
        <v>-8812183</v>
      </c>
      <c r="G3779">
        <v>114436922</v>
      </c>
      <c r="H3779">
        <v>-93632519</v>
      </c>
      <c r="I3779">
        <v>46197288</v>
      </c>
      <c r="J3779">
        <v>-49678945</v>
      </c>
      <c r="K3779">
        <v>115261783</v>
      </c>
      <c r="L3779">
        <v>-77155092</v>
      </c>
      <c r="M3779">
        <v>-33545021</v>
      </c>
      <c r="N3779">
        <v>-127885117</v>
      </c>
      <c r="O3779">
        <v>-93643799</v>
      </c>
      <c r="P3779">
        <v>63</v>
      </c>
      <c r="Q3779" t="s">
        <v>7602</v>
      </c>
    </row>
    <row r="3780" spans="1:17" x14ac:dyDescent="0.3">
      <c r="A3780" t="s">
        <v>4382</v>
      </c>
      <c r="B3780" t="str">
        <f>"300023"</f>
        <v>300023</v>
      </c>
      <c r="C3780" t="s">
        <v>7603</v>
      </c>
      <c r="D3780" t="s">
        <v>75</v>
      </c>
      <c r="F3780">
        <v>178191667</v>
      </c>
      <c r="G3780">
        <v>-10750157</v>
      </c>
      <c r="H3780">
        <v>568375330</v>
      </c>
      <c r="I3780">
        <v>1158114521</v>
      </c>
      <c r="J3780">
        <v>207037058</v>
      </c>
      <c r="K3780">
        <v>-3577671427</v>
      </c>
      <c r="L3780">
        <v>-1031590761</v>
      </c>
      <c r="M3780">
        <v>-18926191</v>
      </c>
      <c r="N3780">
        <v>-38342523</v>
      </c>
      <c r="O3780">
        <v>-51393970</v>
      </c>
      <c r="P3780">
        <v>61</v>
      </c>
      <c r="Q3780" t="s">
        <v>7604</v>
      </c>
    </row>
    <row r="3781" spans="1:17" x14ac:dyDescent="0.3">
      <c r="A3781" t="s">
        <v>4382</v>
      </c>
      <c r="B3781" t="str">
        <f>"300024"</f>
        <v>300024</v>
      </c>
      <c r="C3781" t="s">
        <v>7605</v>
      </c>
      <c r="D3781" t="s">
        <v>78</v>
      </c>
      <c r="F3781">
        <v>-390098951</v>
      </c>
      <c r="G3781">
        <v>-448094504</v>
      </c>
      <c r="H3781">
        <v>-611705307</v>
      </c>
      <c r="I3781">
        <v>-751283082</v>
      </c>
      <c r="J3781">
        <v>-680071242</v>
      </c>
      <c r="K3781">
        <v>-464498952</v>
      </c>
      <c r="L3781">
        <v>-499907044</v>
      </c>
      <c r="M3781">
        <v>-379986218</v>
      </c>
      <c r="N3781">
        <v>-294203507</v>
      </c>
      <c r="O3781">
        <v>-219026862</v>
      </c>
      <c r="P3781">
        <v>547</v>
      </c>
      <c r="Q3781" t="s">
        <v>7606</v>
      </c>
    </row>
    <row r="3782" spans="1:17" x14ac:dyDescent="0.3">
      <c r="A3782" t="s">
        <v>4382</v>
      </c>
      <c r="B3782" t="str">
        <f>"300025"</f>
        <v>300025</v>
      </c>
      <c r="C3782" t="s">
        <v>7607</v>
      </c>
      <c r="D3782" t="s">
        <v>100</v>
      </c>
      <c r="F3782">
        <v>6080461</v>
      </c>
      <c r="G3782">
        <v>-54343920</v>
      </c>
      <c r="H3782">
        <v>11501457</v>
      </c>
      <c r="I3782">
        <v>-32041496</v>
      </c>
      <c r="J3782">
        <v>-137604778</v>
      </c>
      <c r="K3782">
        <v>-156408568</v>
      </c>
      <c r="L3782">
        <v>-176027828</v>
      </c>
      <c r="M3782">
        <v>-189286864</v>
      </c>
      <c r="N3782">
        <v>-88652641</v>
      </c>
      <c r="O3782">
        <v>-97103728</v>
      </c>
      <c r="P3782">
        <v>223</v>
      </c>
      <c r="Q3782" t="s">
        <v>7608</v>
      </c>
    </row>
    <row r="3783" spans="1:17" x14ac:dyDescent="0.3">
      <c r="A3783" t="s">
        <v>4382</v>
      </c>
      <c r="B3783" t="str">
        <f>"300026"</f>
        <v>300026</v>
      </c>
      <c r="C3783" t="s">
        <v>7609</v>
      </c>
      <c r="D3783" t="s">
        <v>113</v>
      </c>
      <c r="F3783">
        <v>-42204533</v>
      </c>
      <c r="G3783">
        <v>-522687746</v>
      </c>
      <c r="H3783">
        <v>-144264482</v>
      </c>
      <c r="I3783">
        <v>170695451</v>
      </c>
      <c r="J3783">
        <v>232728954</v>
      </c>
      <c r="K3783">
        <v>82409684</v>
      </c>
      <c r="L3783">
        <v>3387419</v>
      </c>
      <c r="M3783">
        <v>-66951446</v>
      </c>
      <c r="N3783">
        <v>34242215</v>
      </c>
      <c r="O3783">
        <v>-52295374</v>
      </c>
      <c r="P3783">
        <v>418</v>
      </c>
      <c r="Q3783" t="s">
        <v>7610</v>
      </c>
    </row>
    <row r="3784" spans="1:17" x14ac:dyDescent="0.3">
      <c r="A3784" t="s">
        <v>4382</v>
      </c>
      <c r="B3784" t="str">
        <f>"300027"</f>
        <v>300027</v>
      </c>
      <c r="C3784" t="s">
        <v>7611</v>
      </c>
      <c r="D3784" t="s">
        <v>89</v>
      </c>
      <c r="F3784">
        <v>234894294</v>
      </c>
      <c r="G3784">
        <v>-81919346</v>
      </c>
      <c r="H3784">
        <v>-337771736</v>
      </c>
      <c r="I3784">
        <v>237071495</v>
      </c>
      <c r="J3784">
        <v>-392913431</v>
      </c>
      <c r="K3784">
        <v>109776124</v>
      </c>
      <c r="L3784">
        <v>-138426953</v>
      </c>
      <c r="M3784">
        <v>-64670121</v>
      </c>
      <c r="N3784">
        <v>329460427</v>
      </c>
      <c r="O3784">
        <v>-573564492</v>
      </c>
      <c r="P3784">
        <v>475</v>
      </c>
      <c r="Q3784" t="s">
        <v>7612</v>
      </c>
    </row>
    <row r="3785" spans="1:17" x14ac:dyDescent="0.3">
      <c r="A3785" t="s">
        <v>4382</v>
      </c>
      <c r="B3785" t="str">
        <f>"300028"</f>
        <v>300028</v>
      </c>
      <c r="C3785" t="s">
        <v>7613</v>
      </c>
      <c r="H3785">
        <v>-1429045</v>
      </c>
      <c r="I3785">
        <v>-7185606</v>
      </c>
      <c r="J3785">
        <v>-12453873</v>
      </c>
      <c r="K3785">
        <v>-4886403</v>
      </c>
      <c r="L3785">
        <v>280162368</v>
      </c>
      <c r="M3785">
        <v>-243631671</v>
      </c>
      <c r="N3785">
        <v>-148725647</v>
      </c>
      <c r="O3785">
        <v>6632770</v>
      </c>
      <c r="P3785">
        <v>31</v>
      </c>
      <c r="Q3785" t="s">
        <v>7614</v>
      </c>
    </row>
    <row r="3786" spans="1:17" x14ac:dyDescent="0.3">
      <c r="A3786" t="s">
        <v>4382</v>
      </c>
      <c r="B3786" t="str">
        <f>"300029"</f>
        <v>300029</v>
      </c>
      <c r="C3786" t="s">
        <v>7615</v>
      </c>
      <c r="D3786" t="s">
        <v>188</v>
      </c>
      <c r="F3786">
        <v>-18659266</v>
      </c>
      <c r="G3786">
        <v>-11292512</v>
      </c>
      <c r="H3786">
        <v>-2459550</v>
      </c>
      <c r="I3786">
        <v>-20376954</v>
      </c>
      <c r="J3786">
        <v>-32822651</v>
      </c>
      <c r="K3786">
        <v>-40189264</v>
      </c>
      <c r="L3786">
        <v>-94979879</v>
      </c>
      <c r="M3786">
        <v>13651245</v>
      </c>
      <c r="N3786">
        <v>-61514662</v>
      </c>
      <c r="O3786">
        <v>-166438788</v>
      </c>
      <c r="P3786">
        <v>66</v>
      </c>
      <c r="Q3786" t="s">
        <v>7616</v>
      </c>
    </row>
    <row r="3787" spans="1:17" x14ac:dyDescent="0.3">
      <c r="A3787" t="s">
        <v>4382</v>
      </c>
      <c r="B3787" t="str">
        <f>"300030"</f>
        <v>300030</v>
      </c>
      <c r="C3787" t="s">
        <v>7617</v>
      </c>
      <c r="D3787" t="s">
        <v>113</v>
      </c>
      <c r="F3787">
        <v>90407669</v>
      </c>
      <c r="G3787">
        <v>16351644</v>
      </c>
      <c r="H3787">
        <v>-11431380</v>
      </c>
      <c r="I3787">
        <v>834547</v>
      </c>
      <c r="J3787">
        <v>-56081818</v>
      </c>
      <c r="K3787">
        <v>-58049304</v>
      </c>
      <c r="L3787">
        <v>-133141262</v>
      </c>
      <c r="M3787">
        <v>-89964619</v>
      </c>
      <c r="N3787">
        <v>-70719522</v>
      </c>
      <c r="O3787">
        <v>-61566684</v>
      </c>
      <c r="P3787">
        <v>182</v>
      </c>
      <c r="Q3787" t="s">
        <v>7618</v>
      </c>
    </row>
    <row r="3788" spans="1:17" x14ac:dyDescent="0.3">
      <c r="A3788" t="s">
        <v>4382</v>
      </c>
      <c r="B3788" t="str">
        <f>"300031"</f>
        <v>300031</v>
      </c>
      <c r="C3788" t="s">
        <v>7619</v>
      </c>
      <c r="D3788" t="s">
        <v>89</v>
      </c>
      <c r="F3788">
        <v>-47723747</v>
      </c>
      <c r="G3788">
        <v>127984354</v>
      </c>
      <c r="H3788">
        <v>131118126</v>
      </c>
      <c r="I3788">
        <v>157953408</v>
      </c>
      <c r="J3788">
        <v>134912808</v>
      </c>
      <c r="K3788">
        <v>121942776</v>
      </c>
      <c r="L3788">
        <v>32476891</v>
      </c>
      <c r="M3788">
        <v>40635655</v>
      </c>
      <c r="N3788">
        <v>-26972989</v>
      </c>
      <c r="O3788">
        <v>-43024644</v>
      </c>
      <c r="P3788">
        <v>259</v>
      </c>
      <c r="Q3788" t="s">
        <v>7620</v>
      </c>
    </row>
    <row r="3789" spans="1:17" x14ac:dyDescent="0.3">
      <c r="A3789" t="s">
        <v>4382</v>
      </c>
      <c r="B3789" t="str">
        <f>"300032"</f>
        <v>300032</v>
      </c>
      <c r="C3789" t="s">
        <v>7621</v>
      </c>
      <c r="D3789" t="s">
        <v>150</v>
      </c>
      <c r="F3789">
        <v>-26574288</v>
      </c>
      <c r="G3789">
        <v>-62828356</v>
      </c>
      <c r="H3789">
        <v>31894275</v>
      </c>
      <c r="I3789">
        <v>-71279847</v>
      </c>
      <c r="J3789">
        <v>-244725403</v>
      </c>
      <c r="K3789">
        <v>-184542433</v>
      </c>
      <c r="L3789">
        <v>-52012538</v>
      </c>
      <c r="M3789">
        <v>-43385033</v>
      </c>
      <c r="N3789">
        <v>-247618154</v>
      </c>
      <c r="O3789">
        <v>-202946820</v>
      </c>
      <c r="P3789">
        <v>152</v>
      </c>
      <c r="Q3789" t="s">
        <v>7622</v>
      </c>
    </row>
    <row r="3790" spans="1:17" x14ac:dyDescent="0.3">
      <c r="A3790" t="s">
        <v>4382</v>
      </c>
      <c r="B3790" t="str">
        <f>"300033"</f>
        <v>300033</v>
      </c>
      <c r="C3790" t="s">
        <v>7623</v>
      </c>
      <c r="D3790" t="s">
        <v>212</v>
      </c>
      <c r="F3790">
        <v>1110180056</v>
      </c>
      <c r="G3790">
        <v>1129067586</v>
      </c>
      <c r="H3790">
        <v>591792896</v>
      </c>
      <c r="I3790">
        <v>186607620</v>
      </c>
      <c r="J3790">
        <v>382388239</v>
      </c>
      <c r="K3790">
        <v>439751168</v>
      </c>
      <c r="L3790">
        <v>882318060</v>
      </c>
      <c r="M3790">
        <v>18381084</v>
      </c>
      <c r="N3790">
        <v>-19898602</v>
      </c>
      <c r="O3790">
        <v>-18250599</v>
      </c>
      <c r="P3790">
        <v>2725</v>
      </c>
      <c r="Q3790" t="s">
        <v>7624</v>
      </c>
    </row>
    <row r="3791" spans="1:17" x14ac:dyDescent="0.3">
      <c r="A3791" t="s">
        <v>4382</v>
      </c>
      <c r="B3791" t="str">
        <f>"300034"</f>
        <v>300034</v>
      </c>
      <c r="C3791" t="s">
        <v>7625</v>
      </c>
      <c r="D3791" t="s">
        <v>92</v>
      </c>
      <c r="F3791">
        <v>-419584449</v>
      </c>
      <c r="G3791">
        <v>-69908424</v>
      </c>
      <c r="H3791">
        <v>-18793327</v>
      </c>
      <c r="I3791">
        <v>-14238831</v>
      </c>
      <c r="J3791">
        <v>-53990441</v>
      </c>
      <c r="K3791">
        <v>322224</v>
      </c>
      <c r="L3791">
        <v>-107244939</v>
      </c>
      <c r="M3791">
        <v>-135369487</v>
      </c>
      <c r="N3791">
        <v>-179233745</v>
      </c>
      <c r="O3791">
        <v>-85404809</v>
      </c>
      <c r="P3791">
        <v>283</v>
      </c>
      <c r="Q3791" t="s">
        <v>7626</v>
      </c>
    </row>
    <row r="3792" spans="1:17" x14ac:dyDescent="0.3">
      <c r="A3792" t="s">
        <v>4382</v>
      </c>
      <c r="B3792" t="str">
        <f>"300035"</f>
        <v>300035</v>
      </c>
      <c r="C3792" t="s">
        <v>7627</v>
      </c>
      <c r="D3792" t="s">
        <v>188</v>
      </c>
      <c r="F3792">
        <v>-917625551</v>
      </c>
      <c r="G3792">
        <v>51690753</v>
      </c>
      <c r="H3792">
        <v>-78785340</v>
      </c>
      <c r="I3792">
        <v>-108542442</v>
      </c>
      <c r="J3792">
        <v>7088346</v>
      </c>
      <c r="K3792">
        <v>26169516</v>
      </c>
      <c r="L3792">
        <v>8961485</v>
      </c>
      <c r="M3792">
        <v>-26250922</v>
      </c>
      <c r="N3792">
        <v>14035962</v>
      </c>
      <c r="O3792">
        <v>-58387517</v>
      </c>
      <c r="P3792">
        <v>273</v>
      </c>
      <c r="Q3792" t="s">
        <v>7628</v>
      </c>
    </row>
    <row r="3793" spans="1:17" x14ac:dyDescent="0.3">
      <c r="A3793" t="s">
        <v>4382</v>
      </c>
      <c r="B3793" t="str">
        <f>"300036"</f>
        <v>300036</v>
      </c>
      <c r="C3793" t="s">
        <v>7629</v>
      </c>
      <c r="D3793" t="s">
        <v>212</v>
      </c>
      <c r="F3793">
        <v>-552495109</v>
      </c>
      <c r="G3793">
        <v>-409141156</v>
      </c>
      <c r="H3793">
        <v>-463300020</v>
      </c>
      <c r="I3793">
        <v>-441591473</v>
      </c>
      <c r="J3793">
        <v>-274254937</v>
      </c>
      <c r="K3793">
        <v>-196477092</v>
      </c>
      <c r="L3793">
        <v>-66654440</v>
      </c>
      <c r="M3793">
        <v>-99784039</v>
      </c>
      <c r="N3793">
        <v>-87358673</v>
      </c>
      <c r="O3793">
        <v>-264614580</v>
      </c>
      <c r="P3793">
        <v>546</v>
      </c>
      <c r="Q3793" t="s">
        <v>7630</v>
      </c>
    </row>
    <row r="3794" spans="1:17" x14ac:dyDescent="0.3">
      <c r="A3794" t="s">
        <v>4382</v>
      </c>
      <c r="B3794" t="str">
        <f>"300037"</f>
        <v>300037</v>
      </c>
      <c r="C3794" t="s">
        <v>7631</v>
      </c>
      <c r="D3794" t="s">
        <v>188</v>
      </c>
      <c r="F3794">
        <v>-295703659</v>
      </c>
      <c r="G3794">
        <v>150627647</v>
      </c>
      <c r="H3794">
        <v>83900554</v>
      </c>
      <c r="I3794">
        <v>-75655905</v>
      </c>
      <c r="J3794">
        <v>-66589720</v>
      </c>
      <c r="K3794">
        <v>28972551</v>
      </c>
      <c r="L3794">
        <v>-40435356</v>
      </c>
      <c r="M3794">
        <v>74348162</v>
      </c>
      <c r="N3794">
        <v>7925303</v>
      </c>
      <c r="O3794">
        <v>27669561</v>
      </c>
      <c r="P3794">
        <v>830</v>
      </c>
      <c r="Q3794" t="s">
        <v>7632</v>
      </c>
    </row>
    <row r="3795" spans="1:17" x14ac:dyDescent="0.3">
      <c r="A3795" t="s">
        <v>4382</v>
      </c>
      <c r="B3795" t="str">
        <f>"300038"</f>
        <v>300038</v>
      </c>
      <c r="C3795" t="s">
        <v>7633</v>
      </c>
      <c r="D3795" t="s">
        <v>89</v>
      </c>
      <c r="F3795">
        <v>-45570865</v>
      </c>
      <c r="G3795">
        <v>-184835504</v>
      </c>
      <c r="H3795">
        <v>-1238577</v>
      </c>
      <c r="I3795">
        <v>-108645789</v>
      </c>
      <c r="J3795">
        <v>145231146</v>
      </c>
      <c r="K3795">
        <v>-76344437</v>
      </c>
      <c r="L3795">
        <v>-107110964</v>
      </c>
      <c r="M3795">
        <v>-157593785</v>
      </c>
      <c r="N3795">
        <v>-156548461</v>
      </c>
      <c r="O3795">
        <v>-49970123</v>
      </c>
      <c r="P3795">
        <v>263</v>
      </c>
      <c r="Q3795" t="s">
        <v>7634</v>
      </c>
    </row>
    <row r="3796" spans="1:17" x14ac:dyDescent="0.3">
      <c r="A3796" t="s">
        <v>4382</v>
      </c>
      <c r="B3796" t="str">
        <f>"300039"</f>
        <v>300039</v>
      </c>
      <c r="C3796" t="s">
        <v>7635</v>
      </c>
      <c r="D3796" t="s">
        <v>113</v>
      </c>
      <c r="F3796">
        <v>86216603</v>
      </c>
      <c r="G3796">
        <v>205412395</v>
      </c>
      <c r="H3796">
        <v>169391310</v>
      </c>
      <c r="I3796">
        <v>159124739</v>
      </c>
      <c r="J3796">
        <v>153590906</v>
      </c>
      <c r="K3796">
        <v>201555198</v>
      </c>
      <c r="L3796">
        <v>153508009</v>
      </c>
      <c r="M3796">
        <v>213134068</v>
      </c>
      <c r="N3796">
        <v>121433591</v>
      </c>
      <c r="O3796">
        <v>197096270</v>
      </c>
      <c r="P3796">
        <v>223</v>
      </c>
      <c r="Q3796" t="s">
        <v>7636</v>
      </c>
    </row>
    <row r="3797" spans="1:17" x14ac:dyDescent="0.3">
      <c r="A3797" t="s">
        <v>4382</v>
      </c>
      <c r="B3797" t="str">
        <f>"300040"</f>
        <v>300040</v>
      </c>
      <c r="C3797" t="s">
        <v>7637</v>
      </c>
      <c r="D3797" t="s">
        <v>188</v>
      </c>
      <c r="F3797">
        <v>-418292040</v>
      </c>
      <c r="G3797">
        <v>-678537652</v>
      </c>
      <c r="H3797">
        <v>-190506461</v>
      </c>
      <c r="I3797">
        <v>101449510</v>
      </c>
      <c r="J3797">
        <v>-183969322</v>
      </c>
      <c r="K3797">
        <v>205325005</v>
      </c>
      <c r="L3797">
        <v>-200319188</v>
      </c>
      <c r="M3797">
        <v>-32595464</v>
      </c>
      <c r="N3797">
        <v>-147563726</v>
      </c>
      <c r="O3797">
        <v>-54986881</v>
      </c>
      <c r="P3797">
        <v>215</v>
      </c>
      <c r="Q3797" t="s">
        <v>7638</v>
      </c>
    </row>
    <row r="3798" spans="1:17" x14ac:dyDescent="0.3">
      <c r="A3798" t="s">
        <v>4382</v>
      </c>
      <c r="B3798" t="str">
        <f>"300041"</f>
        <v>300041</v>
      </c>
      <c r="C3798" t="s">
        <v>7639</v>
      </c>
      <c r="D3798" t="s">
        <v>133</v>
      </c>
      <c r="F3798">
        <v>-193863002</v>
      </c>
      <c r="G3798">
        <v>22022975</v>
      </c>
      <c r="H3798">
        <v>143530315</v>
      </c>
      <c r="I3798">
        <v>-86616562</v>
      </c>
      <c r="J3798">
        <v>70911586</v>
      </c>
      <c r="K3798">
        <v>31326199</v>
      </c>
      <c r="L3798">
        <v>-132835418</v>
      </c>
      <c r="M3798">
        <v>-74662828</v>
      </c>
      <c r="N3798">
        <v>-55386288</v>
      </c>
      <c r="O3798">
        <v>-71198133</v>
      </c>
      <c r="P3798">
        <v>253</v>
      </c>
      <c r="Q3798" t="s">
        <v>7640</v>
      </c>
    </row>
    <row r="3799" spans="1:17" x14ac:dyDescent="0.3">
      <c r="A3799" t="s">
        <v>4382</v>
      </c>
      <c r="B3799" t="str">
        <f>"300042"</f>
        <v>300042</v>
      </c>
      <c r="C3799" t="s">
        <v>7641</v>
      </c>
      <c r="D3799" t="s">
        <v>212</v>
      </c>
      <c r="F3799">
        <v>31318903</v>
      </c>
      <c r="G3799">
        <v>36627426</v>
      </c>
      <c r="H3799">
        <v>-72703371</v>
      </c>
      <c r="I3799">
        <v>-1110272</v>
      </c>
      <c r="J3799">
        <v>-44197279</v>
      </c>
      <c r="K3799">
        <v>-34013895</v>
      </c>
      <c r="L3799">
        <v>10360284</v>
      </c>
      <c r="M3799">
        <v>-6055669</v>
      </c>
      <c r="N3799">
        <v>-62708370</v>
      </c>
      <c r="O3799">
        <v>-42274765</v>
      </c>
      <c r="P3799">
        <v>116</v>
      </c>
      <c r="Q3799" t="s">
        <v>7642</v>
      </c>
    </row>
    <row r="3800" spans="1:17" x14ac:dyDescent="0.3">
      <c r="A3800" t="s">
        <v>4382</v>
      </c>
      <c r="B3800" t="str">
        <f>"300043"</f>
        <v>300043</v>
      </c>
      <c r="C3800" t="s">
        <v>7643</v>
      </c>
      <c r="D3800" t="s">
        <v>89</v>
      </c>
      <c r="F3800">
        <v>-353580174</v>
      </c>
      <c r="G3800">
        <v>134904680</v>
      </c>
      <c r="H3800">
        <v>416465933</v>
      </c>
      <c r="I3800">
        <v>167823062</v>
      </c>
      <c r="J3800">
        <v>-839483166</v>
      </c>
      <c r="K3800">
        <v>-136247044</v>
      </c>
      <c r="L3800">
        <v>-130637682</v>
      </c>
      <c r="M3800">
        <v>9132241</v>
      </c>
      <c r="N3800">
        <v>-11719187</v>
      </c>
      <c r="O3800">
        <v>-69628316</v>
      </c>
      <c r="P3800">
        <v>183</v>
      </c>
      <c r="Q3800" t="s">
        <v>7644</v>
      </c>
    </row>
    <row r="3801" spans="1:17" x14ac:dyDescent="0.3">
      <c r="A3801" t="s">
        <v>4382</v>
      </c>
      <c r="B3801" t="str">
        <f>"300044"</f>
        <v>300044</v>
      </c>
      <c r="C3801" t="s">
        <v>7645</v>
      </c>
      <c r="D3801" t="s">
        <v>212</v>
      </c>
      <c r="F3801">
        <v>-46014078</v>
      </c>
      <c r="G3801">
        <v>-420988879</v>
      </c>
      <c r="H3801">
        <v>-196432190</v>
      </c>
      <c r="I3801">
        <v>-419686614</v>
      </c>
      <c r="J3801">
        <v>-436733698</v>
      </c>
      <c r="K3801">
        <v>-309448149</v>
      </c>
      <c r="L3801">
        <v>-71080050</v>
      </c>
      <c r="M3801">
        <v>-26239108</v>
      </c>
      <c r="N3801">
        <v>-70811105</v>
      </c>
      <c r="O3801">
        <v>10109774</v>
      </c>
      <c r="P3801">
        <v>289</v>
      </c>
      <c r="Q3801" t="s">
        <v>7646</v>
      </c>
    </row>
    <row r="3802" spans="1:17" x14ac:dyDescent="0.3">
      <c r="A3802" t="s">
        <v>4382</v>
      </c>
      <c r="B3802" t="str">
        <f>"300045"</f>
        <v>300045</v>
      </c>
      <c r="C3802" t="s">
        <v>7647</v>
      </c>
      <c r="D3802" t="s">
        <v>92</v>
      </c>
      <c r="F3802">
        <v>-129557004</v>
      </c>
      <c r="G3802">
        <v>-132092529</v>
      </c>
      <c r="H3802">
        <v>-157108147</v>
      </c>
      <c r="I3802">
        <v>-79839856</v>
      </c>
      <c r="J3802">
        <v>-139046162</v>
      </c>
      <c r="K3802">
        <v>-132507143</v>
      </c>
      <c r="L3802">
        <v>-81189012</v>
      </c>
      <c r="M3802">
        <v>-61692440</v>
      </c>
      <c r="N3802">
        <v>-75194508</v>
      </c>
      <c r="O3802">
        <v>-106964327</v>
      </c>
      <c r="P3802">
        <v>158</v>
      </c>
      <c r="Q3802" t="s">
        <v>7648</v>
      </c>
    </row>
    <row r="3803" spans="1:17" x14ac:dyDescent="0.3">
      <c r="A3803" t="s">
        <v>4382</v>
      </c>
      <c r="B3803" t="str">
        <f>"300046"</f>
        <v>300046</v>
      </c>
      <c r="C3803" t="s">
        <v>7649</v>
      </c>
      <c r="D3803" t="s">
        <v>150</v>
      </c>
      <c r="F3803">
        <v>-1596106</v>
      </c>
      <c r="G3803">
        <v>23059018</v>
      </c>
      <c r="H3803">
        <v>48513750</v>
      </c>
      <c r="I3803">
        <v>-12810277</v>
      </c>
      <c r="J3803">
        <v>70973467</v>
      </c>
      <c r="K3803">
        <v>38440518</v>
      </c>
      <c r="L3803">
        <v>884918</v>
      </c>
      <c r="M3803">
        <v>44063383</v>
      </c>
      <c r="N3803">
        <v>15965738</v>
      </c>
      <c r="O3803">
        <v>29899930</v>
      </c>
      <c r="P3803">
        <v>225</v>
      </c>
      <c r="Q3803" t="s">
        <v>7650</v>
      </c>
    </row>
    <row r="3804" spans="1:17" x14ac:dyDescent="0.3">
      <c r="A3804" t="s">
        <v>4382</v>
      </c>
      <c r="B3804" t="str">
        <f>"300047"</f>
        <v>300047</v>
      </c>
      <c r="C3804" t="s">
        <v>7651</v>
      </c>
      <c r="D3804" t="s">
        <v>212</v>
      </c>
      <c r="F3804">
        <v>601346870</v>
      </c>
      <c r="G3804">
        <v>715468648</v>
      </c>
      <c r="H3804">
        <v>4947228</v>
      </c>
      <c r="I3804">
        <v>-57643394</v>
      </c>
      <c r="J3804">
        <v>-71916402</v>
      </c>
      <c r="K3804">
        <v>-345559105</v>
      </c>
      <c r="L3804">
        <v>-122792348</v>
      </c>
      <c r="M3804">
        <v>-231824351</v>
      </c>
      <c r="N3804">
        <v>-281114099</v>
      </c>
      <c r="O3804">
        <v>-126537251</v>
      </c>
      <c r="P3804">
        <v>338</v>
      </c>
      <c r="Q3804" t="s">
        <v>7652</v>
      </c>
    </row>
    <row r="3805" spans="1:17" x14ac:dyDescent="0.3">
      <c r="A3805" t="s">
        <v>4382</v>
      </c>
      <c r="B3805" t="str">
        <f>"300048"</f>
        <v>300048</v>
      </c>
      <c r="C3805" t="s">
        <v>7653</v>
      </c>
      <c r="D3805" t="s">
        <v>78</v>
      </c>
      <c r="F3805">
        <v>92835229</v>
      </c>
      <c r="G3805">
        <v>122722109</v>
      </c>
      <c r="H3805">
        <v>122938347</v>
      </c>
      <c r="I3805">
        <v>98721052</v>
      </c>
      <c r="J3805">
        <v>-190124495</v>
      </c>
      <c r="K3805">
        <v>-338233731</v>
      </c>
      <c r="L3805">
        <v>-70230697</v>
      </c>
      <c r="M3805">
        <v>16001138</v>
      </c>
      <c r="N3805">
        <v>-110555005</v>
      </c>
      <c r="O3805">
        <v>-67223192</v>
      </c>
      <c r="P3805">
        <v>119</v>
      </c>
      <c r="Q3805" t="s">
        <v>7654</v>
      </c>
    </row>
    <row r="3806" spans="1:17" x14ac:dyDescent="0.3">
      <c r="A3806" t="s">
        <v>4382</v>
      </c>
      <c r="B3806" t="str">
        <f>"300049"</f>
        <v>300049</v>
      </c>
      <c r="C3806" t="s">
        <v>7655</v>
      </c>
      <c r="D3806" t="s">
        <v>113</v>
      </c>
      <c r="F3806">
        <v>83514643</v>
      </c>
      <c r="G3806">
        <v>49461185</v>
      </c>
      <c r="H3806">
        <v>159740688</v>
      </c>
      <c r="I3806">
        <v>-31674074</v>
      </c>
      <c r="J3806">
        <v>37080366</v>
      </c>
      <c r="K3806">
        <v>-40255395</v>
      </c>
      <c r="L3806">
        <v>15708694</v>
      </c>
      <c r="M3806">
        <v>-62381926</v>
      </c>
      <c r="N3806">
        <v>-30222615</v>
      </c>
      <c r="O3806">
        <v>59968743</v>
      </c>
      <c r="P3806">
        <v>145</v>
      </c>
      <c r="Q3806" t="s">
        <v>7656</v>
      </c>
    </row>
    <row r="3807" spans="1:17" x14ac:dyDescent="0.3">
      <c r="A3807" t="s">
        <v>4382</v>
      </c>
      <c r="B3807" t="str">
        <f>"300050"</f>
        <v>300050</v>
      </c>
      <c r="C3807" t="s">
        <v>7657</v>
      </c>
      <c r="D3807" t="s">
        <v>100</v>
      </c>
      <c r="F3807">
        <v>-83306762</v>
      </c>
      <c r="G3807">
        <v>-109407547</v>
      </c>
      <c r="H3807">
        <v>-176941896</v>
      </c>
      <c r="I3807">
        <v>-304098198</v>
      </c>
      <c r="J3807">
        <v>-75506671</v>
      </c>
      <c r="K3807">
        <v>6112783</v>
      </c>
      <c r="L3807">
        <v>-20538149</v>
      </c>
      <c r="M3807">
        <v>21940286</v>
      </c>
      <c r="N3807">
        <v>-33979040</v>
      </c>
      <c r="O3807">
        <v>-123857845</v>
      </c>
      <c r="P3807">
        <v>164</v>
      </c>
      <c r="Q3807" t="s">
        <v>7658</v>
      </c>
    </row>
    <row r="3808" spans="1:17" x14ac:dyDescent="0.3">
      <c r="A3808" t="s">
        <v>4382</v>
      </c>
      <c r="B3808" t="str">
        <f>"300051"</f>
        <v>300051</v>
      </c>
      <c r="C3808" t="s">
        <v>7659</v>
      </c>
      <c r="D3808" t="s">
        <v>89</v>
      </c>
      <c r="F3808">
        <v>-12780572</v>
      </c>
      <c r="G3808">
        <v>-12042615</v>
      </c>
      <c r="H3808">
        <v>17252921</v>
      </c>
      <c r="I3808">
        <v>-17753235</v>
      </c>
      <c r="J3808">
        <v>2121505</v>
      </c>
      <c r="K3808">
        <v>-32122662</v>
      </c>
      <c r="L3808">
        <v>-135447302</v>
      </c>
      <c r="M3808">
        <v>-115558727</v>
      </c>
      <c r="N3808">
        <v>-11148191</v>
      </c>
      <c r="O3808">
        <v>-58063746</v>
      </c>
      <c r="P3808">
        <v>104</v>
      </c>
      <c r="Q3808" t="s">
        <v>7660</v>
      </c>
    </row>
    <row r="3809" spans="1:17" x14ac:dyDescent="0.3">
      <c r="A3809" t="s">
        <v>4382</v>
      </c>
      <c r="B3809" t="str">
        <f>"300052"</f>
        <v>300052</v>
      </c>
      <c r="C3809" t="s">
        <v>7661</v>
      </c>
      <c r="D3809" t="s">
        <v>89</v>
      </c>
      <c r="F3809">
        <v>-4675157</v>
      </c>
      <c r="G3809">
        <v>-47880131</v>
      </c>
      <c r="H3809">
        <v>-95046691</v>
      </c>
      <c r="I3809">
        <v>-157003859</v>
      </c>
      <c r="J3809">
        <v>-11378475</v>
      </c>
      <c r="K3809">
        <v>15215303</v>
      </c>
      <c r="L3809">
        <v>-23433148</v>
      </c>
      <c r="M3809">
        <v>-109049150</v>
      </c>
      <c r="N3809">
        <v>-34339571</v>
      </c>
      <c r="O3809">
        <v>-87348159</v>
      </c>
      <c r="P3809">
        <v>219</v>
      </c>
      <c r="Q3809" t="s">
        <v>7662</v>
      </c>
    </row>
    <row r="3810" spans="1:17" x14ac:dyDescent="0.3">
      <c r="A3810" t="s">
        <v>4382</v>
      </c>
      <c r="B3810" t="str">
        <f>"300053"</f>
        <v>300053</v>
      </c>
      <c r="C3810" t="s">
        <v>7663</v>
      </c>
      <c r="D3810" t="s">
        <v>150</v>
      </c>
      <c r="F3810">
        <v>-190208353</v>
      </c>
      <c r="G3810">
        <v>-301438645</v>
      </c>
      <c r="H3810">
        <v>-550888189</v>
      </c>
      <c r="I3810">
        <v>-270672704</v>
      </c>
      <c r="J3810">
        <v>-173059596</v>
      </c>
      <c r="K3810">
        <v>-112410622</v>
      </c>
      <c r="L3810">
        <v>-13735005</v>
      </c>
      <c r="M3810">
        <v>-37278865</v>
      </c>
      <c r="N3810">
        <v>-63275615</v>
      </c>
      <c r="O3810">
        <v>-55368005</v>
      </c>
      <c r="P3810">
        <v>264</v>
      </c>
      <c r="Q3810" t="s">
        <v>7664</v>
      </c>
    </row>
    <row r="3811" spans="1:17" x14ac:dyDescent="0.3">
      <c r="A3811" t="s">
        <v>4382</v>
      </c>
      <c r="B3811" t="str">
        <f>"300054"</f>
        <v>300054</v>
      </c>
      <c r="C3811" t="s">
        <v>7665</v>
      </c>
      <c r="D3811" t="s">
        <v>150</v>
      </c>
      <c r="F3811">
        <v>-269685997</v>
      </c>
      <c r="G3811">
        <v>-54464663</v>
      </c>
      <c r="H3811">
        <v>74165022</v>
      </c>
      <c r="I3811">
        <v>51355876</v>
      </c>
      <c r="J3811">
        <v>118175463</v>
      </c>
      <c r="K3811">
        <v>173714225</v>
      </c>
      <c r="L3811">
        <v>56088614</v>
      </c>
      <c r="M3811">
        <v>37083337</v>
      </c>
      <c r="N3811">
        <v>7919759</v>
      </c>
      <c r="O3811">
        <v>-16399043</v>
      </c>
      <c r="P3811">
        <v>368</v>
      </c>
      <c r="Q3811" t="s">
        <v>7666</v>
      </c>
    </row>
    <row r="3812" spans="1:17" x14ac:dyDescent="0.3">
      <c r="A3812" t="s">
        <v>4382</v>
      </c>
      <c r="B3812" t="str">
        <f>"300055"</f>
        <v>300055</v>
      </c>
      <c r="C3812" t="s">
        <v>7667</v>
      </c>
      <c r="D3812" t="s">
        <v>33</v>
      </c>
      <c r="F3812">
        <v>875787026</v>
      </c>
      <c r="G3812">
        <v>-85135458</v>
      </c>
      <c r="H3812">
        <v>-113997344</v>
      </c>
      <c r="I3812">
        <v>-241040356</v>
      </c>
      <c r="J3812">
        <v>-440958096</v>
      </c>
      <c r="K3812">
        <v>-664180622</v>
      </c>
      <c r="L3812">
        <v>-294260732</v>
      </c>
      <c r="M3812">
        <v>-171194172</v>
      </c>
      <c r="N3812">
        <v>-99491076</v>
      </c>
      <c r="O3812">
        <v>-25207735</v>
      </c>
      <c r="P3812">
        <v>163</v>
      </c>
      <c r="Q3812" t="s">
        <v>7668</v>
      </c>
    </row>
    <row r="3813" spans="1:17" x14ac:dyDescent="0.3">
      <c r="A3813" t="s">
        <v>4382</v>
      </c>
      <c r="B3813" t="str">
        <f>"300056"</f>
        <v>300056</v>
      </c>
      <c r="C3813" t="s">
        <v>7669</v>
      </c>
      <c r="D3813" t="s">
        <v>33</v>
      </c>
      <c r="F3813">
        <v>-143441961</v>
      </c>
      <c r="G3813">
        <v>-181271497</v>
      </c>
      <c r="H3813">
        <v>-33286521</v>
      </c>
      <c r="I3813">
        <v>58277322</v>
      </c>
      <c r="J3813">
        <v>126230651</v>
      </c>
      <c r="K3813">
        <v>-171909429</v>
      </c>
      <c r="L3813">
        <v>-64823219</v>
      </c>
      <c r="M3813">
        <v>7325647</v>
      </c>
      <c r="N3813">
        <v>27305177</v>
      </c>
      <c r="O3813">
        <v>-22579594</v>
      </c>
      <c r="P3813">
        <v>87</v>
      </c>
      <c r="Q3813" t="s">
        <v>7670</v>
      </c>
    </row>
    <row r="3814" spans="1:17" x14ac:dyDescent="0.3">
      <c r="A3814" t="s">
        <v>4382</v>
      </c>
      <c r="B3814" t="str">
        <f>"300057"</f>
        <v>300057</v>
      </c>
      <c r="C3814" t="s">
        <v>7671</v>
      </c>
      <c r="D3814" t="s">
        <v>234</v>
      </c>
      <c r="F3814">
        <v>-443395875</v>
      </c>
      <c r="G3814">
        <v>-336135348</v>
      </c>
      <c r="H3814">
        <v>-284249255</v>
      </c>
      <c r="I3814">
        <v>15795928</v>
      </c>
      <c r="J3814">
        <v>138456158</v>
      </c>
      <c r="K3814">
        <v>54050732</v>
      </c>
      <c r="L3814">
        <v>102608132</v>
      </c>
      <c r="M3814">
        <v>-120809044</v>
      </c>
      <c r="N3814">
        <v>-256528581</v>
      </c>
      <c r="O3814">
        <v>152931731</v>
      </c>
      <c r="P3814">
        <v>438</v>
      </c>
      <c r="Q3814" t="s">
        <v>7672</v>
      </c>
    </row>
    <row r="3815" spans="1:17" x14ac:dyDescent="0.3">
      <c r="A3815" t="s">
        <v>4382</v>
      </c>
      <c r="B3815" t="str">
        <f>"300058"</f>
        <v>300058</v>
      </c>
      <c r="C3815" t="s">
        <v>7673</v>
      </c>
      <c r="D3815" t="s">
        <v>89</v>
      </c>
      <c r="F3815">
        <v>610933313</v>
      </c>
      <c r="G3815">
        <v>205488417</v>
      </c>
      <c r="H3815">
        <v>312569671</v>
      </c>
      <c r="I3815">
        <v>1088088109</v>
      </c>
      <c r="J3815">
        <v>-294752305</v>
      </c>
      <c r="K3815">
        <v>-505620496</v>
      </c>
      <c r="L3815">
        <v>168924143</v>
      </c>
      <c r="M3815">
        <v>146864867</v>
      </c>
      <c r="N3815">
        <v>143936696</v>
      </c>
      <c r="O3815">
        <v>18763010</v>
      </c>
      <c r="P3815">
        <v>457</v>
      </c>
      <c r="Q3815" t="s">
        <v>7674</v>
      </c>
    </row>
    <row r="3816" spans="1:17" x14ac:dyDescent="0.3">
      <c r="A3816" t="s">
        <v>4382</v>
      </c>
      <c r="B3816" t="str">
        <f>"300059"</f>
        <v>300059</v>
      </c>
      <c r="C3816" t="s">
        <v>7675</v>
      </c>
      <c r="D3816" t="s">
        <v>75</v>
      </c>
      <c r="F3816">
        <v>5228250131</v>
      </c>
      <c r="G3816">
        <v>-4167072944</v>
      </c>
      <c r="H3816">
        <v>6502855954</v>
      </c>
      <c r="I3816">
        <v>385774936</v>
      </c>
      <c r="J3816">
        <v>-2355256073</v>
      </c>
      <c r="K3816">
        <v>-6317992978</v>
      </c>
      <c r="L3816">
        <v>237517955</v>
      </c>
      <c r="M3816">
        <v>1888597985</v>
      </c>
      <c r="N3816">
        <v>248803434</v>
      </c>
      <c r="O3816">
        <v>-17529886</v>
      </c>
      <c r="P3816">
        <v>5895</v>
      </c>
      <c r="Q3816" t="s">
        <v>7676</v>
      </c>
    </row>
    <row r="3817" spans="1:17" x14ac:dyDescent="0.3">
      <c r="A3817" t="s">
        <v>4382</v>
      </c>
      <c r="B3817" t="str">
        <f>"300061"</f>
        <v>300061</v>
      </c>
      <c r="C3817" t="s">
        <v>7677</v>
      </c>
      <c r="D3817" t="s">
        <v>89</v>
      </c>
      <c r="F3817">
        <v>-33966514</v>
      </c>
      <c r="G3817">
        <v>-105507909</v>
      </c>
      <c r="H3817">
        <v>51666337</v>
      </c>
      <c r="I3817">
        <v>74984089</v>
      </c>
      <c r="J3817">
        <v>88309758</v>
      </c>
      <c r="K3817">
        <v>3782493</v>
      </c>
      <c r="L3817">
        <v>4844179</v>
      </c>
      <c r="M3817">
        <v>-26092442</v>
      </c>
      <c r="N3817">
        <v>-3839766</v>
      </c>
      <c r="O3817">
        <v>-39546492</v>
      </c>
      <c r="P3817">
        <v>120</v>
      </c>
      <c r="Q3817" t="s">
        <v>7678</v>
      </c>
    </row>
    <row r="3818" spans="1:17" x14ac:dyDescent="0.3">
      <c r="A3818" t="s">
        <v>4382</v>
      </c>
      <c r="B3818" t="str">
        <f>"300062"</f>
        <v>300062</v>
      </c>
      <c r="C3818" t="s">
        <v>7679</v>
      </c>
      <c r="D3818" t="s">
        <v>188</v>
      </c>
      <c r="F3818">
        <v>7231390</v>
      </c>
      <c r="G3818">
        <v>46965486</v>
      </c>
      <c r="H3818">
        <v>57329282</v>
      </c>
      <c r="I3818">
        <v>-20440160</v>
      </c>
      <c r="J3818">
        <v>-277607413</v>
      </c>
      <c r="K3818">
        <v>-136536027</v>
      </c>
      <c r="L3818">
        <v>20859640</v>
      </c>
      <c r="M3818">
        <v>-28521858</v>
      </c>
      <c r="N3818">
        <v>-49857249</v>
      </c>
      <c r="O3818">
        <v>-83248293</v>
      </c>
      <c r="P3818">
        <v>125</v>
      </c>
      <c r="Q3818" t="s">
        <v>7680</v>
      </c>
    </row>
    <row r="3819" spans="1:17" x14ac:dyDescent="0.3">
      <c r="A3819" t="s">
        <v>4382</v>
      </c>
      <c r="B3819" t="str">
        <f>"300063"</f>
        <v>300063</v>
      </c>
      <c r="C3819" t="s">
        <v>7681</v>
      </c>
      <c r="D3819" t="s">
        <v>89</v>
      </c>
      <c r="F3819">
        <v>-27832963</v>
      </c>
      <c r="G3819">
        <v>-56790437</v>
      </c>
      <c r="H3819">
        <v>-104936304</v>
      </c>
      <c r="I3819">
        <v>-6424268</v>
      </c>
      <c r="J3819">
        <v>147171812</v>
      </c>
      <c r="K3819">
        <v>116272797</v>
      </c>
      <c r="L3819">
        <v>41247192</v>
      </c>
      <c r="M3819">
        <v>-114691273</v>
      </c>
      <c r="N3819">
        <v>-117160924</v>
      </c>
      <c r="O3819">
        <v>-59181561</v>
      </c>
      <c r="P3819">
        <v>109</v>
      </c>
      <c r="Q3819" t="s">
        <v>7682</v>
      </c>
    </row>
    <row r="3820" spans="1:17" x14ac:dyDescent="0.3">
      <c r="A3820" t="s">
        <v>4382</v>
      </c>
      <c r="B3820" t="str">
        <f>"300064"</f>
        <v>300064</v>
      </c>
      <c r="C3820" t="s">
        <v>7683</v>
      </c>
      <c r="D3820" t="s">
        <v>78</v>
      </c>
      <c r="F3820">
        <v>52550817</v>
      </c>
      <c r="G3820">
        <v>14308811</v>
      </c>
      <c r="H3820">
        <v>-1753632395</v>
      </c>
      <c r="I3820">
        <v>-1911664219</v>
      </c>
      <c r="J3820">
        <v>-218618113</v>
      </c>
      <c r="K3820">
        <v>-499436536</v>
      </c>
      <c r="L3820">
        <v>-267633016</v>
      </c>
      <c r="M3820">
        <v>-66119771</v>
      </c>
      <c r="N3820">
        <v>-179398287</v>
      </c>
      <c r="O3820">
        <v>-300513217</v>
      </c>
      <c r="P3820">
        <v>77</v>
      </c>
      <c r="Q3820" t="s">
        <v>7684</v>
      </c>
    </row>
    <row r="3821" spans="1:17" x14ac:dyDescent="0.3">
      <c r="A3821" t="s">
        <v>4382</v>
      </c>
      <c r="B3821" t="str">
        <f>"300065"</f>
        <v>300065</v>
      </c>
      <c r="C3821" t="s">
        <v>7685</v>
      </c>
      <c r="D3821" t="s">
        <v>92</v>
      </c>
      <c r="F3821">
        <v>-262731566</v>
      </c>
      <c r="G3821">
        <v>-57295248</v>
      </c>
      <c r="H3821">
        <v>-98537102</v>
      </c>
      <c r="I3821">
        <v>19469634</v>
      </c>
      <c r="J3821">
        <v>-15218551</v>
      </c>
      <c r="K3821">
        <v>-45050380</v>
      </c>
      <c r="L3821">
        <v>-55561664</v>
      </c>
      <c r="M3821">
        <v>-127898874</v>
      </c>
      <c r="N3821">
        <v>-162563417</v>
      </c>
      <c r="O3821">
        <v>8601658</v>
      </c>
      <c r="P3821">
        <v>152</v>
      </c>
      <c r="Q3821" t="s">
        <v>7686</v>
      </c>
    </row>
    <row r="3822" spans="1:17" x14ac:dyDescent="0.3">
      <c r="A3822" t="s">
        <v>4382</v>
      </c>
      <c r="B3822" t="str">
        <f>"300066"</f>
        <v>300066</v>
      </c>
      <c r="C3822" t="s">
        <v>7687</v>
      </c>
      <c r="D3822" t="s">
        <v>78</v>
      </c>
      <c r="F3822">
        <v>-57059859</v>
      </c>
      <c r="G3822">
        <v>-77540919</v>
      </c>
      <c r="H3822">
        <v>-66882993</v>
      </c>
      <c r="I3822">
        <v>-11379325</v>
      </c>
      <c r="J3822">
        <v>-30897696</v>
      </c>
      <c r="K3822">
        <v>54515004</v>
      </c>
      <c r="L3822">
        <v>33814987</v>
      </c>
      <c r="M3822">
        <v>-24612633</v>
      </c>
      <c r="N3822">
        <v>10336786</v>
      </c>
      <c r="O3822">
        <v>-24901165</v>
      </c>
      <c r="P3822">
        <v>190</v>
      </c>
      <c r="Q3822" t="s">
        <v>7688</v>
      </c>
    </row>
    <row r="3823" spans="1:17" x14ac:dyDescent="0.3">
      <c r="A3823" t="s">
        <v>4382</v>
      </c>
      <c r="B3823" t="str">
        <f>"300067"</f>
        <v>300067</v>
      </c>
      <c r="C3823" t="s">
        <v>7689</v>
      </c>
      <c r="D3823" t="s">
        <v>133</v>
      </c>
      <c r="F3823">
        <v>-72836382</v>
      </c>
      <c r="G3823">
        <v>-115261174</v>
      </c>
      <c r="H3823">
        <v>-68723602</v>
      </c>
      <c r="I3823">
        <v>-111319946</v>
      </c>
      <c r="J3823">
        <v>37948241</v>
      </c>
      <c r="K3823">
        <v>16541690</v>
      </c>
      <c r="L3823">
        <v>-147046677</v>
      </c>
      <c r="M3823">
        <v>-80823934</v>
      </c>
      <c r="N3823">
        <v>-29524022</v>
      </c>
      <c r="O3823">
        <v>-24746315</v>
      </c>
      <c r="P3823">
        <v>100</v>
      </c>
      <c r="Q3823" t="s">
        <v>7690</v>
      </c>
    </row>
    <row r="3824" spans="1:17" x14ac:dyDescent="0.3">
      <c r="A3824" t="s">
        <v>4382</v>
      </c>
      <c r="B3824" t="str">
        <f>"300068"</f>
        <v>300068</v>
      </c>
      <c r="C3824" t="s">
        <v>7691</v>
      </c>
      <c r="D3824" t="s">
        <v>188</v>
      </c>
      <c r="F3824">
        <v>-832893608</v>
      </c>
      <c r="G3824">
        <v>-969607533</v>
      </c>
      <c r="H3824">
        <v>-783976305</v>
      </c>
      <c r="I3824">
        <v>-2092250464</v>
      </c>
      <c r="J3824">
        <v>-1087366931</v>
      </c>
      <c r="K3824">
        <v>-718232638</v>
      </c>
      <c r="L3824">
        <v>-729782113</v>
      </c>
      <c r="M3824">
        <v>-622327391</v>
      </c>
      <c r="N3824">
        <v>-525017424</v>
      </c>
      <c r="O3824">
        <v>-242566798</v>
      </c>
      <c r="P3824">
        <v>305</v>
      </c>
      <c r="Q3824" t="s">
        <v>7692</v>
      </c>
    </row>
    <row r="3825" spans="1:17" x14ac:dyDescent="0.3">
      <c r="A3825" t="s">
        <v>4382</v>
      </c>
      <c r="B3825" t="str">
        <f>"300069"</f>
        <v>300069</v>
      </c>
      <c r="C3825" t="s">
        <v>7693</v>
      </c>
      <c r="D3825" t="s">
        <v>188</v>
      </c>
      <c r="F3825">
        <v>-1214571</v>
      </c>
      <c r="G3825">
        <v>-32427523</v>
      </c>
      <c r="H3825">
        <v>32262679</v>
      </c>
      <c r="I3825">
        <v>17715013</v>
      </c>
      <c r="J3825">
        <v>-18091688</v>
      </c>
      <c r="K3825">
        <v>-35711295</v>
      </c>
      <c r="L3825">
        <v>-37866572</v>
      </c>
      <c r="M3825">
        <v>-67130891</v>
      </c>
      <c r="N3825">
        <v>53006242</v>
      </c>
      <c r="O3825">
        <v>-87092522</v>
      </c>
      <c r="P3825">
        <v>57</v>
      </c>
      <c r="Q3825" t="s">
        <v>7694</v>
      </c>
    </row>
    <row r="3826" spans="1:17" x14ac:dyDescent="0.3">
      <c r="A3826" t="s">
        <v>4382</v>
      </c>
      <c r="B3826" t="str">
        <f>"300070"</f>
        <v>300070</v>
      </c>
      <c r="C3826" t="s">
        <v>7695</v>
      </c>
      <c r="D3826" t="s">
        <v>33</v>
      </c>
      <c r="F3826">
        <v>-2929953331</v>
      </c>
      <c r="G3826">
        <v>-3629745963</v>
      </c>
      <c r="H3826">
        <v>-4589187580</v>
      </c>
      <c r="I3826">
        <v>-5944554451</v>
      </c>
      <c r="J3826">
        <v>-6132943379</v>
      </c>
      <c r="K3826">
        <v>-2935907539</v>
      </c>
      <c r="L3826">
        <v>-1303054328</v>
      </c>
      <c r="M3826">
        <v>-429484129</v>
      </c>
      <c r="N3826">
        <v>-759673995</v>
      </c>
      <c r="O3826">
        <v>-264067788</v>
      </c>
      <c r="P3826">
        <v>1163</v>
      </c>
      <c r="Q3826" t="s">
        <v>7696</v>
      </c>
    </row>
    <row r="3827" spans="1:17" x14ac:dyDescent="0.3">
      <c r="A3827" t="s">
        <v>4382</v>
      </c>
      <c r="B3827" t="str">
        <f>"300071"</f>
        <v>300071</v>
      </c>
      <c r="C3827" t="s">
        <v>7697</v>
      </c>
      <c r="D3827" t="s">
        <v>89</v>
      </c>
      <c r="F3827">
        <v>19554511</v>
      </c>
      <c r="G3827">
        <v>4708775</v>
      </c>
      <c r="H3827">
        <v>135688760</v>
      </c>
      <c r="I3827">
        <v>215623372</v>
      </c>
      <c r="J3827">
        <v>-127949721</v>
      </c>
      <c r="K3827">
        <v>-3697921</v>
      </c>
      <c r="L3827">
        <v>-44152576</v>
      </c>
      <c r="M3827">
        <v>105350149</v>
      </c>
      <c r="N3827">
        <v>-151761330</v>
      </c>
      <c r="O3827">
        <v>-40168331</v>
      </c>
      <c r="P3827">
        <v>84</v>
      </c>
      <c r="Q3827" t="s">
        <v>7698</v>
      </c>
    </row>
    <row r="3828" spans="1:17" x14ac:dyDescent="0.3">
      <c r="A3828" t="s">
        <v>4382</v>
      </c>
      <c r="B3828" t="str">
        <f>"300072"</f>
        <v>300072</v>
      </c>
      <c r="C3828" t="s">
        <v>7699</v>
      </c>
      <c r="D3828" t="s">
        <v>33</v>
      </c>
      <c r="F3828">
        <v>77140632</v>
      </c>
      <c r="G3828">
        <v>-815413847</v>
      </c>
      <c r="H3828">
        <v>-123728171</v>
      </c>
      <c r="I3828">
        <v>-2893324998</v>
      </c>
      <c r="J3828">
        <v>-2896434387</v>
      </c>
      <c r="K3828">
        <v>-1095103476</v>
      </c>
      <c r="L3828">
        <v>-1277907926</v>
      </c>
      <c r="M3828">
        <v>-664625072</v>
      </c>
      <c r="N3828">
        <v>-417343362</v>
      </c>
      <c r="O3828">
        <v>-409002317</v>
      </c>
      <c r="P3828">
        <v>1138</v>
      </c>
      <c r="Q3828" t="s">
        <v>7700</v>
      </c>
    </row>
    <row r="3829" spans="1:17" x14ac:dyDescent="0.3">
      <c r="A3829" t="s">
        <v>4382</v>
      </c>
      <c r="B3829" t="str">
        <f>"300073"</f>
        <v>300073</v>
      </c>
      <c r="C3829" t="s">
        <v>7701</v>
      </c>
      <c r="D3829" t="s">
        <v>188</v>
      </c>
      <c r="F3829">
        <v>-14286634</v>
      </c>
      <c r="G3829">
        <v>170618427</v>
      </c>
      <c r="H3829">
        <v>-150561683</v>
      </c>
      <c r="I3829">
        <v>172867479</v>
      </c>
      <c r="J3829">
        <v>-16077530</v>
      </c>
      <c r="K3829">
        <v>-108534845</v>
      </c>
      <c r="L3829">
        <v>-28976908</v>
      </c>
      <c r="M3829">
        <v>-15992113</v>
      </c>
      <c r="N3829">
        <v>-179906198</v>
      </c>
      <c r="O3829">
        <v>-5527527</v>
      </c>
      <c r="P3829">
        <v>826</v>
      </c>
      <c r="Q3829" t="s">
        <v>7702</v>
      </c>
    </row>
    <row r="3830" spans="1:17" x14ac:dyDescent="0.3">
      <c r="A3830" t="s">
        <v>4382</v>
      </c>
      <c r="B3830" t="str">
        <f>"300074"</f>
        <v>300074</v>
      </c>
      <c r="C3830" t="s">
        <v>7703</v>
      </c>
      <c r="D3830" t="s">
        <v>212</v>
      </c>
      <c r="F3830">
        <v>-39803332</v>
      </c>
      <c r="G3830">
        <v>-37770288</v>
      </c>
      <c r="H3830">
        <v>-60855341</v>
      </c>
      <c r="I3830">
        <v>-79667187</v>
      </c>
      <c r="J3830">
        <v>-127649786</v>
      </c>
      <c r="K3830">
        <v>-62896021</v>
      </c>
      <c r="L3830">
        <v>-52680215</v>
      </c>
      <c r="M3830">
        <v>-179553445</v>
      </c>
      <c r="N3830">
        <v>-105419065</v>
      </c>
      <c r="O3830">
        <v>-61746740</v>
      </c>
      <c r="P3830">
        <v>162</v>
      </c>
      <c r="Q3830" t="s">
        <v>7704</v>
      </c>
    </row>
    <row r="3831" spans="1:17" x14ac:dyDescent="0.3">
      <c r="A3831" t="s">
        <v>4382</v>
      </c>
      <c r="B3831" t="str">
        <f>"300075"</f>
        <v>300075</v>
      </c>
      <c r="C3831" t="s">
        <v>7705</v>
      </c>
      <c r="D3831" t="s">
        <v>212</v>
      </c>
      <c r="F3831">
        <v>-273023153</v>
      </c>
      <c r="G3831">
        <v>-140729456</v>
      </c>
      <c r="H3831">
        <v>-172317531</v>
      </c>
      <c r="I3831">
        <v>-188335414</v>
      </c>
      <c r="J3831">
        <v>-301974712</v>
      </c>
      <c r="K3831">
        <v>-238395583</v>
      </c>
      <c r="L3831">
        <v>-52680877</v>
      </c>
      <c r="M3831">
        <v>-127117627</v>
      </c>
      <c r="N3831">
        <v>-102752373</v>
      </c>
      <c r="O3831">
        <v>-64524451</v>
      </c>
      <c r="P3831">
        <v>259</v>
      </c>
      <c r="Q3831" t="s">
        <v>7706</v>
      </c>
    </row>
    <row r="3832" spans="1:17" x14ac:dyDescent="0.3">
      <c r="A3832" t="s">
        <v>4382</v>
      </c>
      <c r="B3832" t="str">
        <f>"300076"</f>
        <v>300076</v>
      </c>
      <c r="C3832" t="s">
        <v>7707</v>
      </c>
      <c r="D3832" t="s">
        <v>150</v>
      </c>
      <c r="F3832">
        <v>-172877945</v>
      </c>
      <c r="G3832">
        <v>-63112160</v>
      </c>
      <c r="H3832">
        <v>-25868956</v>
      </c>
      <c r="I3832">
        <v>6880759</v>
      </c>
      <c r="J3832">
        <v>16728016</v>
      </c>
      <c r="K3832">
        <v>11316328</v>
      </c>
      <c r="L3832">
        <v>-33967120</v>
      </c>
      <c r="M3832">
        <v>-52683812</v>
      </c>
      <c r="N3832">
        <v>-38689868</v>
      </c>
      <c r="O3832">
        <v>-49787079</v>
      </c>
      <c r="P3832">
        <v>93</v>
      </c>
      <c r="Q3832" t="s">
        <v>7708</v>
      </c>
    </row>
    <row r="3833" spans="1:17" x14ac:dyDescent="0.3">
      <c r="A3833" t="s">
        <v>4382</v>
      </c>
      <c r="B3833" t="str">
        <f>"300077"</f>
        <v>300077</v>
      </c>
      <c r="C3833" t="s">
        <v>7709</v>
      </c>
      <c r="D3833" t="s">
        <v>150</v>
      </c>
      <c r="F3833">
        <v>-67390848</v>
      </c>
      <c r="G3833">
        <v>13755697</v>
      </c>
      <c r="H3833">
        <v>-133073801</v>
      </c>
      <c r="I3833">
        <v>2245133</v>
      </c>
      <c r="J3833">
        <v>-262581215</v>
      </c>
      <c r="K3833">
        <v>-205151129</v>
      </c>
      <c r="L3833">
        <v>-99844205</v>
      </c>
      <c r="M3833">
        <v>-97432979</v>
      </c>
      <c r="N3833">
        <v>-82252175</v>
      </c>
      <c r="O3833">
        <v>-62743664</v>
      </c>
      <c r="P3833">
        <v>3150</v>
      </c>
      <c r="Q3833" t="s">
        <v>7710</v>
      </c>
    </row>
    <row r="3834" spans="1:17" x14ac:dyDescent="0.3">
      <c r="A3834" t="s">
        <v>4382</v>
      </c>
      <c r="B3834" t="str">
        <f>"300078"</f>
        <v>300078</v>
      </c>
      <c r="C3834" t="s">
        <v>7711</v>
      </c>
      <c r="D3834" t="s">
        <v>212</v>
      </c>
      <c r="F3834">
        <v>-129025933</v>
      </c>
      <c r="G3834">
        <v>-163261330</v>
      </c>
      <c r="H3834">
        <v>-221278096</v>
      </c>
      <c r="I3834">
        <v>-140914135</v>
      </c>
      <c r="J3834">
        <v>-89786263</v>
      </c>
      <c r="K3834">
        <v>-19398039</v>
      </c>
      <c r="L3834">
        <v>99291031</v>
      </c>
      <c r="M3834">
        <v>-64172816</v>
      </c>
      <c r="N3834">
        <v>-79152075</v>
      </c>
      <c r="O3834">
        <v>8203230</v>
      </c>
      <c r="P3834">
        <v>296</v>
      </c>
      <c r="Q3834" t="s">
        <v>7712</v>
      </c>
    </row>
    <row r="3835" spans="1:17" x14ac:dyDescent="0.3">
      <c r="A3835" t="s">
        <v>4382</v>
      </c>
      <c r="B3835" t="str">
        <f>"300079"</f>
        <v>300079</v>
      </c>
      <c r="C3835" t="s">
        <v>7713</v>
      </c>
      <c r="D3835" t="s">
        <v>212</v>
      </c>
      <c r="F3835">
        <v>13965337</v>
      </c>
      <c r="G3835">
        <v>64705518</v>
      </c>
      <c r="H3835">
        <v>484173931</v>
      </c>
      <c r="I3835">
        <v>-289740031</v>
      </c>
      <c r="J3835">
        <v>79664751</v>
      </c>
      <c r="K3835">
        <v>-232956419</v>
      </c>
      <c r="L3835">
        <v>-215473545</v>
      </c>
      <c r="M3835">
        <v>-59555485</v>
      </c>
      <c r="N3835">
        <v>-131930739</v>
      </c>
      <c r="O3835">
        <v>9666880</v>
      </c>
      <c r="P3835">
        <v>261</v>
      </c>
      <c r="Q3835" t="s">
        <v>7714</v>
      </c>
    </row>
    <row r="3836" spans="1:17" x14ac:dyDescent="0.3">
      <c r="A3836" t="s">
        <v>4382</v>
      </c>
      <c r="B3836" t="str">
        <f>"300080"</f>
        <v>300080</v>
      </c>
      <c r="C3836" t="s">
        <v>7715</v>
      </c>
      <c r="D3836" t="s">
        <v>78</v>
      </c>
      <c r="F3836">
        <v>-417180997</v>
      </c>
      <c r="G3836">
        <v>-97183276</v>
      </c>
      <c r="H3836">
        <v>1015972439</v>
      </c>
      <c r="I3836">
        <v>89614712</v>
      </c>
      <c r="J3836">
        <v>-427905930</v>
      </c>
      <c r="K3836">
        <v>-221156368</v>
      </c>
      <c r="L3836">
        <v>-297628984</v>
      </c>
      <c r="M3836">
        <v>-5258982</v>
      </c>
      <c r="N3836">
        <v>386293382</v>
      </c>
      <c r="O3836">
        <v>-153653455</v>
      </c>
      <c r="P3836">
        <v>111</v>
      </c>
      <c r="Q3836" t="s">
        <v>7716</v>
      </c>
    </row>
    <row r="3837" spans="1:17" x14ac:dyDescent="0.3">
      <c r="A3837" t="s">
        <v>4382</v>
      </c>
      <c r="B3837" t="str">
        <f>"300081"</f>
        <v>300081</v>
      </c>
      <c r="C3837" t="s">
        <v>7717</v>
      </c>
      <c r="D3837" t="s">
        <v>100</v>
      </c>
      <c r="F3837">
        <v>-93831119</v>
      </c>
      <c r="G3837">
        <v>-126548509</v>
      </c>
      <c r="H3837">
        <v>-184957878</v>
      </c>
      <c r="I3837">
        <v>-162424189</v>
      </c>
      <c r="J3837">
        <v>-73434961</v>
      </c>
      <c r="K3837">
        <v>-18369055</v>
      </c>
      <c r="L3837">
        <v>-34215937</v>
      </c>
      <c r="M3837">
        <v>-106596964</v>
      </c>
      <c r="N3837">
        <v>-87282757</v>
      </c>
      <c r="O3837">
        <v>-486388537</v>
      </c>
      <c r="P3837">
        <v>160</v>
      </c>
      <c r="Q3837" t="s">
        <v>7718</v>
      </c>
    </row>
    <row r="3838" spans="1:17" x14ac:dyDescent="0.3">
      <c r="A3838" t="s">
        <v>4382</v>
      </c>
      <c r="B3838" t="str">
        <f>"300082"</f>
        <v>300082</v>
      </c>
      <c r="C3838" t="s">
        <v>7719</v>
      </c>
      <c r="D3838" t="s">
        <v>133</v>
      </c>
      <c r="F3838">
        <v>-194942366</v>
      </c>
      <c r="G3838">
        <v>307239168</v>
      </c>
      <c r="H3838">
        <v>1036921562</v>
      </c>
      <c r="I3838">
        <v>164452297</v>
      </c>
      <c r="J3838">
        <v>56461673</v>
      </c>
      <c r="K3838">
        <v>84180916</v>
      </c>
      <c r="L3838">
        <v>85118147</v>
      </c>
      <c r="M3838">
        <v>-778881275</v>
      </c>
      <c r="N3838">
        <v>-298767394</v>
      </c>
      <c r="O3838">
        <v>-147893161</v>
      </c>
      <c r="P3838">
        <v>176</v>
      </c>
      <c r="Q3838" t="s">
        <v>7720</v>
      </c>
    </row>
    <row r="3839" spans="1:17" x14ac:dyDescent="0.3">
      <c r="A3839" t="s">
        <v>4382</v>
      </c>
      <c r="B3839" t="str">
        <f>"300083"</f>
        <v>300083</v>
      </c>
      <c r="C3839" t="s">
        <v>7721</v>
      </c>
      <c r="D3839" t="s">
        <v>78</v>
      </c>
      <c r="F3839">
        <v>154457262</v>
      </c>
      <c r="G3839">
        <v>-21536072</v>
      </c>
      <c r="H3839">
        <v>-242721769</v>
      </c>
      <c r="I3839">
        <v>-370158583</v>
      </c>
      <c r="J3839">
        <v>-215180336</v>
      </c>
      <c r="K3839">
        <v>-298103323</v>
      </c>
      <c r="L3839">
        <v>-813822343</v>
      </c>
      <c r="M3839">
        <v>-728684410</v>
      </c>
      <c r="N3839">
        <v>100258615</v>
      </c>
      <c r="O3839">
        <v>-5758813</v>
      </c>
      <c r="P3839">
        <v>488</v>
      </c>
      <c r="Q3839" t="s">
        <v>7722</v>
      </c>
    </row>
    <row r="3840" spans="1:17" x14ac:dyDescent="0.3">
      <c r="A3840" t="s">
        <v>4382</v>
      </c>
      <c r="B3840" t="str">
        <f>"300084"</f>
        <v>300084</v>
      </c>
      <c r="C3840" t="s">
        <v>7723</v>
      </c>
      <c r="D3840" t="s">
        <v>78</v>
      </c>
      <c r="F3840">
        <v>46284039</v>
      </c>
      <c r="G3840">
        <v>-5032267</v>
      </c>
      <c r="H3840">
        <v>-121365652</v>
      </c>
      <c r="I3840">
        <v>-30101440</v>
      </c>
      <c r="J3840">
        <v>-45034365</v>
      </c>
      <c r="K3840">
        <v>-49092452</v>
      </c>
      <c r="L3840">
        <v>-39319651</v>
      </c>
      <c r="M3840">
        <v>-55546253</v>
      </c>
      <c r="N3840">
        <v>-50792419</v>
      </c>
      <c r="O3840">
        <v>-49204894</v>
      </c>
      <c r="P3840">
        <v>69</v>
      </c>
      <c r="Q3840" t="s">
        <v>7724</v>
      </c>
    </row>
    <row r="3841" spans="1:17" x14ac:dyDescent="0.3">
      <c r="A3841" t="s">
        <v>4382</v>
      </c>
      <c r="B3841" t="str">
        <f>"300085"</f>
        <v>300085</v>
      </c>
      <c r="C3841" t="s">
        <v>7725</v>
      </c>
      <c r="D3841" t="s">
        <v>212</v>
      </c>
      <c r="F3841">
        <v>-125426187</v>
      </c>
      <c r="G3841">
        <v>-59960751</v>
      </c>
      <c r="H3841">
        <v>-156025802</v>
      </c>
      <c r="I3841">
        <v>-135531791</v>
      </c>
      <c r="J3841">
        <v>-154716690</v>
      </c>
      <c r="K3841">
        <v>-142979652</v>
      </c>
      <c r="L3841">
        <v>-78201411</v>
      </c>
      <c r="M3841">
        <v>-49847529</v>
      </c>
      <c r="N3841">
        <v>-54404565</v>
      </c>
      <c r="O3841">
        <v>-58167339</v>
      </c>
      <c r="P3841">
        <v>255</v>
      </c>
      <c r="Q3841" t="s">
        <v>7726</v>
      </c>
    </row>
    <row r="3842" spans="1:17" x14ac:dyDescent="0.3">
      <c r="A3842" t="s">
        <v>4382</v>
      </c>
      <c r="B3842" t="str">
        <f>"300086"</f>
        <v>300086</v>
      </c>
      <c r="C3842" t="s">
        <v>7727</v>
      </c>
      <c r="D3842" t="s">
        <v>113</v>
      </c>
      <c r="F3842">
        <v>-164646277</v>
      </c>
      <c r="G3842">
        <v>-247852520</v>
      </c>
      <c r="H3842">
        <v>-112263366</v>
      </c>
      <c r="I3842">
        <v>-198990431</v>
      </c>
      <c r="J3842">
        <v>-95326822</v>
      </c>
      <c r="K3842">
        <v>-17021214</v>
      </c>
      <c r="L3842">
        <v>-15653915</v>
      </c>
      <c r="M3842">
        <v>34038133</v>
      </c>
      <c r="N3842">
        <v>12277546</v>
      </c>
      <c r="O3842">
        <v>-6491746</v>
      </c>
      <c r="P3842">
        <v>106</v>
      </c>
      <c r="Q3842" t="s">
        <v>7728</v>
      </c>
    </row>
    <row r="3843" spans="1:17" x14ac:dyDescent="0.3">
      <c r="A3843" t="s">
        <v>4382</v>
      </c>
      <c r="B3843" t="str">
        <f>"300087"</f>
        <v>300087</v>
      </c>
      <c r="C3843" t="s">
        <v>7729</v>
      </c>
      <c r="D3843" t="s">
        <v>205</v>
      </c>
      <c r="F3843">
        <v>439542790</v>
      </c>
      <c r="G3843">
        <v>-116887443</v>
      </c>
      <c r="H3843">
        <v>36541388</v>
      </c>
      <c r="I3843">
        <v>147653585</v>
      </c>
      <c r="J3843">
        <v>111688325</v>
      </c>
      <c r="K3843">
        <v>84482631</v>
      </c>
      <c r="L3843">
        <v>-32465451</v>
      </c>
      <c r="M3843">
        <v>-29031816</v>
      </c>
      <c r="N3843">
        <v>-109039986</v>
      </c>
      <c r="O3843">
        <v>-4658632</v>
      </c>
      <c r="P3843">
        <v>232</v>
      </c>
      <c r="Q3843" t="s">
        <v>7730</v>
      </c>
    </row>
    <row r="3844" spans="1:17" x14ac:dyDescent="0.3">
      <c r="A3844" t="s">
        <v>4382</v>
      </c>
      <c r="B3844" t="str">
        <f>"300088"</f>
        <v>300088</v>
      </c>
      <c r="C3844" t="s">
        <v>7731</v>
      </c>
      <c r="D3844" t="s">
        <v>150</v>
      </c>
      <c r="F3844">
        <v>-415980008</v>
      </c>
      <c r="G3844">
        <v>788836365</v>
      </c>
      <c r="H3844">
        <v>487121132</v>
      </c>
      <c r="I3844">
        <v>-449063188</v>
      </c>
      <c r="J3844">
        <v>47684417</v>
      </c>
      <c r="K3844">
        <v>-175976315</v>
      </c>
      <c r="L3844">
        <v>61603781</v>
      </c>
      <c r="M3844">
        <v>-215060379</v>
      </c>
      <c r="N3844">
        <v>-172820264</v>
      </c>
      <c r="O3844">
        <v>7173077</v>
      </c>
      <c r="P3844">
        <v>950</v>
      </c>
      <c r="Q3844" t="s">
        <v>7732</v>
      </c>
    </row>
    <row r="3845" spans="1:17" x14ac:dyDescent="0.3">
      <c r="A3845" t="s">
        <v>4382</v>
      </c>
      <c r="B3845" t="str">
        <f>"300089"</f>
        <v>300089</v>
      </c>
      <c r="C3845" t="s">
        <v>7733</v>
      </c>
      <c r="D3845" t="s">
        <v>110</v>
      </c>
      <c r="F3845">
        <v>-19928408</v>
      </c>
      <c r="G3845">
        <v>-28297631</v>
      </c>
      <c r="H3845">
        <v>-87417527</v>
      </c>
      <c r="I3845">
        <v>-188554321</v>
      </c>
      <c r="J3845">
        <v>-24665895</v>
      </c>
      <c r="K3845">
        <v>-17403330</v>
      </c>
      <c r="L3845">
        <v>-42748466</v>
      </c>
      <c r="M3845">
        <v>16001943</v>
      </c>
      <c r="N3845">
        <v>-85988620</v>
      </c>
      <c r="O3845">
        <v>26988891</v>
      </c>
      <c r="P3845">
        <v>101</v>
      </c>
      <c r="Q3845" t="s">
        <v>7734</v>
      </c>
    </row>
    <row r="3846" spans="1:17" x14ac:dyDescent="0.3">
      <c r="A3846" t="s">
        <v>4382</v>
      </c>
      <c r="B3846" t="str">
        <f>"300090"</f>
        <v>300090</v>
      </c>
      <c r="C3846" t="s">
        <v>7735</v>
      </c>
      <c r="H3846">
        <v>105981168</v>
      </c>
      <c r="I3846">
        <v>173807560</v>
      </c>
      <c r="J3846">
        <v>-1242585239</v>
      </c>
      <c r="K3846">
        <v>-1739519553</v>
      </c>
      <c r="L3846">
        <v>-1091828131</v>
      </c>
      <c r="M3846">
        <v>-367148417</v>
      </c>
      <c r="N3846">
        <v>-206309506</v>
      </c>
      <c r="O3846">
        <v>-257027838</v>
      </c>
      <c r="P3846">
        <v>72</v>
      </c>
      <c r="Q3846" t="s">
        <v>7736</v>
      </c>
    </row>
    <row r="3847" spans="1:17" x14ac:dyDescent="0.3">
      <c r="A3847" t="s">
        <v>4382</v>
      </c>
      <c r="B3847" t="str">
        <f>"300091"</f>
        <v>300091</v>
      </c>
      <c r="C3847" t="s">
        <v>7737</v>
      </c>
      <c r="D3847" t="s">
        <v>78</v>
      </c>
      <c r="F3847">
        <v>-209372385</v>
      </c>
      <c r="G3847">
        <v>-346965280</v>
      </c>
      <c r="H3847">
        <v>-210277123</v>
      </c>
      <c r="I3847">
        <v>-107145511</v>
      </c>
      <c r="J3847">
        <v>-175502250</v>
      </c>
      <c r="K3847">
        <v>-79985706</v>
      </c>
      <c r="L3847">
        <v>-40620977</v>
      </c>
      <c r="M3847">
        <v>-89462103</v>
      </c>
      <c r="N3847">
        <v>-225312313</v>
      </c>
      <c r="O3847">
        <v>-205862166</v>
      </c>
      <c r="P3847">
        <v>101</v>
      </c>
      <c r="Q3847" t="s">
        <v>7738</v>
      </c>
    </row>
    <row r="3848" spans="1:17" x14ac:dyDescent="0.3">
      <c r="A3848" t="s">
        <v>4382</v>
      </c>
      <c r="B3848" t="str">
        <f>"300092"</f>
        <v>300092</v>
      </c>
      <c r="C3848" t="s">
        <v>7739</v>
      </c>
      <c r="D3848" t="s">
        <v>78</v>
      </c>
      <c r="F3848">
        <v>-10727859</v>
      </c>
      <c r="G3848">
        <v>7868884</v>
      </c>
      <c r="H3848">
        <v>64664234</v>
      </c>
      <c r="I3848">
        <v>-10870596</v>
      </c>
      <c r="J3848">
        <v>-68421748</v>
      </c>
      <c r="K3848">
        <v>-50292951</v>
      </c>
      <c r="L3848">
        <v>21624466</v>
      </c>
      <c r="M3848">
        <v>-15226998</v>
      </c>
      <c r="N3848">
        <v>-43548131</v>
      </c>
      <c r="O3848">
        <v>-82915868</v>
      </c>
      <c r="P3848">
        <v>81</v>
      </c>
      <c r="Q3848" t="s">
        <v>7740</v>
      </c>
    </row>
    <row r="3849" spans="1:17" x14ac:dyDescent="0.3">
      <c r="A3849" t="s">
        <v>4382</v>
      </c>
      <c r="B3849" t="str">
        <f>"300093"</f>
        <v>300093</v>
      </c>
      <c r="C3849" t="s">
        <v>7741</v>
      </c>
      <c r="D3849" t="s">
        <v>350</v>
      </c>
      <c r="F3849">
        <v>33273082</v>
      </c>
      <c r="G3849">
        <v>-119938340</v>
      </c>
      <c r="H3849">
        <v>233909394</v>
      </c>
      <c r="I3849">
        <v>3348956</v>
      </c>
      <c r="J3849">
        <v>-19552673</v>
      </c>
      <c r="K3849">
        <v>1859689</v>
      </c>
      <c r="L3849">
        <v>39340944</v>
      </c>
      <c r="M3849">
        <v>15534266</v>
      </c>
      <c r="N3849">
        <v>-41948935</v>
      </c>
      <c r="O3849">
        <v>43062289</v>
      </c>
      <c r="P3849">
        <v>80</v>
      </c>
      <c r="Q3849" t="s">
        <v>7742</v>
      </c>
    </row>
    <row r="3850" spans="1:17" x14ac:dyDescent="0.3">
      <c r="A3850" t="s">
        <v>4382</v>
      </c>
      <c r="B3850" t="str">
        <f>"300094"</f>
        <v>300094</v>
      </c>
      <c r="C3850" t="s">
        <v>7743</v>
      </c>
      <c r="D3850" t="s">
        <v>205</v>
      </c>
      <c r="F3850">
        <v>263304318</v>
      </c>
      <c r="G3850">
        <v>-235986651</v>
      </c>
      <c r="H3850">
        <v>-397913578</v>
      </c>
      <c r="I3850">
        <v>-304731570</v>
      </c>
      <c r="J3850">
        <v>-436830739</v>
      </c>
      <c r="K3850">
        <v>-29368637</v>
      </c>
      <c r="L3850">
        <v>69373927</v>
      </c>
      <c r="M3850">
        <v>-45439453</v>
      </c>
      <c r="N3850">
        <v>-101951325</v>
      </c>
      <c r="O3850">
        <v>-218800837</v>
      </c>
      <c r="P3850">
        <v>123</v>
      </c>
      <c r="Q3850" t="s">
        <v>7744</v>
      </c>
    </row>
    <row r="3851" spans="1:17" x14ac:dyDescent="0.3">
      <c r="A3851" t="s">
        <v>4382</v>
      </c>
      <c r="B3851" t="str">
        <f>"300095"</f>
        <v>300095</v>
      </c>
      <c r="C3851" t="s">
        <v>7745</v>
      </c>
      <c r="D3851" t="s">
        <v>78</v>
      </c>
      <c r="F3851">
        <v>-23517564</v>
      </c>
      <c r="G3851">
        <v>21156675</v>
      </c>
      <c r="H3851">
        <v>-62903117</v>
      </c>
      <c r="I3851">
        <v>-117344687</v>
      </c>
      <c r="J3851">
        <v>-68430836</v>
      </c>
      <c r="K3851">
        <v>48176740</v>
      </c>
      <c r="L3851">
        <v>56003266</v>
      </c>
      <c r="M3851">
        <v>20538603</v>
      </c>
      <c r="N3851">
        <v>-30088245</v>
      </c>
      <c r="O3851">
        <v>-127298645</v>
      </c>
      <c r="P3851">
        <v>128</v>
      </c>
      <c r="Q3851" t="s">
        <v>7746</v>
      </c>
    </row>
    <row r="3852" spans="1:17" x14ac:dyDescent="0.3">
      <c r="A3852" t="s">
        <v>4382</v>
      </c>
      <c r="B3852" t="str">
        <f>"300096"</f>
        <v>300096</v>
      </c>
      <c r="C3852" t="s">
        <v>7747</v>
      </c>
      <c r="D3852" t="s">
        <v>212</v>
      </c>
      <c r="F3852">
        <v>-269721140</v>
      </c>
      <c r="G3852">
        <v>-222795399</v>
      </c>
      <c r="H3852">
        <v>-137162970</v>
      </c>
      <c r="I3852">
        <v>-175983523</v>
      </c>
      <c r="J3852">
        <v>-175080791</v>
      </c>
      <c r="K3852">
        <v>-248885480</v>
      </c>
      <c r="L3852">
        <v>-107613683</v>
      </c>
      <c r="M3852">
        <v>-77938519</v>
      </c>
      <c r="N3852">
        <v>-66343785</v>
      </c>
      <c r="O3852">
        <v>-22682694</v>
      </c>
      <c r="P3852">
        <v>169</v>
      </c>
      <c r="Q3852" t="s">
        <v>7748</v>
      </c>
    </row>
    <row r="3853" spans="1:17" x14ac:dyDescent="0.3">
      <c r="A3853" t="s">
        <v>4382</v>
      </c>
      <c r="B3853" t="str">
        <f>"300097"</f>
        <v>300097</v>
      </c>
      <c r="C3853" t="s">
        <v>7749</v>
      </c>
      <c r="D3853" t="s">
        <v>78</v>
      </c>
      <c r="F3853">
        <v>14617702</v>
      </c>
      <c r="G3853">
        <v>139953362</v>
      </c>
      <c r="H3853">
        <v>-50007972</v>
      </c>
      <c r="I3853">
        <v>-20607937</v>
      </c>
      <c r="J3853">
        <v>-58561201</v>
      </c>
      <c r="K3853">
        <v>-117299690</v>
      </c>
      <c r="L3853">
        <v>-54744071</v>
      </c>
      <c r="M3853">
        <v>-19913689</v>
      </c>
      <c r="N3853">
        <v>-10940631</v>
      </c>
      <c r="O3853">
        <v>13288777</v>
      </c>
      <c r="P3853">
        <v>203</v>
      </c>
      <c r="Q3853" t="s">
        <v>7750</v>
      </c>
    </row>
    <row r="3854" spans="1:17" x14ac:dyDescent="0.3">
      <c r="A3854" t="s">
        <v>4382</v>
      </c>
      <c r="B3854" t="str">
        <f>"300098"</f>
        <v>300098</v>
      </c>
      <c r="C3854" t="s">
        <v>7751</v>
      </c>
      <c r="D3854" t="s">
        <v>212</v>
      </c>
      <c r="F3854">
        <v>-232666160</v>
      </c>
      <c r="G3854">
        <v>-566967790</v>
      </c>
      <c r="H3854">
        <v>-583548052</v>
      </c>
      <c r="I3854">
        <v>-423993490</v>
      </c>
      <c r="J3854">
        <v>-106840690</v>
      </c>
      <c r="K3854">
        <v>-12713524</v>
      </c>
      <c r="L3854">
        <v>-223631052</v>
      </c>
      <c r="M3854">
        <v>-209205165</v>
      </c>
      <c r="N3854">
        <v>-67755207</v>
      </c>
      <c r="O3854">
        <v>-85314384</v>
      </c>
      <c r="P3854">
        <v>368</v>
      </c>
      <c r="Q3854" t="s">
        <v>7752</v>
      </c>
    </row>
    <row r="3855" spans="1:17" x14ac:dyDescent="0.3">
      <c r="A3855" t="s">
        <v>4382</v>
      </c>
      <c r="B3855" t="str">
        <f>"300099"</f>
        <v>300099</v>
      </c>
      <c r="C3855" t="s">
        <v>7753</v>
      </c>
      <c r="D3855" t="s">
        <v>78</v>
      </c>
      <c r="F3855">
        <v>1822694</v>
      </c>
      <c r="G3855">
        <v>53120098</v>
      </c>
      <c r="H3855">
        <v>137183409</v>
      </c>
      <c r="I3855">
        <v>28381684</v>
      </c>
      <c r="J3855">
        <v>39912958</v>
      </c>
      <c r="K3855">
        <v>-7021749</v>
      </c>
      <c r="L3855">
        <v>3375127</v>
      </c>
      <c r="M3855">
        <v>-36570207</v>
      </c>
      <c r="N3855">
        <v>10245923</v>
      </c>
      <c r="O3855">
        <v>1790817</v>
      </c>
      <c r="P3855">
        <v>134</v>
      </c>
      <c r="Q3855" t="s">
        <v>7754</v>
      </c>
    </row>
    <row r="3856" spans="1:17" x14ac:dyDescent="0.3">
      <c r="A3856" t="s">
        <v>4382</v>
      </c>
      <c r="B3856" t="str">
        <f>"300100"</f>
        <v>300100</v>
      </c>
      <c r="C3856" t="s">
        <v>7755</v>
      </c>
      <c r="D3856" t="s">
        <v>27</v>
      </c>
      <c r="F3856">
        <v>198200511</v>
      </c>
      <c r="G3856">
        <v>461264199</v>
      </c>
      <c r="H3856">
        <v>137606811</v>
      </c>
      <c r="I3856">
        <v>211378665</v>
      </c>
      <c r="J3856">
        <v>-72580628</v>
      </c>
      <c r="K3856">
        <v>140907904</v>
      </c>
      <c r="L3856">
        <v>8914427</v>
      </c>
      <c r="M3856">
        <v>-170474875</v>
      </c>
      <c r="N3856">
        <v>-101087242</v>
      </c>
      <c r="O3856">
        <v>55864064</v>
      </c>
      <c r="P3856">
        <v>129</v>
      </c>
      <c r="Q3856" t="s">
        <v>7756</v>
      </c>
    </row>
    <row r="3857" spans="1:17" x14ac:dyDescent="0.3">
      <c r="A3857" t="s">
        <v>4382</v>
      </c>
      <c r="B3857" t="str">
        <f>"300101"</f>
        <v>300101</v>
      </c>
      <c r="C3857" t="s">
        <v>7757</v>
      </c>
      <c r="D3857" t="s">
        <v>92</v>
      </c>
      <c r="F3857">
        <v>-149312125</v>
      </c>
      <c r="G3857">
        <v>-120137639</v>
      </c>
      <c r="H3857">
        <v>-192987496</v>
      </c>
      <c r="I3857">
        <v>61794219</v>
      </c>
      <c r="J3857">
        <v>-124759500</v>
      </c>
      <c r="K3857">
        <v>-254837491</v>
      </c>
      <c r="L3857">
        <v>-243859002</v>
      </c>
      <c r="M3857">
        <v>-139856423</v>
      </c>
      <c r="N3857">
        <v>-107677248</v>
      </c>
      <c r="O3857">
        <v>-202529337</v>
      </c>
      <c r="P3857">
        <v>3121</v>
      </c>
      <c r="Q3857" t="s">
        <v>7758</v>
      </c>
    </row>
    <row r="3858" spans="1:17" x14ac:dyDescent="0.3">
      <c r="A3858" t="s">
        <v>4382</v>
      </c>
      <c r="B3858" t="str">
        <f>"300102"</f>
        <v>300102</v>
      </c>
      <c r="C3858" t="s">
        <v>7759</v>
      </c>
      <c r="D3858" t="s">
        <v>150</v>
      </c>
      <c r="F3858">
        <v>100335494</v>
      </c>
      <c r="G3858">
        <v>-86889277</v>
      </c>
      <c r="H3858">
        <v>-546546474</v>
      </c>
      <c r="I3858">
        <v>-1273216566</v>
      </c>
      <c r="J3858">
        <v>29890039</v>
      </c>
      <c r="K3858">
        <v>-234870133</v>
      </c>
      <c r="L3858">
        <v>-374198494</v>
      </c>
      <c r="M3858">
        <v>-124482460</v>
      </c>
      <c r="N3858">
        <v>15808970</v>
      </c>
      <c r="O3858">
        <v>-7558446</v>
      </c>
      <c r="P3858">
        <v>158</v>
      </c>
      <c r="Q3858" t="s">
        <v>7760</v>
      </c>
    </row>
    <row r="3859" spans="1:17" x14ac:dyDescent="0.3">
      <c r="A3859" t="s">
        <v>4382</v>
      </c>
      <c r="B3859" t="str">
        <f>"300103"</f>
        <v>300103</v>
      </c>
      <c r="C3859" t="s">
        <v>7761</v>
      </c>
      <c r="D3859" t="s">
        <v>78</v>
      </c>
      <c r="F3859">
        <v>70697559</v>
      </c>
      <c r="G3859">
        <v>-58402736</v>
      </c>
      <c r="H3859">
        <v>49369628</v>
      </c>
      <c r="I3859">
        <v>-20221066</v>
      </c>
      <c r="J3859">
        <v>-12662083</v>
      </c>
      <c r="K3859">
        <v>19858593</v>
      </c>
      <c r="L3859">
        <v>24400860</v>
      </c>
      <c r="M3859">
        <v>64918038</v>
      </c>
      <c r="N3859">
        <v>-28167017</v>
      </c>
      <c r="O3859">
        <v>-1124241</v>
      </c>
      <c r="P3859">
        <v>53</v>
      </c>
      <c r="Q3859" t="s">
        <v>7762</v>
      </c>
    </row>
    <row r="3860" spans="1:17" x14ac:dyDescent="0.3">
      <c r="A3860" t="s">
        <v>4382</v>
      </c>
      <c r="B3860" t="str">
        <f>"300104"</f>
        <v>300104</v>
      </c>
      <c r="C3860" t="s">
        <v>7763</v>
      </c>
      <c r="H3860">
        <v>-48197715</v>
      </c>
      <c r="I3860">
        <v>-1148152646</v>
      </c>
      <c r="J3860">
        <v>-5293772122</v>
      </c>
      <c r="K3860">
        <v>-3508526586.04</v>
      </c>
      <c r="L3860">
        <v>-1263505512.1600001</v>
      </c>
      <c r="M3860">
        <v>-545142132.05999994</v>
      </c>
      <c r="N3860">
        <v>-473033577.5</v>
      </c>
      <c r="O3860">
        <v>-506734702.99000001</v>
      </c>
      <c r="P3860">
        <v>205</v>
      </c>
      <c r="Q3860" t="s">
        <v>7764</v>
      </c>
    </row>
    <row r="3861" spans="1:17" x14ac:dyDescent="0.3">
      <c r="A3861" t="s">
        <v>4382</v>
      </c>
      <c r="B3861" t="str">
        <f>"300105"</f>
        <v>300105</v>
      </c>
      <c r="C3861" t="s">
        <v>7765</v>
      </c>
      <c r="D3861" t="s">
        <v>188</v>
      </c>
      <c r="F3861">
        <v>-178218</v>
      </c>
      <c r="G3861">
        <v>-12549761</v>
      </c>
      <c r="H3861">
        <v>-17594879</v>
      </c>
      <c r="I3861">
        <v>-4218031</v>
      </c>
      <c r="J3861">
        <v>-98135854</v>
      </c>
      <c r="K3861">
        <v>83716233</v>
      </c>
      <c r="L3861">
        <v>-16346448</v>
      </c>
      <c r="M3861">
        <v>-229091319</v>
      </c>
      <c r="N3861">
        <v>-66585120</v>
      </c>
      <c r="O3861">
        <v>34337816</v>
      </c>
      <c r="P3861">
        <v>56</v>
      </c>
      <c r="Q3861" t="s">
        <v>7766</v>
      </c>
    </row>
    <row r="3862" spans="1:17" x14ac:dyDescent="0.3">
      <c r="A3862" t="s">
        <v>4382</v>
      </c>
      <c r="B3862" t="str">
        <f>"300106"</f>
        <v>300106</v>
      </c>
      <c r="C3862" t="s">
        <v>7767</v>
      </c>
      <c r="D3862" t="s">
        <v>123</v>
      </c>
      <c r="F3862">
        <v>61174944</v>
      </c>
      <c r="G3862">
        <v>10669382</v>
      </c>
      <c r="H3862">
        <v>78092371</v>
      </c>
      <c r="I3862">
        <v>277984058</v>
      </c>
      <c r="J3862">
        <v>-74507959</v>
      </c>
      <c r="K3862">
        <v>-301852924</v>
      </c>
      <c r="L3862">
        <v>-52893553</v>
      </c>
      <c r="M3862">
        <v>-58716791</v>
      </c>
      <c r="N3862">
        <v>-31076952</v>
      </c>
      <c r="O3862">
        <v>-79874522</v>
      </c>
      <c r="P3862">
        <v>124</v>
      </c>
      <c r="Q3862" t="s">
        <v>7768</v>
      </c>
    </row>
    <row r="3863" spans="1:17" x14ac:dyDescent="0.3">
      <c r="A3863" t="s">
        <v>4382</v>
      </c>
      <c r="B3863" t="str">
        <f>"300107"</f>
        <v>300107</v>
      </c>
      <c r="C3863" t="s">
        <v>7769</v>
      </c>
      <c r="D3863" t="s">
        <v>133</v>
      </c>
      <c r="F3863">
        <v>-101992734</v>
      </c>
      <c r="G3863">
        <v>92868007</v>
      </c>
      <c r="H3863">
        <v>8378319</v>
      </c>
      <c r="I3863">
        <v>386789572</v>
      </c>
      <c r="J3863">
        <v>19103016</v>
      </c>
      <c r="K3863">
        <v>77604031</v>
      </c>
      <c r="L3863">
        <v>41752890</v>
      </c>
      <c r="M3863">
        <v>32753236</v>
      </c>
      <c r="N3863">
        <v>1576318</v>
      </c>
      <c r="O3863">
        <v>-74472821</v>
      </c>
      <c r="P3863">
        <v>239</v>
      </c>
      <c r="Q3863" t="s">
        <v>7770</v>
      </c>
    </row>
    <row r="3864" spans="1:17" x14ac:dyDescent="0.3">
      <c r="A3864" t="s">
        <v>4382</v>
      </c>
      <c r="B3864" t="str">
        <f>"300108"</f>
        <v>300108</v>
      </c>
      <c r="C3864" t="s">
        <v>7771</v>
      </c>
      <c r="D3864" t="s">
        <v>113</v>
      </c>
      <c r="F3864">
        <v>61828944</v>
      </c>
      <c r="G3864">
        <v>-175194809</v>
      </c>
      <c r="H3864">
        <v>156068543</v>
      </c>
      <c r="I3864">
        <v>-289967289</v>
      </c>
      <c r="J3864">
        <v>-73325847</v>
      </c>
      <c r="K3864">
        <v>-175733314</v>
      </c>
      <c r="L3864">
        <v>-138709856</v>
      </c>
      <c r="M3864">
        <v>16131161</v>
      </c>
      <c r="N3864">
        <v>-42308886</v>
      </c>
      <c r="O3864">
        <v>-36401718</v>
      </c>
      <c r="P3864">
        <v>121</v>
      </c>
      <c r="Q3864" t="s">
        <v>7772</v>
      </c>
    </row>
    <row r="3865" spans="1:17" x14ac:dyDescent="0.3">
      <c r="A3865" t="s">
        <v>4382</v>
      </c>
      <c r="B3865" t="str">
        <f>"300109"</f>
        <v>300109</v>
      </c>
      <c r="C3865" t="s">
        <v>7773</v>
      </c>
      <c r="D3865" t="s">
        <v>133</v>
      </c>
      <c r="F3865">
        <v>-21829247</v>
      </c>
      <c r="G3865">
        <v>100922204</v>
      </c>
      <c r="H3865">
        <v>-115579945</v>
      </c>
      <c r="I3865">
        <v>-81127533</v>
      </c>
      <c r="J3865">
        <v>-78520312</v>
      </c>
      <c r="K3865">
        <v>34687689</v>
      </c>
      <c r="L3865">
        <v>-1070348</v>
      </c>
      <c r="M3865">
        <v>-8113881</v>
      </c>
      <c r="N3865">
        <v>-5252741</v>
      </c>
      <c r="O3865">
        <v>-62840999</v>
      </c>
      <c r="P3865">
        <v>122</v>
      </c>
      <c r="Q3865" t="s">
        <v>7774</v>
      </c>
    </row>
    <row r="3866" spans="1:17" x14ac:dyDescent="0.3">
      <c r="A3866" t="s">
        <v>4382</v>
      </c>
      <c r="B3866" t="str">
        <f>"300110"</f>
        <v>300110</v>
      </c>
      <c r="C3866" t="s">
        <v>7775</v>
      </c>
      <c r="D3866" t="s">
        <v>113</v>
      </c>
      <c r="F3866">
        <v>-786817837</v>
      </c>
      <c r="G3866">
        <v>70771660</v>
      </c>
      <c r="H3866">
        <v>165176962</v>
      </c>
      <c r="I3866">
        <v>159515754</v>
      </c>
      <c r="J3866">
        <v>107602162</v>
      </c>
      <c r="K3866">
        <v>16021868</v>
      </c>
      <c r="L3866">
        <v>-107614844</v>
      </c>
      <c r="M3866">
        <v>-120730428</v>
      </c>
      <c r="N3866">
        <v>-75106491</v>
      </c>
      <c r="O3866">
        <v>-149280426</v>
      </c>
      <c r="P3866">
        <v>126</v>
      </c>
      <c r="Q3866" t="s">
        <v>7776</v>
      </c>
    </row>
    <row r="3867" spans="1:17" x14ac:dyDescent="0.3">
      <c r="A3867" t="s">
        <v>4382</v>
      </c>
      <c r="B3867" t="str">
        <f>"300111"</f>
        <v>300111</v>
      </c>
      <c r="C3867" t="s">
        <v>7777</v>
      </c>
      <c r="D3867" t="s">
        <v>188</v>
      </c>
      <c r="F3867">
        <v>66060029</v>
      </c>
      <c r="G3867">
        <v>71548884</v>
      </c>
      <c r="H3867">
        <v>86880866</v>
      </c>
      <c r="I3867">
        <v>184285703</v>
      </c>
      <c r="J3867">
        <v>-5709675</v>
      </c>
      <c r="K3867">
        <v>109237675</v>
      </c>
      <c r="L3867">
        <v>116091184</v>
      </c>
      <c r="M3867">
        <v>-96585175</v>
      </c>
      <c r="N3867">
        <v>-71997705</v>
      </c>
      <c r="O3867">
        <v>-190118036</v>
      </c>
      <c r="P3867">
        <v>124</v>
      </c>
      <c r="Q3867" t="s">
        <v>7778</v>
      </c>
    </row>
    <row r="3868" spans="1:17" x14ac:dyDescent="0.3">
      <c r="A3868" t="s">
        <v>4382</v>
      </c>
      <c r="B3868" t="str">
        <f>"300112"</f>
        <v>300112</v>
      </c>
      <c r="C3868" t="s">
        <v>7779</v>
      </c>
      <c r="D3868" t="s">
        <v>78</v>
      </c>
      <c r="F3868">
        <v>5694718</v>
      </c>
      <c r="G3868">
        <v>41579313</v>
      </c>
      <c r="H3868">
        <v>38924812</v>
      </c>
      <c r="I3868">
        <v>-25882804</v>
      </c>
      <c r="J3868">
        <v>43542626</v>
      </c>
      <c r="K3868">
        <v>30174658</v>
      </c>
      <c r="L3868">
        <v>-18296579</v>
      </c>
      <c r="M3868">
        <v>-11341215</v>
      </c>
      <c r="N3868">
        <v>944605</v>
      </c>
      <c r="O3868">
        <v>-25093694</v>
      </c>
      <c r="P3868">
        <v>123</v>
      </c>
      <c r="Q3868" t="s">
        <v>7780</v>
      </c>
    </row>
    <row r="3869" spans="1:17" x14ac:dyDescent="0.3">
      <c r="A3869" t="s">
        <v>4382</v>
      </c>
      <c r="B3869" t="str">
        <f>"300113"</f>
        <v>300113</v>
      </c>
      <c r="C3869" t="s">
        <v>7781</v>
      </c>
      <c r="D3869" t="s">
        <v>89</v>
      </c>
      <c r="F3869">
        <v>151531013</v>
      </c>
      <c r="G3869">
        <v>-66726767</v>
      </c>
      <c r="H3869">
        <v>195971095</v>
      </c>
      <c r="I3869">
        <v>410634228</v>
      </c>
      <c r="J3869">
        <v>371456943</v>
      </c>
      <c r="K3869">
        <v>435268743</v>
      </c>
      <c r="L3869">
        <v>222057887</v>
      </c>
      <c r="M3869">
        <v>134650015</v>
      </c>
      <c r="N3869">
        <v>65802981</v>
      </c>
      <c r="O3869">
        <v>45835496</v>
      </c>
      <c r="P3869">
        <v>481</v>
      </c>
      <c r="Q3869" t="s">
        <v>7782</v>
      </c>
    </row>
    <row r="3870" spans="1:17" x14ac:dyDescent="0.3">
      <c r="A3870" t="s">
        <v>4382</v>
      </c>
      <c r="B3870" t="str">
        <f>"300114"</f>
        <v>300114</v>
      </c>
      <c r="C3870" t="s">
        <v>7783</v>
      </c>
      <c r="D3870" t="s">
        <v>92</v>
      </c>
      <c r="F3870">
        <v>-308601622</v>
      </c>
      <c r="G3870">
        <v>-98579204</v>
      </c>
      <c r="H3870">
        <v>149847040</v>
      </c>
      <c r="I3870">
        <v>-27901510</v>
      </c>
      <c r="J3870">
        <v>-37015029</v>
      </c>
      <c r="K3870">
        <v>31649334</v>
      </c>
      <c r="L3870">
        <v>3773338</v>
      </c>
      <c r="M3870">
        <v>17603211</v>
      </c>
      <c r="N3870">
        <v>-30953716</v>
      </c>
      <c r="O3870">
        <v>-56745223</v>
      </c>
      <c r="P3870">
        <v>259</v>
      </c>
      <c r="Q3870" t="s">
        <v>7784</v>
      </c>
    </row>
    <row r="3871" spans="1:17" x14ac:dyDescent="0.3">
      <c r="A3871" t="s">
        <v>4382</v>
      </c>
      <c r="B3871" t="str">
        <f>"300115"</f>
        <v>300115</v>
      </c>
      <c r="C3871" t="s">
        <v>7785</v>
      </c>
      <c r="D3871" t="s">
        <v>150</v>
      </c>
      <c r="F3871">
        <v>-1323479059</v>
      </c>
      <c r="G3871">
        <v>-483659653</v>
      </c>
      <c r="H3871">
        <v>-60649009</v>
      </c>
      <c r="I3871">
        <v>257358485</v>
      </c>
      <c r="J3871">
        <v>-737115182</v>
      </c>
      <c r="K3871">
        <v>103826071</v>
      </c>
      <c r="L3871">
        <v>64790534</v>
      </c>
      <c r="M3871">
        <v>-357766544</v>
      </c>
      <c r="N3871">
        <v>-82589089</v>
      </c>
      <c r="O3871">
        <v>-210930611</v>
      </c>
      <c r="P3871">
        <v>870</v>
      </c>
      <c r="Q3871" t="s">
        <v>7786</v>
      </c>
    </row>
    <row r="3872" spans="1:17" x14ac:dyDescent="0.3">
      <c r="A3872" t="s">
        <v>4382</v>
      </c>
      <c r="B3872" t="str">
        <f>"300116"</f>
        <v>300116</v>
      </c>
      <c r="C3872" t="s">
        <v>7787</v>
      </c>
      <c r="D3872" t="s">
        <v>188</v>
      </c>
      <c r="F3872">
        <v>-80865094</v>
      </c>
      <c r="G3872">
        <v>-226456530</v>
      </c>
      <c r="H3872">
        <v>-6241295</v>
      </c>
      <c r="I3872">
        <v>-38142283</v>
      </c>
      <c r="J3872">
        <v>-3824035336</v>
      </c>
      <c r="K3872">
        <v>169993034</v>
      </c>
      <c r="L3872">
        <v>-65977694</v>
      </c>
      <c r="M3872">
        <v>-58279370</v>
      </c>
      <c r="N3872">
        <v>-112589991</v>
      </c>
      <c r="O3872">
        <v>-109688631</v>
      </c>
      <c r="P3872">
        <v>173</v>
      </c>
      <c r="Q3872" t="s">
        <v>7788</v>
      </c>
    </row>
    <row r="3873" spans="1:17" x14ac:dyDescent="0.3">
      <c r="A3873" t="s">
        <v>4382</v>
      </c>
      <c r="B3873" t="str">
        <f>"300117"</f>
        <v>300117</v>
      </c>
      <c r="C3873" t="s">
        <v>7789</v>
      </c>
      <c r="D3873" t="s">
        <v>95</v>
      </c>
      <c r="F3873">
        <v>315920832</v>
      </c>
      <c r="G3873">
        <v>210037713</v>
      </c>
      <c r="H3873">
        <v>64804722</v>
      </c>
      <c r="I3873">
        <v>-190195023</v>
      </c>
      <c r="J3873">
        <v>-258361956</v>
      </c>
      <c r="K3873">
        <v>-74738427</v>
      </c>
      <c r="L3873">
        <v>-98754378</v>
      </c>
      <c r="M3873">
        <v>-244527573</v>
      </c>
      <c r="N3873">
        <v>-367614533</v>
      </c>
      <c r="O3873">
        <v>-199095246</v>
      </c>
      <c r="P3873">
        <v>179</v>
      </c>
      <c r="Q3873" t="s">
        <v>7790</v>
      </c>
    </row>
    <row r="3874" spans="1:17" x14ac:dyDescent="0.3">
      <c r="A3874" t="s">
        <v>4382</v>
      </c>
      <c r="B3874" t="str">
        <f>"300118"</f>
        <v>300118</v>
      </c>
      <c r="C3874" t="s">
        <v>7791</v>
      </c>
      <c r="D3874" t="s">
        <v>188</v>
      </c>
      <c r="F3874">
        <v>-1891002225</v>
      </c>
      <c r="G3874">
        <v>-105565869</v>
      </c>
      <c r="H3874">
        <v>1435914331</v>
      </c>
      <c r="I3874">
        <v>-1269209952</v>
      </c>
      <c r="J3874">
        <v>-481557369</v>
      </c>
      <c r="K3874">
        <v>-433954413</v>
      </c>
      <c r="L3874">
        <v>-488692482</v>
      </c>
      <c r="M3874">
        <v>-351034791</v>
      </c>
      <c r="N3874">
        <v>-351281552</v>
      </c>
      <c r="O3874">
        <v>-261543374</v>
      </c>
      <c r="P3874">
        <v>443</v>
      </c>
      <c r="Q3874" t="s">
        <v>7792</v>
      </c>
    </row>
    <row r="3875" spans="1:17" x14ac:dyDescent="0.3">
      <c r="A3875" t="s">
        <v>4382</v>
      </c>
      <c r="B3875" t="str">
        <f>"300119"</f>
        <v>300119</v>
      </c>
      <c r="C3875" t="s">
        <v>7793</v>
      </c>
      <c r="D3875" t="s">
        <v>205</v>
      </c>
      <c r="F3875">
        <v>-14899216</v>
      </c>
      <c r="G3875">
        <v>42564112</v>
      </c>
      <c r="H3875">
        <v>21585779</v>
      </c>
      <c r="I3875">
        <v>134472</v>
      </c>
      <c r="J3875">
        <v>-38440221</v>
      </c>
      <c r="K3875">
        <v>-2331802</v>
      </c>
      <c r="L3875">
        <v>-2324427</v>
      </c>
      <c r="M3875">
        <v>-81020119</v>
      </c>
      <c r="N3875">
        <v>-181833000</v>
      </c>
      <c r="O3875">
        <v>-116426009</v>
      </c>
      <c r="P3875">
        <v>388</v>
      </c>
      <c r="Q3875" t="s">
        <v>7794</v>
      </c>
    </row>
    <row r="3876" spans="1:17" x14ac:dyDescent="0.3">
      <c r="A3876" t="s">
        <v>4382</v>
      </c>
      <c r="B3876" t="str">
        <f>"300120"</f>
        <v>300120</v>
      </c>
      <c r="C3876" t="s">
        <v>7795</v>
      </c>
      <c r="D3876" t="s">
        <v>150</v>
      </c>
      <c r="F3876">
        <v>50610239</v>
      </c>
      <c r="G3876">
        <v>-423482206</v>
      </c>
      <c r="H3876">
        <v>-162245817</v>
      </c>
      <c r="I3876">
        <v>-19611243</v>
      </c>
      <c r="J3876">
        <v>-43936763</v>
      </c>
      <c r="K3876">
        <v>-33920683</v>
      </c>
      <c r="L3876">
        <v>-44774753</v>
      </c>
      <c r="M3876">
        <v>-31370284</v>
      </c>
      <c r="N3876">
        <v>-61714790</v>
      </c>
      <c r="O3876">
        <v>-142197059</v>
      </c>
      <c r="P3876">
        <v>105</v>
      </c>
      <c r="Q3876" t="s">
        <v>7796</v>
      </c>
    </row>
    <row r="3877" spans="1:17" x14ac:dyDescent="0.3">
      <c r="A3877" t="s">
        <v>4382</v>
      </c>
      <c r="B3877" t="str">
        <f>"300121"</f>
        <v>300121</v>
      </c>
      <c r="C3877" t="s">
        <v>7797</v>
      </c>
      <c r="D3877" t="s">
        <v>133</v>
      </c>
      <c r="F3877">
        <v>8818184</v>
      </c>
      <c r="G3877">
        <v>1691969</v>
      </c>
      <c r="H3877">
        <v>-609304</v>
      </c>
      <c r="I3877">
        <v>151252602</v>
      </c>
      <c r="J3877">
        <v>-51525686</v>
      </c>
      <c r="K3877">
        <v>104434167</v>
      </c>
      <c r="L3877">
        <v>-31850731</v>
      </c>
      <c r="M3877">
        <v>-48154963</v>
      </c>
      <c r="N3877">
        <v>-2839624</v>
      </c>
      <c r="O3877">
        <v>-130922877</v>
      </c>
      <c r="P3877">
        <v>353</v>
      </c>
      <c r="Q3877" t="s">
        <v>7798</v>
      </c>
    </row>
    <row r="3878" spans="1:17" x14ac:dyDescent="0.3">
      <c r="A3878" t="s">
        <v>4382</v>
      </c>
      <c r="B3878" t="str">
        <f>"300122"</f>
        <v>300122</v>
      </c>
      <c r="C3878" t="s">
        <v>7799</v>
      </c>
      <c r="D3878" t="s">
        <v>113</v>
      </c>
      <c r="F3878">
        <v>6762029747</v>
      </c>
      <c r="G3878">
        <v>1916560648</v>
      </c>
      <c r="H3878">
        <v>156675614</v>
      </c>
      <c r="I3878">
        <v>-335319969</v>
      </c>
      <c r="J3878">
        <v>-36641363</v>
      </c>
      <c r="K3878">
        <v>-254540704</v>
      </c>
      <c r="L3878">
        <v>-193456244</v>
      </c>
      <c r="M3878">
        <v>-192835257</v>
      </c>
      <c r="N3878">
        <v>-76744471</v>
      </c>
      <c r="O3878">
        <v>-79463191</v>
      </c>
      <c r="P3878">
        <v>3431</v>
      </c>
      <c r="Q3878" t="s">
        <v>7800</v>
      </c>
    </row>
    <row r="3879" spans="1:17" x14ac:dyDescent="0.3">
      <c r="A3879" t="s">
        <v>4382</v>
      </c>
      <c r="B3879" t="str">
        <f>"300123"</f>
        <v>300123</v>
      </c>
      <c r="C3879" t="s">
        <v>7801</v>
      </c>
      <c r="D3879" t="s">
        <v>92</v>
      </c>
      <c r="F3879">
        <v>-472153375</v>
      </c>
      <c r="G3879">
        <v>-209727947</v>
      </c>
      <c r="H3879">
        <v>-85119727</v>
      </c>
      <c r="I3879">
        <v>-288216440</v>
      </c>
      <c r="J3879">
        <v>-164883973</v>
      </c>
      <c r="K3879">
        <v>-188466308</v>
      </c>
      <c r="L3879">
        <v>-79310339</v>
      </c>
      <c r="M3879">
        <v>-158305964</v>
      </c>
      <c r="N3879">
        <v>-288883160</v>
      </c>
      <c r="O3879">
        <v>-182134029</v>
      </c>
      <c r="P3879">
        <v>232</v>
      </c>
      <c r="Q3879" t="s">
        <v>7802</v>
      </c>
    </row>
    <row r="3880" spans="1:17" x14ac:dyDescent="0.3">
      <c r="A3880" t="s">
        <v>4382</v>
      </c>
      <c r="B3880" t="str">
        <f>"300124"</f>
        <v>300124</v>
      </c>
      <c r="C3880" t="s">
        <v>7803</v>
      </c>
      <c r="D3880" t="s">
        <v>78</v>
      </c>
      <c r="F3880">
        <v>83684328</v>
      </c>
      <c r="G3880">
        <v>324034011</v>
      </c>
      <c r="H3880">
        <v>390718515</v>
      </c>
      <c r="I3880">
        <v>30079735</v>
      </c>
      <c r="J3880">
        <v>182160870</v>
      </c>
      <c r="K3880">
        <v>74807161</v>
      </c>
      <c r="L3880">
        <v>218016119</v>
      </c>
      <c r="M3880">
        <v>88807953</v>
      </c>
      <c r="N3880">
        <v>297365205</v>
      </c>
      <c r="O3880">
        <v>149202211</v>
      </c>
      <c r="P3880">
        <v>2415</v>
      </c>
      <c r="Q3880" t="s">
        <v>7804</v>
      </c>
    </row>
    <row r="3881" spans="1:17" x14ac:dyDescent="0.3">
      <c r="A3881" t="s">
        <v>4382</v>
      </c>
      <c r="B3881" t="str">
        <f>"300125"</f>
        <v>300125</v>
      </c>
      <c r="C3881" t="s">
        <v>7805</v>
      </c>
      <c r="D3881" t="s">
        <v>41</v>
      </c>
      <c r="F3881">
        <v>-296051131</v>
      </c>
      <c r="G3881">
        <v>3856960</v>
      </c>
      <c r="H3881">
        <v>66035645</v>
      </c>
      <c r="I3881">
        <v>3269232</v>
      </c>
      <c r="J3881">
        <v>-19305155</v>
      </c>
      <c r="K3881">
        <v>20471025</v>
      </c>
      <c r="L3881">
        <v>-41338129</v>
      </c>
      <c r="M3881">
        <v>-190453787</v>
      </c>
      <c r="N3881">
        <v>59477112</v>
      </c>
      <c r="O3881">
        <v>-8154114</v>
      </c>
      <c r="P3881">
        <v>59</v>
      </c>
      <c r="Q3881" t="s">
        <v>7806</v>
      </c>
    </row>
    <row r="3882" spans="1:17" x14ac:dyDescent="0.3">
      <c r="A3882" t="s">
        <v>4382</v>
      </c>
      <c r="B3882" t="str">
        <f>"300126"</f>
        <v>300126</v>
      </c>
      <c r="C3882" t="s">
        <v>7807</v>
      </c>
      <c r="D3882" t="s">
        <v>78</v>
      </c>
      <c r="F3882">
        <v>-46238532</v>
      </c>
      <c r="G3882">
        <v>-18463277</v>
      </c>
      <c r="H3882">
        <v>1354584</v>
      </c>
      <c r="I3882">
        <v>19493629</v>
      </c>
      <c r="J3882">
        <v>31788573</v>
      </c>
      <c r="K3882">
        <v>-148209</v>
      </c>
      <c r="L3882">
        <v>-120101708</v>
      </c>
      <c r="M3882">
        <v>-56000248</v>
      </c>
      <c r="N3882">
        <v>-30712541</v>
      </c>
      <c r="O3882">
        <v>-31524929</v>
      </c>
      <c r="P3882">
        <v>50</v>
      </c>
      <c r="Q3882" t="s">
        <v>7808</v>
      </c>
    </row>
    <row r="3883" spans="1:17" x14ac:dyDescent="0.3">
      <c r="A3883" t="s">
        <v>4382</v>
      </c>
      <c r="B3883" t="str">
        <f>"300127"</f>
        <v>300127</v>
      </c>
      <c r="C3883" t="s">
        <v>7809</v>
      </c>
      <c r="D3883" t="s">
        <v>234</v>
      </c>
      <c r="F3883">
        <v>-27465717</v>
      </c>
      <c r="G3883">
        <v>74427668</v>
      </c>
      <c r="H3883">
        <v>75895953</v>
      </c>
      <c r="I3883">
        <v>86584330</v>
      </c>
      <c r="J3883">
        <v>109394481</v>
      </c>
      <c r="K3883">
        <v>45303790</v>
      </c>
      <c r="L3883">
        <v>30026305</v>
      </c>
      <c r="M3883">
        <v>52920720</v>
      </c>
      <c r="N3883">
        <v>-8598113</v>
      </c>
      <c r="O3883">
        <v>56424626</v>
      </c>
      <c r="P3883">
        <v>205</v>
      </c>
      <c r="Q3883" t="s">
        <v>7810</v>
      </c>
    </row>
    <row r="3884" spans="1:17" x14ac:dyDescent="0.3">
      <c r="A3884" t="s">
        <v>4382</v>
      </c>
      <c r="B3884" t="str">
        <f>"300128"</f>
        <v>300128</v>
      </c>
      <c r="C3884" t="s">
        <v>7811</v>
      </c>
      <c r="D3884" t="s">
        <v>150</v>
      </c>
      <c r="F3884">
        <v>79577188</v>
      </c>
      <c r="G3884">
        <v>166002728</v>
      </c>
      <c r="H3884">
        <v>118267673</v>
      </c>
      <c r="I3884">
        <v>-488941830</v>
      </c>
      <c r="J3884">
        <v>-141073187</v>
      </c>
      <c r="K3884">
        <v>-99318902</v>
      </c>
      <c r="L3884">
        <v>41035547</v>
      </c>
      <c r="M3884">
        <v>295953085</v>
      </c>
      <c r="N3884">
        <v>-23500182</v>
      </c>
      <c r="O3884">
        <v>-132534964</v>
      </c>
      <c r="P3884">
        <v>145</v>
      </c>
      <c r="Q3884" t="s">
        <v>7812</v>
      </c>
    </row>
    <row r="3885" spans="1:17" x14ac:dyDescent="0.3">
      <c r="A3885" t="s">
        <v>4382</v>
      </c>
      <c r="B3885" t="str">
        <f>"300129"</f>
        <v>300129</v>
      </c>
      <c r="C3885" t="s">
        <v>7813</v>
      </c>
      <c r="D3885" t="s">
        <v>188</v>
      </c>
      <c r="F3885">
        <v>-9769881</v>
      </c>
      <c r="G3885">
        <v>317274</v>
      </c>
      <c r="H3885">
        <v>82867310</v>
      </c>
      <c r="I3885">
        <v>71533888</v>
      </c>
      <c r="J3885">
        <v>-90140154</v>
      </c>
      <c r="K3885">
        <v>81292808</v>
      </c>
      <c r="L3885">
        <v>-103521445</v>
      </c>
      <c r="M3885">
        <v>-128933183</v>
      </c>
      <c r="N3885">
        <v>-28824729</v>
      </c>
      <c r="O3885">
        <v>-126601890</v>
      </c>
      <c r="P3885">
        <v>183</v>
      </c>
      <c r="Q3885" t="s">
        <v>7814</v>
      </c>
    </row>
    <row r="3886" spans="1:17" x14ac:dyDescent="0.3">
      <c r="A3886" t="s">
        <v>4382</v>
      </c>
      <c r="B3886" t="str">
        <f>"300130"</f>
        <v>300130</v>
      </c>
      <c r="C3886" t="s">
        <v>7815</v>
      </c>
      <c r="D3886" t="s">
        <v>212</v>
      </c>
      <c r="F3886">
        <v>47413110</v>
      </c>
      <c r="G3886">
        <v>149923218</v>
      </c>
      <c r="H3886">
        <v>86314546</v>
      </c>
      <c r="I3886">
        <v>-166056012</v>
      </c>
      <c r="J3886">
        <v>-129653577</v>
      </c>
      <c r="K3886">
        <v>-33530538</v>
      </c>
      <c r="L3886">
        <v>-70901936</v>
      </c>
      <c r="M3886">
        <v>-227350860</v>
      </c>
      <c r="N3886">
        <v>-107540575</v>
      </c>
      <c r="O3886">
        <v>-146851985</v>
      </c>
      <c r="P3886">
        <v>203</v>
      </c>
      <c r="Q3886" t="s">
        <v>7816</v>
      </c>
    </row>
    <row r="3887" spans="1:17" x14ac:dyDescent="0.3">
      <c r="A3887" t="s">
        <v>4382</v>
      </c>
      <c r="B3887" t="str">
        <f>"300131"</f>
        <v>300131</v>
      </c>
      <c r="C3887" t="s">
        <v>7817</v>
      </c>
      <c r="D3887" t="s">
        <v>150</v>
      </c>
      <c r="F3887">
        <v>114963097</v>
      </c>
      <c r="G3887">
        <v>406671173</v>
      </c>
      <c r="H3887">
        <v>772146406</v>
      </c>
      <c r="I3887">
        <v>708483995</v>
      </c>
      <c r="J3887">
        <v>-279061237</v>
      </c>
      <c r="K3887">
        <v>-31314849</v>
      </c>
      <c r="L3887">
        <v>-72227922</v>
      </c>
      <c r="M3887">
        <v>-29395931</v>
      </c>
      <c r="N3887">
        <v>-200828656</v>
      </c>
      <c r="O3887">
        <v>-143070933</v>
      </c>
      <c r="P3887">
        <v>207</v>
      </c>
      <c r="Q3887" t="s">
        <v>7818</v>
      </c>
    </row>
    <row r="3888" spans="1:17" x14ac:dyDescent="0.3">
      <c r="A3888" t="s">
        <v>4382</v>
      </c>
      <c r="B3888" t="str">
        <f>"300132"</f>
        <v>300132</v>
      </c>
      <c r="C3888" t="s">
        <v>7819</v>
      </c>
      <c r="D3888" t="s">
        <v>481</v>
      </c>
      <c r="F3888">
        <v>-309641620</v>
      </c>
      <c r="G3888">
        <v>530799492</v>
      </c>
      <c r="H3888">
        <v>413054584</v>
      </c>
      <c r="I3888">
        <v>173502402</v>
      </c>
      <c r="J3888">
        <v>-7858791</v>
      </c>
      <c r="K3888">
        <v>258698442</v>
      </c>
      <c r="L3888">
        <v>41559472</v>
      </c>
      <c r="M3888">
        <v>8150326</v>
      </c>
      <c r="N3888">
        <v>-8816519</v>
      </c>
      <c r="O3888">
        <v>-50471440</v>
      </c>
      <c r="P3888">
        <v>399</v>
      </c>
      <c r="Q3888" t="s">
        <v>7820</v>
      </c>
    </row>
    <row r="3889" spans="1:17" x14ac:dyDescent="0.3">
      <c r="A3889" t="s">
        <v>4382</v>
      </c>
      <c r="B3889" t="str">
        <f>"300133"</f>
        <v>300133</v>
      </c>
      <c r="C3889" t="s">
        <v>7821</v>
      </c>
      <c r="D3889" t="s">
        <v>89</v>
      </c>
      <c r="F3889">
        <v>1311824779</v>
      </c>
      <c r="G3889">
        <v>319229511</v>
      </c>
      <c r="H3889">
        <v>318978086</v>
      </c>
      <c r="I3889">
        <v>-577511149</v>
      </c>
      <c r="J3889">
        <v>-490411155</v>
      </c>
      <c r="K3889">
        <v>-476278458</v>
      </c>
      <c r="L3889">
        <v>-560845712</v>
      </c>
      <c r="M3889">
        <v>-70646424</v>
      </c>
      <c r="N3889">
        <v>-138008403</v>
      </c>
      <c r="O3889">
        <v>-118038866</v>
      </c>
      <c r="P3889">
        <v>349</v>
      </c>
      <c r="Q3889" t="s">
        <v>7822</v>
      </c>
    </row>
    <row r="3890" spans="1:17" x14ac:dyDescent="0.3">
      <c r="A3890" t="s">
        <v>4382</v>
      </c>
      <c r="B3890" t="str">
        <f>"300134"</f>
        <v>300134</v>
      </c>
      <c r="C3890" t="s">
        <v>7823</v>
      </c>
      <c r="D3890" t="s">
        <v>100</v>
      </c>
      <c r="F3890">
        <v>-317367426</v>
      </c>
      <c r="G3890">
        <v>-137649188</v>
      </c>
      <c r="H3890">
        <v>207675605</v>
      </c>
      <c r="I3890">
        <v>-274129819</v>
      </c>
      <c r="J3890">
        <v>-4911716</v>
      </c>
      <c r="K3890">
        <v>-57969616</v>
      </c>
      <c r="L3890">
        <v>-262573699</v>
      </c>
      <c r="M3890">
        <v>-352540887</v>
      </c>
      <c r="N3890">
        <v>-95156152</v>
      </c>
      <c r="O3890">
        <v>-487088563</v>
      </c>
      <c r="P3890">
        <v>342</v>
      </c>
      <c r="Q3890" t="s">
        <v>7824</v>
      </c>
    </row>
    <row r="3891" spans="1:17" x14ac:dyDescent="0.3">
      <c r="A3891" t="s">
        <v>4382</v>
      </c>
      <c r="B3891" t="str">
        <f>"300135"</f>
        <v>300135</v>
      </c>
      <c r="C3891" t="s">
        <v>7825</v>
      </c>
      <c r="D3891" t="s">
        <v>70</v>
      </c>
      <c r="F3891">
        <v>-207301639</v>
      </c>
      <c r="G3891">
        <v>-182008708</v>
      </c>
      <c r="H3891">
        <v>-236258971</v>
      </c>
      <c r="I3891">
        <v>-164465374</v>
      </c>
      <c r="J3891">
        <v>-218866265</v>
      </c>
      <c r="K3891">
        <v>-63819335</v>
      </c>
      <c r="L3891">
        <v>-724358062</v>
      </c>
      <c r="M3891">
        <v>-115224122</v>
      </c>
      <c r="N3891">
        <v>-644407922</v>
      </c>
      <c r="O3891">
        <v>-337865156</v>
      </c>
      <c r="P3891">
        <v>49</v>
      </c>
      <c r="Q3891" t="s">
        <v>7826</v>
      </c>
    </row>
    <row r="3892" spans="1:17" x14ac:dyDescent="0.3">
      <c r="A3892" t="s">
        <v>4382</v>
      </c>
      <c r="B3892" t="str">
        <f>"300136"</f>
        <v>300136</v>
      </c>
      <c r="C3892" t="s">
        <v>7827</v>
      </c>
      <c r="D3892" t="s">
        <v>150</v>
      </c>
      <c r="F3892">
        <v>-242522534</v>
      </c>
      <c r="G3892">
        <v>992845999</v>
      </c>
      <c r="H3892">
        <v>-582736082</v>
      </c>
      <c r="I3892">
        <v>-824918584</v>
      </c>
      <c r="J3892">
        <v>88078776</v>
      </c>
      <c r="K3892">
        <v>-5794281</v>
      </c>
      <c r="L3892">
        <v>18539761</v>
      </c>
      <c r="M3892">
        <v>-23267073</v>
      </c>
      <c r="N3892">
        <v>-55046508</v>
      </c>
      <c r="O3892">
        <v>-64552649</v>
      </c>
      <c r="P3892">
        <v>2618</v>
      </c>
      <c r="Q3892" t="s">
        <v>7828</v>
      </c>
    </row>
    <row r="3893" spans="1:17" x14ac:dyDescent="0.3">
      <c r="A3893" t="s">
        <v>4382</v>
      </c>
      <c r="B3893" t="str">
        <f>"300137"</f>
        <v>300137</v>
      </c>
      <c r="C3893" t="s">
        <v>7829</v>
      </c>
      <c r="D3893" t="s">
        <v>33</v>
      </c>
      <c r="F3893">
        <v>-136912281</v>
      </c>
      <c r="G3893">
        <v>-87919703</v>
      </c>
      <c r="H3893">
        <v>35838362</v>
      </c>
      <c r="I3893">
        <v>-376774036</v>
      </c>
      <c r="J3893">
        <v>-257420344</v>
      </c>
      <c r="K3893">
        <v>-142380096</v>
      </c>
      <c r="L3893">
        <v>-159083226</v>
      </c>
      <c r="M3893">
        <v>-186572218</v>
      </c>
      <c r="N3893">
        <v>-96422899</v>
      </c>
      <c r="O3893">
        <v>-102127612</v>
      </c>
      <c r="P3893">
        <v>253</v>
      </c>
      <c r="Q3893" t="s">
        <v>7830</v>
      </c>
    </row>
    <row r="3894" spans="1:17" x14ac:dyDescent="0.3">
      <c r="A3894" t="s">
        <v>4382</v>
      </c>
      <c r="B3894" t="str">
        <f>"300138"</f>
        <v>300138</v>
      </c>
      <c r="C3894" t="s">
        <v>7831</v>
      </c>
      <c r="D3894" t="s">
        <v>205</v>
      </c>
      <c r="F3894">
        <v>1049713168</v>
      </c>
      <c r="G3894">
        <v>1083892465</v>
      </c>
      <c r="H3894">
        <v>521208482</v>
      </c>
      <c r="I3894">
        <v>255566214</v>
      </c>
      <c r="J3894">
        <v>517736752</v>
      </c>
      <c r="K3894">
        <v>265049445</v>
      </c>
      <c r="L3894">
        <v>106313143</v>
      </c>
      <c r="M3894">
        <v>333629648</v>
      </c>
      <c r="N3894">
        <v>-3723418</v>
      </c>
      <c r="O3894">
        <v>-244394462</v>
      </c>
      <c r="P3894">
        <v>265</v>
      </c>
      <c r="Q3894" t="s">
        <v>7832</v>
      </c>
    </row>
    <row r="3895" spans="1:17" x14ac:dyDescent="0.3">
      <c r="A3895" t="s">
        <v>4382</v>
      </c>
      <c r="B3895" t="str">
        <f>"300139"</f>
        <v>300139</v>
      </c>
      <c r="C3895" t="s">
        <v>7833</v>
      </c>
      <c r="D3895" t="s">
        <v>41</v>
      </c>
      <c r="F3895">
        <v>189883041</v>
      </c>
      <c r="G3895">
        <v>75997639</v>
      </c>
      <c r="H3895">
        <v>-28982944</v>
      </c>
      <c r="I3895">
        <v>-139181870</v>
      </c>
      <c r="J3895">
        <v>-27516418</v>
      </c>
      <c r="K3895">
        <v>-44783539</v>
      </c>
      <c r="L3895">
        <v>-55679509</v>
      </c>
      <c r="M3895">
        <v>-167927010</v>
      </c>
      <c r="N3895">
        <v>-96952705</v>
      </c>
      <c r="O3895">
        <v>-132659747</v>
      </c>
      <c r="P3895">
        <v>147</v>
      </c>
      <c r="Q3895" t="s">
        <v>7834</v>
      </c>
    </row>
    <row r="3896" spans="1:17" x14ac:dyDescent="0.3">
      <c r="A3896" t="s">
        <v>4382</v>
      </c>
      <c r="B3896" t="str">
        <f>"300140"</f>
        <v>300140</v>
      </c>
      <c r="C3896" t="s">
        <v>7835</v>
      </c>
      <c r="D3896" t="s">
        <v>33</v>
      </c>
      <c r="F3896">
        <v>111871455</v>
      </c>
      <c r="G3896">
        <v>-546250133</v>
      </c>
      <c r="H3896">
        <v>-488683442</v>
      </c>
      <c r="I3896">
        <v>-269070172</v>
      </c>
      <c r="J3896">
        <v>-376249408</v>
      </c>
      <c r="K3896">
        <v>5536428</v>
      </c>
      <c r="L3896">
        <v>-37861032</v>
      </c>
      <c r="M3896">
        <v>-11133283</v>
      </c>
      <c r="N3896">
        <v>-40480576</v>
      </c>
      <c r="O3896">
        <v>-5024876</v>
      </c>
      <c r="P3896">
        <v>103</v>
      </c>
      <c r="Q3896" t="s">
        <v>7836</v>
      </c>
    </row>
    <row r="3897" spans="1:17" x14ac:dyDescent="0.3">
      <c r="A3897" t="s">
        <v>4382</v>
      </c>
      <c r="B3897" t="str">
        <f>"300141"</f>
        <v>300141</v>
      </c>
      <c r="C3897" t="s">
        <v>7837</v>
      </c>
      <c r="D3897" t="s">
        <v>188</v>
      </c>
      <c r="F3897">
        <v>1774759</v>
      </c>
      <c r="G3897">
        <v>45735346</v>
      </c>
      <c r="H3897">
        <v>-70762969</v>
      </c>
      <c r="I3897">
        <v>-168559436</v>
      </c>
      <c r="J3897">
        <v>-58010583</v>
      </c>
      <c r="K3897">
        <v>-20402346</v>
      </c>
      <c r="L3897">
        <v>-42452875</v>
      </c>
      <c r="M3897">
        <v>-61620604</v>
      </c>
      <c r="N3897">
        <v>-115598448</v>
      </c>
      <c r="O3897">
        <v>-129154506</v>
      </c>
      <c r="P3897">
        <v>91</v>
      </c>
      <c r="Q3897" t="s">
        <v>7838</v>
      </c>
    </row>
    <row r="3898" spans="1:17" x14ac:dyDescent="0.3">
      <c r="A3898" t="s">
        <v>4382</v>
      </c>
      <c r="B3898" t="str">
        <f>"300142"</f>
        <v>300142</v>
      </c>
      <c r="C3898" t="s">
        <v>7839</v>
      </c>
      <c r="D3898" t="s">
        <v>113</v>
      </c>
      <c r="F3898">
        <v>-519285396</v>
      </c>
      <c r="G3898">
        <v>-155720316</v>
      </c>
      <c r="H3898">
        <v>-170625893</v>
      </c>
      <c r="I3898">
        <v>-230749381</v>
      </c>
      <c r="J3898">
        <v>-240811725</v>
      </c>
      <c r="K3898">
        <v>-386857984</v>
      </c>
      <c r="L3898">
        <v>-253823023</v>
      </c>
      <c r="M3898">
        <v>-249234890</v>
      </c>
      <c r="N3898">
        <v>-402227351</v>
      </c>
      <c r="O3898">
        <v>-242311996</v>
      </c>
      <c r="P3898">
        <v>1230</v>
      </c>
      <c r="Q3898" t="s">
        <v>7840</v>
      </c>
    </row>
    <row r="3899" spans="1:17" x14ac:dyDescent="0.3">
      <c r="A3899" t="s">
        <v>4382</v>
      </c>
      <c r="B3899" t="str">
        <f>"300143"</f>
        <v>300143</v>
      </c>
      <c r="C3899" t="s">
        <v>7841</v>
      </c>
      <c r="D3899" t="s">
        <v>113</v>
      </c>
      <c r="F3899">
        <v>41874525</v>
      </c>
      <c r="G3899">
        <v>43696926</v>
      </c>
      <c r="H3899">
        <v>17474632</v>
      </c>
      <c r="I3899">
        <v>67760399</v>
      </c>
      <c r="J3899">
        <v>116644371</v>
      </c>
      <c r="K3899">
        <v>-77880818</v>
      </c>
      <c r="L3899">
        <v>12984731</v>
      </c>
      <c r="M3899">
        <v>-47355915</v>
      </c>
      <c r="N3899">
        <v>-144633661</v>
      </c>
      <c r="O3899">
        <v>-330053902</v>
      </c>
      <c r="P3899">
        <v>150</v>
      </c>
      <c r="Q3899" t="s">
        <v>7842</v>
      </c>
    </row>
    <row r="3900" spans="1:17" x14ac:dyDescent="0.3">
      <c r="A3900" t="s">
        <v>4382</v>
      </c>
      <c r="B3900" t="str">
        <f>"300144"</f>
        <v>300144</v>
      </c>
      <c r="C3900" t="s">
        <v>7843</v>
      </c>
      <c r="D3900" t="s">
        <v>110</v>
      </c>
      <c r="F3900">
        <v>113771719</v>
      </c>
      <c r="G3900">
        <v>-626163144</v>
      </c>
      <c r="H3900">
        <v>892966861</v>
      </c>
      <c r="I3900">
        <v>998458550</v>
      </c>
      <c r="J3900">
        <v>1072281357</v>
      </c>
      <c r="K3900">
        <v>840876808</v>
      </c>
      <c r="L3900">
        <v>689250975</v>
      </c>
      <c r="M3900">
        <v>23368886</v>
      </c>
      <c r="N3900">
        <v>-124090497</v>
      </c>
      <c r="O3900">
        <v>-129506584</v>
      </c>
      <c r="P3900">
        <v>3022</v>
      </c>
      <c r="Q3900" t="s">
        <v>7844</v>
      </c>
    </row>
    <row r="3901" spans="1:17" x14ac:dyDescent="0.3">
      <c r="A3901" t="s">
        <v>4382</v>
      </c>
      <c r="B3901" t="str">
        <f>"300145"</f>
        <v>300145</v>
      </c>
      <c r="C3901" t="s">
        <v>7845</v>
      </c>
      <c r="D3901" t="s">
        <v>78</v>
      </c>
      <c r="F3901">
        <v>-111899499</v>
      </c>
      <c r="G3901">
        <v>-78389221</v>
      </c>
      <c r="H3901">
        <v>-128424874</v>
      </c>
      <c r="I3901">
        <v>43832341</v>
      </c>
      <c r="J3901">
        <v>-159752697</v>
      </c>
      <c r="K3901">
        <v>71178748</v>
      </c>
      <c r="L3901">
        <v>-76266290</v>
      </c>
      <c r="M3901">
        <v>-82354385</v>
      </c>
      <c r="N3901">
        <v>-145250893</v>
      </c>
      <c r="O3901">
        <v>-52631574</v>
      </c>
      <c r="P3901">
        <v>281</v>
      </c>
      <c r="Q3901" t="s">
        <v>7846</v>
      </c>
    </row>
    <row r="3902" spans="1:17" x14ac:dyDescent="0.3">
      <c r="A3902" t="s">
        <v>4382</v>
      </c>
      <c r="B3902" t="str">
        <f>"300146"</f>
        <v>300146</v>
      </c>
      <c r="C3902" t="s">
        <v>7847</v>
      </c>
      <c r="D3902" t="s">
        <v>123</v>
      </c>
      <c r="F3902">
        <v>789675735</v>
      </c>
      <c r="G3902">
        <v>1035939447</v>
      </c>
      <c r="H3902">
        <v>505553649</v>
      </c>
      <c r="I3902">
        <v>723754080</v>
      </c>
      <c r="J3902">
        <v>556382815</v>
      </c>
      <c r="K3902">
        <v>413374459</v>
      </c>
      <c r="L3902">
        <v>244029030</v>
      </c>
      <c r="M3902">
        <v>320098622</v>
      </c>
      <c r="N3902">
        <v>239045346</v>
      </c>
      <c r="O3902">
        <v>16987587</v>
      </c>
      <c r="P3902">
        <v>2832</v>
      </c>
      <c r="Q3902" t="s">
        <v>7848</v>
      </c>
    </row>
    <row r="3903" spans="1:17" x14ac:dyDescent="0.3">
      <c r="A3903" t="s">
        <v>4382</v>
      </c>
      <c r="B3903" t="str">
        <f>"300147"</f>
        <v>300147</v>
      </c>
      <c r="C3903" t="s">
        <v>7849</v>
      </c>
      <c r="D3903" t="s">
        <v>113</v>
      </c>
      <c r="F3903">
        <v>-309940201</v>
      </c>
      <c r="G3903">
        <v>-839800369</v>
      </c>
      <c r="H3903">
        <v>-474419879</v>
      </c>
      <c r="I3903">
        <v>-479082166</v>
      </c>
      <c r="J3903">
        <v>-550635479</v>
      </c>
      <c r="K3903">
        <v>-1844954529</v>
      </c>
      <c r="L3903">
        <v>-238013745</v>
      </c>
      <c r="M3903">
        <v>-93385403</v>
      </c>
      <c r="N3903">
        <v>128974725</v>
      </c>
      <c r="O3903">
        <v>-233253460</v>
      </c>
      <c r="P3903">
        <v>166</v>
      </c>
      <c r="Q3903" t="s">
        <v>7850</v>
      </c>
    </row>
    <row r="3904" spans="1:17" x14ac:dyDescent="0.3">
      <c r="A3904" t="s">
        <v>4382</v>
      </c>
      <c r="B3904" t="str">
        <f>"300148"</f>
        <v>300148</v>
      </c>
      <c r="C3904" t="s">
        <v>7851</v>
      </c>
      <c r="D3904" t="s">
        <v>89</v>
      </c>
      <c r="F3904">
        <v>-127227233</v>
      </c>
      <c r="G3904">
        <v>-50120159</v>
      </c>
      <c r="H3904">
        <v>-77981827</v>
      </c>
      <c r="I3904">
        <v>-99666965</v>
      </c>
      <c r="J3904">
        <v>33595105</v>
      </c>
      <c r="K3904">
        <v>83154144</v>
      </c>
      <c r="L3904">
        <v>3114981</v>
      </c>
      <c r="M3904">
        <v>20530904</v>
      </c>
      <c r="N3904">
        <v>-52445849</v>
      </c>
      <c r="O3904">
        <v>-48259315</v>
      </c>
      <c r="P3904">
        <v>99</v>
      </c>
      <c r="Q3904" t="s">
        <v>7852</v>
      </c>
    </row>
    <row r="3905" spans="1:17" x14ac:dyDescent="0.3">
      <c r="A3905" t="s">
        <v>4382</v>
      </c>
      <c r="B3905" t="str">
        <f>"300149"</f>
        <v>300149</v>
      </c>
      <c r="C3905" t="s">
        <v>7853</v>
      </c>
      <c r="D3905" t="s">
        <v>113</v>
      </c>
      <c r="F3905">
        <v>46225902</v>
      </c>
      <c r="G3905">
        <v>-65447938</v>
      </c>
      <c r="H3905">
        <v>-59286669</v>
      </c>
      <c r="I3905">
        <v>100070086</v>
      </c>
      <c r="J3905">
        <v>41629318</v>
      </c>
      <c r="K3905">
        <v>51044359</v>
      </c>
      <c r="L3905">
        <v>61644367</v>
      </c>
      <c r="M3905">
        <v>-15104231</v>
      </c>
      <c r="N3905">
        <v>-12384894</v>
      </c>
      <c r="O3905">
        <v>-70002662</v>
      </c>
      <c r="P3905">
        <v>193</v>
      </c>
      <c r="Q3905" t="s">
        <v>7854</v>
      </c>
    </row>
    <row r="3906" spans="1:17" x14ac:dyDescent="0.3">
      <c r="A3906" t="s">
        <v>4382</v>
      </c>
      <c r="B3906" t="str">
        <f>"300150"</f>
        <v>300150</v>
      </c>
      <c r="C3906" t="s">
        <v>7855</v>
      </c>
      <c r="D3906" t="s">
        <v>212</v>
      </c>
      <c r="F3906">
        <v>-142298031</v>
      </c>
      <c r="G3906">
        <v>-76402244</v>
      </c>
      <c r="H3906">
        <v>-152854001</v>
      </c>
      <c r="I3906">
        <v>-93857503</v>
      </c>
      <c r="J3906">
        <v>-121212812</v>
      </c>
      <c r="K3906">
        <v>-51328134</v>
      </c>
      <c r="L3906">
        <v>-71738631</v>
      </c>
      <c r="M3906">
        <v>-44544020</v>
      </c>
      <c r="N3906">
        <v>-35656979</v>
      </c>
      <c r="O3906">
        <v>9132274</v>
      </c>
      <c r="P3906">
        <v>121</v>
      </c>
      <c r="Q3906" t="s">
        <v>7856</v>
      </c>
    </row>
    <row r="3907" spans="1:17" x14ac:dyDescent="0.3">
      <c r="A3907" t="s">
        <v>4382</v>
      </c>
      <c r="B3907" t="str">
        <f>"300151"</f>
        <v>300151</v>
      </c>
      <c r="C3907" t="s">
        <v>7857</v>
      </c>
      <c r="D3907" t="s">
        <v>78</v>
      </c>
      <c r="F3907">
        <v>-78573197</v>
      </c>
      <c r="G3907">
        <v>43122715</v>
      </c>
      <c r="H3907">
        <v>49880501</v>
      </c>
      <c r="I3907">
        <v>78770640</v>
      </c>
      <c r="J3907">
        <v>21266567</v>
      </c>
      <c r="K3907">
        <v>-12214130</v>
      </c>
      <c r="L3907">
        <v>-6107974</v>
      </c>
      <c r="M3907">
        <v>-40228345</v>
      </c>
      <c r="N3907">
        <v>64841385</v>
      </c>
      <c r="O3907">
        <v>-246352</v>
      </c>
      <c r="P3907">
        <v>155</v>
      </c>
      <c r="Q3907" t="s">
        <v>7858</v>
      </c>
    </row>
    <row r="3908" spans="1:17" x14ac:dyDescent="0.3">
      <c r="A3908" t="s">
        <v>4382</v>
      </c>
      <c r="B3908" t="str">
        <f>"300152"</f>
        <v>300152</v>
      </c>
      <c r="C3908" t="s">
        <v>7859</v>
      </c>
      <c r="D3908" t="s">
        <v>33</v>
      </c>
      <c r="F3908">
        <v>11120204</v>
      </c>
      <c r="G3908">
        <v>53748346</v>
      </c>
      <c r="H3908">
        <v>-10459345</v>
      </c>
      <c r="I3908">
        <v>-68657748</v>
      </c>
      <c r="J3908">
        <v>-17215074</v>
      </c>
      <c r="K3908">
        <v>195689972</v>
      </c>
      <c r="L3908">
        <v>-175550951</v>
      </c>
      <c r="M3908">
        <v>-126153854</v>
      </c>
      <c r="N3908">
        <v>-208875159</v>
      </c>
      <c r="O3908">
        <v>-87192587</v>
      </c>
      <c r="P3908">
        <v>92</v>
      </c>
      <c r="Q3908" t="s">
        <v>7860</v>
      </c>
    </row>
    <row r="3909" spans="1:17" x14ac:dyDescent="0.3">
      <c r="A3909" t="s">
        <v>4382</v>
      </c>
      <c r="B3909" t="str">
        <f>"300153"</f>
        <v>300153</v>
      </c>
      <c r="C3909" t="s">
        <v>7861</v>
      </c>
      <c r="D3909" t="s">
        <v>188</v>
      </c>
      <c r="F3909">
        <v>47176399</v>
      </c>
      <c r="G3909">
        <v>-76946929</v>
      </c>
      <c r="H3909">
        <v>-16662110</v>
      </c>
      <c r="I3909">
        <v>-46380319</v>
      </c>
      <c r="J3909">
        <v>-128418988</v>
      </c>
      <c r="K3909">
        <v>-115033698</v>
      </c>
      <c r="L3909">
        <v>-78736108</v>
      </c>
      <c r="M3909">
        <v>-92701401</v>
      </c>
      <c r="N3909">
        <v>11399210</v>
      </c>
      <c r="O3909">
        <v>-136660774</v>
      </c>
      <c r="P3909">
        <v>108</v>
      </c>
      <c r="Q3909" t="s">
        <v>7862</v>
      </c>
    </row>
    <row r="3910" spans="1:17" x14ac:dyDescent="0.3">
      <c r="A3910" t="s">
        <v>4382</v>
      </c>
      <c r="B3910" t="str">
        <f>"300154"</f>
        <v>300154</v>
      </c>
      <c r="C3910" t="s">
        <v>7863</v>
      </c>
      <c r="D3910" t="s">
        <v>78</v>
      </c>
      <c r="F3910">
        <v>-5115257</v>
      </c>
      <c r="G3910">
        <v>43405891</v>
      </c>
      <c r="H3910">
        <v>-16419831</v>
      </c>
      <c r="I3910">
        <v>29664300</v>
      </c>
      <c r="J3910">
        <v>143163331</v>
      </c>
      <c r="K3910">
        <v>112422409</v>
      </c>
      <c r="L3910">
        <v>3848853</v>
      </c>
      <c r="M3910">
        <v>66632119</v>
      </c>
      <c r="N3910">
        <v>131087263</v>
      </c>
      <c r="O3910">
        <v>-35756456</v>
      </c>
      <c r="P3910">
        <v>82</v>
      </c>
      <c r="Q3910" t="s">
        <v>7864</v>
      </c>
    </row>
    <row r="3911" spans="1:17" x14ac:dyDescent="0.3">
      <c r="A3911" t="s">
        <v>4382</v>
      </c>
      <c r="B3911" t="str">
        <f>"300155"</f>
        <v>300155</v>
      </c>
      <c r="C3911" t="s">
        <v>7865</v>
      </c>
      <c r="D3911" t="s">
        <v>212</v>
      </c>
      <c r="F3911">
        <v>-72391326</v>
      </c>
      <c r="G3911">
        <v>-86964120</v>
      </c>
      <c r="H3911">
        <v>18376508</v>
      </c>
      <c r="I3911">
        <v>-41120828</v>
      </c>
      <c r="J3911">
        <v>-154744974</v>
      </c>
      <c r="K3911">
        <v>-44736708</v>
      </c>
      <c r="L3911">
        <v>-78440359</v>
      </c>
      <c r="M3911">
        <v>-117782805</v>
      </c>
      <c r="N3911">
        <v>-30972049</v>
      </c>
      <c r="O3911">
        <v>-20598298</v>
      </c>
      <c r="P3911">
        <v>68</v>
      </c>
      <c r="Q3911" t="s">
        <v>7866</v>
      </c>
    </row>
    <row r="3912" spans="1:17" x14ac:dyDescent="0.3">
      <c r="A3912" t="s">
        <v>4382</v>
      </c>
      <c r="B3912" t="str">
        <f>"300156"</f>
        <v>300156</v>
      </c>
      <c r="C3912" t="s">
        <v>7867</v>
      </c>
      <c r="H3912">
        <v>-6901993</v>
      </c>
      <c r="I3912">
        <v>-380457790</v>
      </c>
      <c r="J3912">
        <v>-248988243</v>
      </c>
      <c r="K3912">
        <v>-642018300</v>
      </c>
      <c r="L3912">
        <v>-61884083</v>
      </c>
      <c r="M3912">
        <v>92960067</v>
      </c>
      <c r="N3912">
        <v>-364342831</v>
      </c>
      <c r="O3912">
        <v>-197794127</v>
      </c>
      <c r="P3912">
        <v>300</v>
      </c>
      <c r="Q3912" t="s">
        <v>7868</v>
      </c>
    </row>
    <row r="3913" spans="1:17" x14ac:dyDescent="0.3">
      <c r="A3913" t="s">
        <v>4382</v>
      </c>
      <c r="B3913" t="str">
        <f>"300157"</f>
        <v>300157</v>
      </c>
      <c r="C3913" t="s">
        <v>7869</v>
      </c>
      <c r="D3913" t="s">
        <v>70</v>
      </c>
      <c r="F3913">
        <v>13408868</v>
      </c>
      <c r="G3913">
        <v>147850059</v>
      </c>
      <c r="H3913">
        <v>-243767806</v>
      </c>
      <c r="I3913">
        <v>-114204345</v>
      </c>
      <c r="J3913">
        <v>-523173190</v>
      </c>
      <c r="K3913">
        <v>-300880720</v>
      </c>
      <c r="L3913">
        <v>-217955509</v>
      </c>
      <c r="M3913">
        <v>-58370872</v>
      </c>
      <c r="N3913">
        <v>-125143803</v>
      </c>
      <c r="O3913">
        <v>-199203041</v>
      </c>
      <c r="P3913">
        <v>76</v>
      </c>
      <c r="Q3913" t="s">
        <v>7870</v>
      </c>
    </row>
    <row r="3914" spans="1:17" x14ac:dyDescent="0.3">
      <c r="A3914" t="s">
        <v>4382</v>
      </c>
      <c r="B3914" t="str">
        <f>"300158"</f>
        <v>300158</v>
      </c>
      <c r="C3914" t="s">
        <v>7871</v>
      </c>
      <c r="D3914" t="s">
        <v>113</v>
      </c>
      <c r="F3914">
        <v>142318081</v>
      </c>
      <c r="G3914">
        <v>13927303</v>
      </c>
      <c r="H3914">
        <v>186437228</v>
      </c>
      <c r="I3914">
        <v>-72959097</v>
      </c>
      <c r="J3914">
        <v>-184927807</v>
      </c>
      <c r="K3914">
        <v>-169843561</v>
      </c>
      <c r="L3914">
        <v>-63147320</v>
      </c>
      <c r="M3914">
        <v>-129815599</v>
      </c>
      <c r="N3914">
        <v>-252914043</v>
      </c>
      <c r="O3914">
        <v>-45720045</v>
      </c>
      <c r="P3914">
        <v>176</v>
      </c>
      <c r="Q3914" t="s">
        <v>7872</v>
      </c>
    </row>
    <row r="3915" spans="1:17" x14ac:dyDescent="0.3">
      <c r="A3915" t="s">
        <v>4382</v>
      </c>
      <c r="B3915" t="str">
        <f>"300159"</f>
        <v>300159</v>
      </c>
      <c r="C3915" t="s">
        <v>7873</v>
      </c>
      <c r="D3915" t="s">
        <v>92</v>
      </c>
      <c r="F3915">
        <v>171052604</v>
      </c>
      <c r="G3915">
        <v>-859202</v>
      </c>
      <c r="H3915">
        <v>24944984</v>
      </c>
      <c r="I3915">
        <v>-230522421</v>
      </c>
      <c r="J3915">
        <v>-791305415</v>
      </c>
      <c r="K3915">
        <v>-486789212</v>
      </c>
      <c r="L3915">
        <v>-234678356</v>
      </c>
      <c r="M3915">
        <v>-75009369</v>
      </c>
      <c r="N3915">
        <v>19461455</v>
      </c>
      <c r="O3915">
        <v>-32492312</v>
      </c>
      <c r="P3915">
        <v>126</v>
      </c>
      <c r="Q3915" t="s">
        <v>7874</v>
      </c>
    </row>
    <row r="3916" spans="1:17" x14ac:dyDescent="0.3">
      <c r="A3916" t="s">
        <v>4382</v>
      </c>
      <c r="B3916" t="str">
        <f>"300160"</f>
        <v>300160</v>
      </c>
      <c r="C3916" t="s">
        <v>7875</v>
      </c>
      <c r="D3916" t="s">
        <v>126</v>
      </c>
      <c r="F3916">
        <v>37069978</v>
      </c>
      <c r="G3916">
        <v>94915123</v>
      </c>
      <c r="H3916">
        <v>173356230</v>
      </c>
      <c r="I3916">
        <v>75377822</v>
      </c>
      <c r="J3916">
        <v>11276455</v>
      </c>
      <c r="K3916">
        <v>125790705</v>
      </c>
      <c r="L3916">
        <v>-10128767</v>
      </c>
      <c r="M3916">
        <v>28961103</v>
      </c>
      <c r="N3916">
        <v>-116562306</v>
      </c>
      <c r="O3916">
        <v>-25297220</v>
      </c>
      <c r="P3916">
        <v>150</v>
      </c>
      <c r="Q3916" t="s">
        <v>7876</v>
      </c>
    </row>
    <row r="3917" spans="1:17" x14ac:dyDescent="0.3">
      <c r="A3917" t="s">
        <v>4382</v>
      </c>
      <c r="B3917" t="str">
        <f>"300161"</f>
        <v>300161</v>
      </c>
      <c r="C3917" t="s">
        <v>7877</v>
      </c>
      <c r="D3917" t="s">
        <v>78</v>
      </c>
      <c r="F3917">
        <v>-162627188</v>
      </c>
      <c r="G3917">
        <v>-174066993</v>
      </c>
      <c r="H3917">
        <v>-207443861</v>
      </c>
      <c r="I3917">
        <v>-65234289</v>
      </c>
      <c r="J3917">
        <v>-239712567</v>
      </c>
      <c r="K3917">
        <v>-151404998</v>
      </c>
      <c r="L3917">
        <v>-236128851</v>
      </c>
      <c r="M3917">
        <v>-31338419</v>
      </c>
      <c r="N3917">
        <v>-705479</v>
      </c>
      <c r="O3917">
        <v>-40422054</v>
      </c>
      <c r="P3917">
        <v>159</v>
      </c>
      <c r="Q3917" t="s">
        <v>7878</v>
      </c>
    </row>
    <row r="3918" spans="1:17" x14ac:dyDescent="0.3">
      <c r="A3918" t="s">
        <v>4382</v>
      </c>
      <c r="B3918" t="str">
        <f>"300162"</f>
        <v>300162</v>
      </c>
      <c r="C3918" t="s">
        <v>7879</v>
      </c>
      <c r="D3918" t="s">
        <v>150</v>
      </c>
      <c r="F3918">
        <v>-35450052</v>
      </c>
      <c r="G3918">
        <v>-102091282</v>
      </c>
      <c r="H3918">
        <v>28152379</v>
      </c>
      <c r="I3918">
        <v>-60742682</v>
      </c>
      <c r="J3918">
        <v>-12744667</v>
      </c>
      <c r="K3918">
        <v>63076904</v>
      </c>
      <c r="L3918">
        <v>-11147557</v>
      </c>
      <c r="M3918">
        <v>-4926026</v>
      </c>
      <c r="N3918">
        <v>-70183338</v>
      </c>
      <c r="O3918">
        <v>-51865821</v>
      </c>
      <c r="P3918">
        <v>76</v>
      </c>
      <c r="Q3918" t="s">
        <v>7880</v>
      </c>
    </row>
    <row r="3919" spans="1:17" x14ac:dyDescent="0.3">
      <c r="A3919" t="s">
        <v>4382</v>
      </c>
      <c r="B3919" t="str">
        <f>"300163"</f>
        <v>300163</v>
      </c>
      <c r="C3919" t="s">
        <v>7881</v>
      </c>
      <c r="D3919" t="s">
        <v>133</v>
      </c>
      <c r="F3919">
        <v>-4493814</v>
      </c>
      <c r="G3919">
        <v>100576325</v>
      </c>
      <c r="H3919">
        <v>29180378</v>
      </c>
      <c r="I3919">
        <v>-89363566</v>
      </c>
      <c r="J3919">
        <v>3948724</v>
      </c>
      <c r="K3919">
        <v>68110187</v>
      </c>
      <c r="L3919">
        <v>-20386938</v>
      </c>
      <c r="M3919">
        <v>23770916</v>
      </c>
      <c r="N3919">
        <v>-15307673</v>
      </c>
      <c r="O3919">
        <v>-66638316</v>
      </c>
      <c r="P3919">
        <v>75</v>
      </c>
      <c r="Q3919" t="s">
        <v>7882</v>
      </c>
    </row>
    <row r="3920" spans="1:17" x14ac:dyDescent="0.3">
      <c r="A3920" t="s">
        <v>4382</v>
      </c>
      <c r="B3920" t="str">
        <f>"300164"</f>
        <v>300164</v>
      </c>
      <c r="C3920" t="s">
        <v>7883</v>
      </c>
      <c r="D3920" t="s">
        <v>70</v>
      </c>
      <c r="F3920">
        <v>-3905027</v>
      </c>
      <c r="G3920">
        <v>-88461471</v>
      </c>
      <c r="H3920">
        <v>16764674</v>
      </c>
      <c r="I3920">
        <v>-8600751</v>
      </c>
      <c r="J3920">
        <v>-106719335</v>
      </c>
      <c r="K3920">
        <v>-12134670</v>
      </c>
      <c r="L3920">
        <v>104144813</v>
      </c>
      <c r="M3920">
        <v>-81779220</v>
      </c>
      <c r="N3920">
        <v>-227129111</v>
      </c>
      <c r="O3920">
        <v>-136408711</v>
      </c>
      <c r="P3920">
        <v>82</v>
      </c>
      <c r="Q3920" t="s">
        <v>7884</v>
      </c>
    </row>
    <row r="3921" spans="1:17" x14ac:dyDescent="0.3">
      <c r="A3921" t="s">
        <v>4382</v>
      </c>
      <c r="B3921" t="str">
        <f>"300165"</f>
        <v>300165</v>
      </c>
      <c r="C3921" t="s">
        <v>7885</v>
      </c>
      <c r="D3921" t="s">
        <v>78</v>
      </c>
      <c r="F3921">
        <v>-520719212</v>
      </c>
      <c r="G3921">
        <v>-81501815</v>
      </c>
      <c r="H3921">
        <v>-68584199</v>
      </c>
      <c r="I3921">
        <v>-79577625</v>
      </c>
      <c r="J3921">
        <v>-49788001</v>
      </c>
      <c r="K3921">
        <v>-46686223</v>
      </c>
      <c r="L3921">
        <v>-34510371</v>
      </c>
      <c r="M3921">
        <v>1665836</v>
      </c>
      <c r="N3921">
        <v>-52630523</v>
      </c>
      <c r="O3921">
        <v>-9663351</v>
      </c>
      <c r="P3921">
        <v>103</v>
      </c>
      <c r="Q3921" t="s">
        <v>7886</v>
      </c>
    </row>
    <row r="3922" spans="1:17" x14ac:dyDescent="0.3">
      <c r="A3922" t="s">
        <v>4382</v>
      </c>
      <c r="B3922" t="str">
        <f>"300166"</f>
        <v>300166</v>
      </c>
      <c r="C3922" t="s">
        <v>7887</v>
      </c>
      <c r="D3922" t="s">
        <v>212</v>
      </c>
      <c r="F3922">
        <v>-702050191</v>
      </c>
      <c r="G3922">
        <v>-612148254</v>
      </c>
      <c r="H3922">
        <v>-608090933</v>
      </c>
      <c r="I3922">
        <v>-594488694</v>
      </c>
      <c r="J3922">
        <v>-390489089</v>
      </c>
      <c r="K3922">
        <v>-98252300</v>
      </c>
      <c r="L3922">
        <v>-164795074</v>
      </c>
      <c r="M3922">
        <v>-88940356</v>
      </c>
      <c r="N3922">
        <v>-114914453</v>
      </c>
      <c r="O3922">
        <v>-152403998</v>
      </c>
      <c r="P3922">
        <v>461</v>
      </c>
      <c r="Q3922" t="s">
        <v>7888</v>
      </c>
    </row>
    <row r="3923" spans="1:17" x14ac:dyDescent="0.3">
      <c r="A3923" t="s">
        <v>4382</v>
      </c>
      <c r="B3923" t="str">
        <f>"300167"</f>
        <v>300167</v>
      </c>
      <c r="C3923" t="s">
        <v>7889</v>
      </c>
      <c r="D3923" t="s">
        <v>212</v>
      </c>
      <c r="F3923">
        <v>4853843</v>
      </c>
      <c r="G3923">
        <v>-15296030</v>
      </c>
      <c r="H3923">
        <v>45671366</v>
      </c>
      <c r="I3923">
        <v>-72084128</v>
      </c>
      <c r="J3923">
        <v>-37697811</v>
      </c>
      <c r="K3923">
        <v>-153627981</v>
      </c>
      <c r="L3923">
        <v>-27677919</v>
      </c>
      <c r="M3923">
        <v>-267572937</v>
      </c>
      <c r="N3923">
        <v>-66420438</v>
      </c>
      <c r="O3923">
        <v>-125227059</v>
      </c>
      <c r="P3923">
        <v>131</v>
      </c>
      <c r="Q3923" t="s">
        <v>7890</v>
      </c>
    </row>
    <row r="3924" spans="1:17" x14ac:dyDescent="0.3">
      <c r="A3924" t="s">
        <v>4382</v>
      </c>
      <c r="B3924" t="str">
        <f>"300168"</f>
        <v>300168</v>
      </c>
      <c r="C3924" t="s">
        <v>7891</v>
      </c>
      <c r="D3924" t="s">
        <v>212</v>
      </c>
      <c r="F3924">
        <v>-1036340454</v>
      </c>
      <c r="G3924">
        <v>-683448366</v>
      </c>
      <c r="H3924">
        <v>-1447632595</v>
      </c>
      <c r="I3924">
        <v>-856198231</v>
      </c>
      <c r="J3924">
        <v>-649489343</v>
      </c>
      <c r="K3924">
        <v>-765107462</v>
      </c>
      <c r="L3924">
        <v>-631131437</v>
      </c>
      <c r="M3924">
        <v>-455743833</v>
      </c>
      <c r="N3924">
        <v>-276309634</v>
      </c>
      <c r="O3924">
        <v>-267023897</v>
      </c>
      <c r="P3924">
        <v>368</v>
      </c>
      <c r="Q3924" t="s">
        <v>7892</v>
      </c>
    </row>
    <row r="3925" spans="1:17" x14ac:dyDescent="0.3">
      <c r="A3925" t="s">
        <v>4382</v>
      </c>
      <c r="B3925" t="str">
        <f>"300169"</f>
        <v>300169</v>
      </c>
      <c r="C3925" t="s">
        <v>7893</v>
      </c>
      <c r="D3925" t="s">
        <v>133</v>
      </c>
      <c r="F3925">
        <v>26789858</v>
      </c>
      <c r="G3925">
        <v>-59127590</v>
      </c>
      <c r="H3925">
        <v>-82296741</v>
      </c>
      <c r="I3925">
        <v>-84092050</v>
      </c>
      <c r="J3925">
        <v>-31065157</v>
      </c>
      <c r="K3925">
        <v>-54001735</v>
      </c>
      <c r="L3925">
        <v>25129789</v>
      </c>
      <c r="M3925">
        <v>63529740</v>
      </c>
      <c r="N3925">
        <v>-88472305</v>
      </c>
      <c r="O3925">
        <v>-300569768</v>
      </c>
      <c r="P3925">
        <v>68</v>
      </c>
      <c r="Q3925" t="s">
        <v>7894</v>
      </c>
    </row>
    <row r="3926" spans="1:17" x14ac:dyDescent="0.3">
      <c r="A3926" t="s">
        <v>4382</v>
      </c>
      <c r="B3926" t="str">
        <f>"300170"</f>
        <v>300170</v>
      </c>
      <c r="C3926" t="s">
        <v>7895</v>
      </c>
      <c r="D3926" t="s">
        <v>212</v>
      </c>
      <c r="F3926">
        <v>-268338614</v>
      </c>
      <c r="G3926">
        <v>-48249832</v>
      </c>
      <c r="H3926">
        <v>-471740703</v>
      </c>
      <c r="I3926">
        <v>-269782298</v>
      </c>
      <c r="J3926">
        <v>-242781312</v>
      </c>
      <c r="K3926">
        <v>-288374724</v>
      </c>
      <c r="L3926">
        <v>-130378037</v>
      </c>
      <c r="M3926">
        <v>-168878990</v>
      </c>
      <c r="N3926">
        <v>-113517382</v>
      </c>
      <c r="O3926">
        <v>-68086046</v>
      </c>
      <c r="P3926">
        <v>3198</v>
      </c>
      <c r="Q3926" t="s">
        <v>7896</v>
      </c>
    </row>
    <row r="3927" spans="1:17" x14ac:dyDescent="0.3">
      <c r="A3927" t="s">
        <v>4382</v>
      </c>
      <c r="B3927" t="str">
        <f>"300171"</f>
        <v>300171</v>
      </c>
      <c r="C3927" t="s">
        <v>7897</v>
      </c>
      <c r="D3927" t="s">
        <v>113</v>
      </c>
      <c r="F3927">
        <v>742626332</v>
      </c>
      <c r="G3927">
        <v>498278805</v>
      </c>
      <c r="H3927">
        <v>189146874</v>
      </c>
      <c r="I3927">
        <v>70819566</v>
      </c>
      <c r="J3927">
        <v>-88961239</v>
      </c>
      <c r="K3927">
        <v>-1975697</v>
      </c>
      <c r="L3927">
        <v>-19983823</v>
      </c>
      <c r="M3927">
        <v>-113151442</v>
      </c>
      <c r="N3927">
        <v>180771974</v>
      </c>
      <c r="O3927">
        <v>198103496</v>
      </c>
      <c r="P3927">
        <v>250</v>
      </c>
      <c r="Q3927" t="s">
        <v>7898</v>
      </c>
    </row>
    <row r="3928" spans="1:17" x14ac:dyDescent="0.3">
      <c r="A3928" t="s">
        <v>4382</v>
      </c>
      <c r="B3928" t="str">
        <f>"300172"</f>
        <v>300172</v>
      </c>
      <c r="C3928" t="s">
        <v>7899</v>
      </c>
      <c r="D3928" t="s">
        <v>33</v>
      </c>
      <c r="F3928">
        <v>-53052468</v>
      </c>
      <c r="G3928">
        <v>-36712289</v>
      </c>
      <c r="H3928">
        <v>-38758289</v>
      </c>
      <c r="I3928">
        <v>-88673699</v>
      </c>
      <c r="J3928">
        <v>-164833267</v>
      </c>
      <c r="K3928">
        <v>-54355307</v>
      </c>
      <c r="L3928">
        <v>-45005946</v>
      </c>
      <c r="M3928">
        <v>-25086957</v>
      </c>
      <c r="N3928">
        <v>1962040</v>
      </c>
      <c r="O3928">
        <v>-83371505</v>
      </c>
      <c r="P3928">
        <v>110</v>
      </c>
      <c r="Q3928" t="s">
        <v>7900</v>
      </c>
    </row>
    <row r="3929" spans="1:17" x14ac:dyDescent="0.3">
      <c r="A3929" t="s">
        <v>4382</v>
      </c>
      <c r="B3929" t="str">
        <f>"300173"</f>
        <v>300173</v>
      </c>
      <c r="C3929" t="s">
        <v>7901</v>
      </c>
      <c r="D3929" t="s">
        <v>78</v>
      </c>
      <c r="F3929">
        <v>-252511182</v>
      </c>
      <c r="G3929">
        <v>-5968409</v>
      </c>
      <c r="H3929">
        <v>19472277</v>
      </c>
      <c r="I3929">
        <v>-49174333</v>
      </c>
      <c r="J3929">
        <v>8791011</v>
      </c>
      <c r="K3929">
        <v>-90020968</v>
      </c>
      <c r="L3929">
        <v>-591895</v>
      </c>
      <c r="M3929">
        <v>-26254881</v>
      </c>
      <c r="N3929">
        <v>-59521054</v>
      </c>
      <c r="O3929">
        <v>-70643202</v>
      </c>
      <c r="P3929">
        <v>61</v>
      </c>
      <c r="Q3929" t="s">
        <v>7902</v>
      </c>
    </row>
    <row r="3930" spans="1:17" x14ac:dyDescent="0.3">
      <c r="A3930" t="s">
        <v>4382</v>
      </c>
      <c r="B3930" t="str">
        <f>"300174"</f>
        <v>300174</v>
      </c>
      <c r="C3930" t="s">
        <v>7903</v>
      </c>
      <c r="D3930" t="s">
        <v>133</v>
      </c>
      <c r="F3930">
        <v>-15032155</v>
      </c>
      <c r="G3930">
        <v>-75715201</v>
      </c>
      <c r="H3930">
        <v>-121056089</v>
      </c>
      <c r="I3930">
        <v>126909169</v>
      </c>
      <c r="J3930">
        <v>-6472075</v>
      </c>
      <c r="K3930">
        <v>16855111</v>
      </c>
      <c r="L3930">
        <v>15542262</v>
      </c>
      <c r="M3930">
        <v>1932567</v>
      </c>
      <c r="N3930">
        <v>-35233139</v>
      </c>
      <c r="O3930">
        <v>-73067071</v>
      </c>
      <c r="P3930">
        <v>90</v>
      </c>
      <c r="Q3930" t="s">
        <v>7904</v>
      </c>
    </row>
    <row r="3931" spans="1:17" x14ac:dyDescent="0.3">
      <c r="A3931" t="s">
        <v>4382</v>
      </c>
      <c r="B3931" t="str">
        <f>"300175"</f>
        <v>300175</v>
      </c>
      <c r="C3931" t="s">
        <v>7905</v>
      </c>
      <c r="D3931" t="s">
        <v>205</v>
      </c>
      <c r="F3931">
        <v>29453330</v>
      </c>
      <c r="G3931">
        <v>58939206</v>
      </c>
      <c r="H3931">
        <v>-33674250</v>
      </c>
      <c r="I3931">
        <v>-814535</v>
      </c>
      <c r="J3931">
        <v>108044836</v>
      </c>
      <c r="K3931">
        <v>363200935</v>
      </c>
      <c r="L3931">
        <v>76780754</v>
      </c>
      <c r="M3931">
        <v>104867949</v>
      </c>
      <c r="N3931">
        <v>116610602</v>
      </c>
      <c r="O3931">
        <v>105332169</v>
      </c>
      <c r="P3931">
        <v>84</v>
      </c>
      <c r="Q3931" t="s">
        <v>7906</v>
      </c>
    </row>
    <row r="3932" spans="1:17" x14ac:dyDescent="0.3">
      <c r="A3932" t="s">
        <v>4382</v>
      </c>
      <c r="B3932" t="str">
        <f>"300176"</f>
        <v>300176</v>
      </c>
      <c r="C3932" t="s">
        <v>7907</v>
      </c>
      <c r="D3932" t="s">
        <v>27</v>
      </c>
      <c r="F3932">
        <v>-38237081</v>
      </c>
      <c r="G3932">
        <v>-30001096</v>
      </c>
      <c r="H3932">
        <v>-52835706</v>
      </c>
      <c r="I3932">
        <v>51778542</v>
      </c>
      <c r="J3932">
        <v>664104322</v>
      </c>
      <c r="K3932">
        <v>57202250</v>
      </c>
      <c r="L3932">
        <v>147998023</v>
      </c>
      <c r="M3932">
        <v>-222956675</v>
      </c>
      <c r="N3932">
        <v>-121042309</v>
      </c>
      <c r="O3932">
        <v>-58504202</v>
      </c>
      <c r="P3932">
        <v>151</v>
      </c>
      <c r="Q3932" t="s">
        <v>7908</v>
      </c>
    </row>
    <row r="3933" spans="1:17" x14ac:dyDescent="0.3">
      <c r="A3933" t="s">
        <v>4382</v>
      </c>
      <c r="B3933" t="str">
        <f>"300177"</f>
        <v>300177</v>
      </c>
      <c r="C3933" t="s">
        <v>7909</v>
      </c>
      <c r="D3933" t="s">
        <v>92</v>
      </c>
      <c r="F3933">
        <v>-496561219</v>
      </c>
      <c r="G3933">
        <v>-203767857</v>
      </c>
      <c r="H3933">
        <v>-245538519</v>
      </c>
      <c r="I3933">
        <v>-178718512</v>
      </c>
      <c r="J3933">
        <v>-87149437</v>
      </c>
      <c r="K3933">
        <v>-64956635</v>
      </c>
      <c r="L3933">
        <v>-188344594</v>
      </c>
      <c r="M3933">
        <v>-109754180</v>
      </c>
      <c r="N3933">
        <v>-86397953</v>
      </c>
      <c r="O3933">
        <v>-87930907</v>
      </c>
      <c r="P3933">
        <v>232</v>
      </c>
      <c r="Q3933" t="s">
        <v>7910</v>
      </c>
    </row>
    <row r="3934" spans="1:17" x14ac:dyDescent="0.3">
      <c r="A3934" t="s">
        <v>4382</v>
      </c>
      <c r="B3934" t="str">
        <f>"300178"</f>
        <v>300178</v>
      </c>
      <c r="C3934" t="s">
        <v>7911</v>
      </c>
      <c r="D3934" t="s">
        <v>110</v>
      </c>
      <c r="F3934">
        <v>3611851</v>
      </c>
      <c r="G3934">
        <v>-98952313</v>
      </c>
      <c r="H3934">
        <v>-435010312</v>
      </c>
      <c r="I3934">
        <v>-1364958453</v>
      </c>
      <c r="J3934">
        <v>-318692866</v>
      </c>
      <c r="K3934">
        <v>-46289520</v>
      </c>
      <c r="L3934">
        <v>-327201581</v>
      </c>
      <c r="M3934">
        <v>-79002510</v>
      </c>
      <c r="N3934">
        <v>-122204910</v>
      </c>
      <c r="O3934">
        <v>24890971</v>
      </c>
      <c r="P3934">
        <v>152</v>
      </c>
      <c r="Q3934" t="s">
        <v>7912</v>
      </c>
    </row>
    <row r="3935" spans="1:17" x14ac:dyDescent="0.3">
      <c r="A3935" t="s">
        <v>4382</v>
      </c>
      <c r="B3935" t="str">
        <f>"300179"</f>
        <v>300179</v>
      </c>
      <c r="C3935" t="s">
        <v>7913</v>
      </c>
      <c r="D3935" t="s">
        <v>78</v>
      </c>
      <c r="F3935">
        <v>69135034</v>
      </c>
      <c r="G3935">
        <v>84314022</v>
      </c>
      <c r="H3935">
        <v>73954228</v>
      </c>
      <c r="I3935">
        <v>28048846</v>
      </c>
      <c r="J3935">
        <v>59987739</v>
      </c>
      <c r="K3935">
        <v>-1677761</v>
      </c>
      <c r="L3935">
        <v>-55376518</v>
      </c>
      <c r="M3935">
        <v>-8153463</v>
      </c>
      <c r="N3935">
        <v>-2353334</v>
      </c>
      <c r="O3935">
        <v>-542849</v>
      </c>
      <c r="P3935">
        <v>167</v>
      </c>
      <c r="Q3935" t="s">
        <v>7914</v>
      </c>
    </row>
    <row r="3936" spans="1:17" x14ac:dyDescent="0.3">
      <c r="A3936" t="s">
        <v>4382</v>
      </c>
      <c r="B3936" t="str">
        <f>"300180"</f>
        <v>300180</v>
      </c>
      <c r="C3936" t="s">
        <v>7915</v>
      </c>
      <c r="D3936" t="s">
        <v>133</v>
      </c>
      <c r="F3936">
        <v>-189122434</v>
      </c>
      <c r="G3936">
        <v>-179153731</v>
      </c>
      <c r="H3936">
        <v>-75444568</v>
      </c>
      <c r="I3936">
        <v>-654440851</v>
      </c>
      <c r="J3936">
        <v>-359674737</v>
      </c>
      <c r="K3936">
        <v>-726305430</v>
      </c>
      <c r="L3936">
        <v>-259276554</v>
      </c>
      <c r="M3936">
        <v>-280475492</v>
      </c>
      <c r="N3936">
        <v>-121613604</v>
      </c>
      <c r="O3936">
        <v>-182142627</v>
      </c>
      <c r="P3936">
        <v>141</v>
      </c>
      <c r="Q3936" t="s">
        <v>7916</v>
      </c>
    </row>
    <row r="3937" spans="1:17" x14ac:dyDescent="0.3">
      <c r="A3937" t="s">
        <v>4382</v>
      </c>
      <c r="B3937" t="str">
        <f>"300181"</f>
        <v>300181</v>
      </c>
      <c r="C3937" t="s">
        <v>7917</v>
      </c>
      <c r="D3937" t="s">
        <v>113</v>
      </c>
      <c r="F3937">
        <v>123239400</v>
      </c>
      <c r="G3937">
        <v>113866149</v>
      </c>
      <c r="H3937">
        <v>21577322</v>
      </c>
      <c r="I3937">
        <v>-154518770</v>
      </c>
      <c r="J3937">
        <v>-156562277</v>
      </c>
      <c r="K3937">
        <v>-206937867</v>
      </c>
      <c r="L3937">
        <v>-59537578</v>
      </c>
      <c r="M3937">
        <v>-72941689</v>
      </c>
      <c r="N3937">
        <v>-39850557</v>
      </c>
      <c r="O3937">
        <v>-29862135</v>
      </c>
      <c r="P3937">
        <v>175</v>
      </c>
      <c r="Q3937" t="s">
        <v>7918</v>
      </c>
    </row>
    <row r="3938" spans="1:17" x14ac:dyDescent="0.3">
      <c r="A3938" t="s">
        <v>4382</v>
      </c>
      <c r="B3938" t="str">
        <f>"300182"</f>
        <v>300182</v>
      </c>
      <c r="C3938" t="s">
        <v>7919</v>
      </c>
      <c r="D3938" t="s">
        <v>89</v>
      </c>
      <c r="F3938">
        <v>378054881</v>
      </c>
      <c r="G3938">
        <v>99780709</v>
      </c>
      <c r="H3938">
        <v>67345879</v>
      </c>
      <c r="I3938">
        <v>-365587807</v>
      </c>
      <c r="J3938">
        <v>-1063893451</v>
      </c>
      <c r="K3938">
        <v>-691351259</v>
      </c>
      <c r="L3938">
        <v>-116809696</v>
      </c>
      <c r="M3938">
        <v>-382593647</v>
      </c>
      <c r="N3938">
        <v>-114137375</v>
      </c>
      <c r="O3938">
        <v>-142750275</v>
      </c>
      <c r="P3938">
        <v>514</v>
      </c>
      <c r="Q3938" t="s">
        <v>7920</v>
      </c>
    </row>
    <row r="3939" spans="1:17" x14ac:dyDescent="0.3">
      <c r="A3939" t="s">
        <v>4382</v>
      </c>
      <c r="B3939" t="str">
        <f>"300183"</f>
        <v>300183</v>
      </c>
      <c r="C3939" t="s">
        <v>7921</v>
      </c>
      <c r="D3939" t="s">
        <v>100</v>
      </c>
      <c r="F3939">
        <v>87954557</v>
      </c>
      <c r="G3939">
        <v>10488473</v>
      </c>
      <c r="H3939">
        <v>135217128</v>
      </c>
      <c r="I3939">
        <v>48934294</v>
      </c>
      <c r="J3939">
        <v>84888555</v>
      </c>
      <c r="K3939">
        <v>57222209</v>
      </c>
      <c r="L3939">
        <v>-6450672</v>
      </c>
      <c r="M3939">
        <v>148813420</v>
      </c>
      <c r="N3939">
        <v>113707254</v>
      </c>
      <c r="O3939">
        <v>96257979</v>
      </c>
      <c r="P3939">
        <v>276</v>
      </c>
      <c r="Q3939" t="s">
        <v>7922</v>
      </c>
    </row>
    <row r="3940" spans="1:17" x14ac:dyDescent="0.3">
      <c r="A3940" t="s">
        <v>4382</v>
      </c>
      <c r="B3940" t="str">
        <f>"300184"</f>
        <v>300184</v>
      </c>
      <c r="C3940" t="s">
        <v>7923</v>
      </c>
      <c r="D3940" t="s">
        <v>150</v>
      </c>
      <c r="F3940">
        <v>136544495</v>
      </c>
      <c r="G3940">
        <v>144836812</v>
      </c>
      <c r="H3940">
        <v>76085231</v>
      </c>
      <c r="I3940">
        <v>-121637496</v>
      </c>
      <c r="J3940">
        <v>-71632880</v>
      </c>
      <c r="K3940">
        <v>-38602294</v>
      </c>
      <c r="L3940">
        <v>-105940780</v>
      </c>
      <c r="M3940">
        <v>-71590855</v>
      </c>
      <c r="N3940">
        <v>-32614011</v>
      </c>
      <c r="O3940">
        <v>-4436734</v>
      </c>
      <c r="P3940">
        <v>252</v>
      </c>
      <c r="Q3940" t="s">
        <v>7924</v>
      </c>
    </row>
    <row r="3941" spans="1:17" x14ac:dyDescent="0.3">
      <c r="A3941" t="s">
        <v>4382</v>
      </c>
      <c r="B3941" t="str">
        <f>"300185"</f>
        <v>300185</v>
      </c>
      <c r="C3941" t="s">
        <v>7925</v>
      </c>
      <c r="D3941" t="s">
        <v>188</v>
      </c>
      <c r="F3941">
        <v>29601344</v>
      </c>
      <c r="G3941">
        <v>-5993138</v>
      </c>
      <c r="H3941">
        <v>-85042288</v>
      </c>
      <c r="I3941">
        <v>-192998616</v>
      </c>
      <c r="J3941">
        <v>-171054939</v>
      </c>
      <c r="K3941">
        <v>96912683</v>
      </c>
      <c r="L3941">
        <v>-169503173</v>
      </c>
      <c r="M3941">
        <v>-311002370</v>
      </c>
      <c r="N3941">
        <v>-525180808</v>
      </c>
      <c r="O3941">
        <v>-213400001</v>
      </c>
      <c r="P3941">
        <v>201</v>
      </c>
      <c r="Q3941" t="s">
        <v>7926</v>
      </c>
    </row>
    <row r="3942" spans="1:17" x14ac:dyDescent="0.3">
      <c r="A3942" t="s">
        <v>4382</v>
      </c>
      <c r="B3942" t="str">
        <f>"300186"</f>
        <v>300186</v>
      </c>
      <c r="C3942" t="s">
        <v>7927</v>
      </c>
      <c r="L3942">
        <v>-103809962.28</v>
      </c>
      <c r="M3942">
        <v>-146902252.88</v>
      </c>
      <c r="N3942">
        <v>-111405010.64</v>
      </c>
      <c r="O3942">
        <v>-106030123.45999999</v>
      </c>
      <c r="P3942">
        <v>5</v>
      </c>
      <c r="Q3942" t="s">
        <v>7928</v>
      </c>
    </row>
    <row r="3943" spans="1:17" x14ac:dyDescent="0.3">
      <c r="A3943" t="s">
        <v>4382</v>
      </c>
      <c r="B3943" t="str">
        <f>"300187"</f>
        <v>300187</v>
      </c>
      <c r="C3943" t="s">
        <v>7929</v>
      </c>
      <c r="D3943" t="s">
        <v>33</v>
      </c>
      <c r="F3943">
        <v>-20401389</v>
      </c>
      <c r="G3943">
        <v>5208123</v>
      </c>
      <c r="H3943">
        <v>21746459</v>
      </c>
      <c r="I3943">
        <v>-312379921</v>
      </c>
      <c r="J3943">
        <v>-286004190</v>
      </c>
      <c r="K3943">
        <v>-111947171</v>
      </c>
      <c r="L3943">
        <v>-236561638</v>
      </c>
      <c r="M3943">
        <v>19254911</v>
      </c>
      <c r="N3943">
        <v>-86177692</v>
      </c>
      <c r="O3943">
        <v>-119775900</v>
      </c>
      <c r="P3943">
        <v>110</v>
      </c>
      <c r="Q3943" t="s">
        <v>7930</v>
      </c>
    </row>
    <row r="3944" spans="1:17" x14ac:dyDescent="0.3">
      <c r="A3944" t="s">
        <v>4382</v>
      </c>
      <c r="B3944" t="str">
        <f>"300188"</f>
        <v>300188</v>
      </c>
      <c r="C3944" t="s">
        <v>7931</v>
      </c>
      <c r="D3944" t="s">
        <v>212</v>
      </c>
      <c r="F3944">
        <v>-631713597</v>
      </c>
      <c r="G3944">
        <v>-370476615</v>
      </c>
      <c r="H3944">
        <v>-409499441</v>
      </c>
      <c r="I3944">
        <v>-605688721</v>
      </c>
      <c r="J3944">
        <v>-227301117</v>
      </c>
      <c r="K3944">
        <v>-138884369</v>
      </c>
      <c r="L3944">
        <v>-211805272</v>
      </c>
      <c r="M3944">
        <v>-60670397</v>
      </c>
      <c r="N3944">
        <v>-131684717</v>
      </c>
      <c r="O3944">
        <v>-233058594</v>
      </c>
      <c r="P3944">
        <v>558</v>
      </c>
      <c r="Q3944" t="s">
        <v>7932</v>
      </c>
    </row>
    <row r="3945" spans="1:17" x14ac:dyDescent="0.3">
      <c r="A3945" t="s">
        <v>4382</v>
      </c>
      <c r="B3945" t="str">
        <f>"300189"</f>
        <v>300189</v>
      </c>
      <c r="C3945" t="s">
        <v>7933</v>
      </c>
      <c r="D3945" t="s">
        <v>205</v>
      </c>
      <c r="F3945">
        <v>-38085510</v>
      </c>
      <c r="G3945">
        <v>57752470</v>
      </c>
      <c r="H3945">
        <v>-42850740</v>
      </c>
      <c r="I3945">
        <v>450086942</v>
      </c>
      <c r="J3945">
        <v>228660677</v>
      </c>
      <c r="K3945">
        <v>-487143116</v>
      </c>
      <c r="L3945">
        <v>-48359558</v>
      </c>
      <c r="M3945">
        <v>-90069387</v>
      </c>
      <c r="N3945">
        <v>-235857803</v>
      </c>
      <c r="O3945">
        <v>-47767061</v>
      </c>
      <c r="P3945">
        <v>111</v>
      </c>
      <c r="Q3945" t="s">
        <v>7934</v>
      </c>
    </row>
    <row r="3946" spans="1:17" x14ac:dyDescent="0.3">
      <c r="A3946" t="s">
        <v>4382</v>
      </c>
      <c r="B3946" t="str">
        <f>"300190"</f>
        <v>300190</v>
      </c>
      <c r="C3946" t="s">
        <v>7935</v>
      </c>
      <c r="D3946" t="s">
        <v>33</v>
      </c>
      <c r="F3946">
        <v>-440360458</v>
      </c>
      <c r="G3946">
        <v>-597458223</v>
      </c>
      <c r="H3946">
        <v>-499184226</v>
      </c>
      <c r="I3946">
        <v>-377052151</v>
      </c>
      <c r="J3946">
        <v>-258746718</v>
      </c>
      <c r="K3946">
        <v>-325932751</v>
      </c>
      <c r="L3946">
        <v>-335367047</v>
      </c>
      <c r="M3946">
        <v>-57997691</v>
      </c>
      <c r="N3946">
        <v>-150796829</v>
      </c>
      <c r="O3946">
        <v>-117786038</v>
      </c>
      <c r="P3946">
        <v>233</v>
      </c>
      <c r="Q3946" t="s">
        <v>7936</v>
      </c>
    </row>
    <row r="3947" spans="1:17" x14ac:dyDescent="0.3">
      <c r="A3947" t="s">
        <v>4382</v>
      </c>
      <c r="B3947" t="str">
        <f>"300191"</f>
        <v>300191</v>
      </c>
      <c r="C3947" t="s">
        <v>7937</v>
      </c>
      <c r="D3947" t="s">
        <v>70</v>
      </c>
      <c r="F3947">
        <v>24444034</v>
      </c>
      <c r="G3947">
        <v>163948902</v>
      </c>
      <c r="H3947">
        <v>-73678988</v>
      </c>
      <c r="I3947">
        <v>-80760047</v>
      </c>
      <c r="J3947">
        <v>-17077630</v>
      </c>
      <c r="K3947">
        <v>-101305260</v>
      </c>
      <c r="L3947">
        <v>-57568917</v>
      </c>
      <c r="M3947">
        <v>205805</v>
      </c>
      <c r="N3947">
        <v>21265789</v>
      </c>
      <c r="O3947">
        <v>-19760666</v>
      </c>
      <c r="P3947">
        <v>75</v>
      </c>
      <c r="Q3947" t="s">
        <v>7938</v>
      </c>
    </row>
    <row r="3948" spans="1:17" x14ac:dyDescent="0.3">
      <c r="A3948" t="s">
        <v>4382</v>
      </c>
      <c r="B3948" t="str">
        <f>"300192"</f>
        <v>300192</v>
      </c>
      <c r="C3948" t="s">
        <v>7939</v>
      </c>
      <c r="D3948" t="s">
        <v>110</v>
      </c>
      <c r="F3948">
        <v>69125692</v>
      </c>
      <c r="G3948">
        <v>218678310</v>
      </c>
      <c r="H3948">
        <v>249212541</v>
      </c>
      <c r="I3948">
        <v>203109411</v>
      </c>
      <c r="J3948">
        <v>39016626</v>
      </c>
      <c r="K3948">
        <v>40062892</v>
      </c>
      <c r="L3948">
        <v>14241368</v>
      </c>
      <c r="M3948">
        <v>-33143964</v>
      </c>
      <c r="N3948">
        <v>-44151440</v>
      </c>
      <c r="O3948">
        <v>-66086948</v>
      </c>
      <c r="P3948">
        <v>182</v>
      </c>
      <c r="Q3948" t="s">
        <v>7940</v>
      </c>
    </row>
    <row r="3949" spans="1:17" x14ac:dyDescent="0.3">
      <c r="A3949" t="s">
        <v>4382</v>
      </c>
      <c r="B3949" t="str">
        <f>"300193"</f>
        <v>300193</v>
      </c>
      <c r="C3949" t="s">
        <v>7941</v>
      </c>
      <c r="D3949" t="s">
        <v>78</v>
      </c>
      <c r="F3949">
        <v>2932632</v>
      </c>
      <c r="G3949">
        <v>126602889</v>
      </c>
      <c r="H3949">
        <v>114750562</v>
      </c>
      <c r="I3949">
        <v>89878349</v>
      </c>
      <c r="J3949">
        <v>153059663</v>
      </c>
      <c r="K3949">
        <v>183039847</v>
      </c>
      <c r="L3949">
        <v>80566916</v>
      </c>
      <c r="M3949">
        <v>52039346</v>
      </c>
      <c r="N3949">
        <v>11140239</v>
      </c>
      <c r="O3949">
        <v>-141398244</v>
      </c>
      <c r="P3949">
        <v>155</v>
      </c>
      <c r="Q3949" t="s">
        <v>7942</v>
      </c>
    </row>
    <row r="3950" spans="1:17" x14ac:dyDescent="0.3">
      <c r="A3950" t="s">
        <v>4382</v>
      </c>
      <c r="B3950" t="str">
        <f>"300194"</f>
        <v>300194</v>
      </c>
      <c r="C3950" t="s">
        <v>7943</v>
      </c>
      <c r="D3950" t="s">
        <v>113</v>
      </c>
      <c r="F3950">
        <v>-209811346</v>
      </c>
      <c r="G3950">
        <v>-83120797</v>
      </c>
      <c r="H3950">
        <v>130068022</v>
      </c>
      <c r="I3950">
        <v>65810166</v>
      </c>
      <c r="J3950">
        <v>348946311</v>
      </c>
      <c r="K3950">
        <v>156759817</v>
      </c>
      <c r="L3950">
        <v>20776129</v>
      </c>
      <c r="M3950">
        <v>-77489503</v>
      </c>
      <c r="N3950">
        <v>-66538467</v>
      </c>
      <c r="O3950">
        <v>-37874489</v>
      </c>
      <c r="P3950">
        <v>149</v>
      </c>
      <c r="Q3950" t="s">
        <v>7944</v>
      </c>
    </row>
    <row r="3951" spans="1:17" x14ac:dyDescent="0.3">
      <c r="A3951" t="s">
        <v>4382</v>
      </c>
      <c r="B3951" t="str">
        <f>"300195"</f>
        <v>300195</v>
      </c>
      <c r="C3951" t="s">
        <v>7945</v>
      </c>
      <c r="D3951" t="s">
        <v>78</v>
      </c>
      <c r="F3951">
        <v>-18124251</v>
      </c>
      <c r="G3951">
        <v>-43023867</v>
      </c>
      <c r="H3951">
        <v>-160896589</v>
      </c>
      <c r="I3951">
        <v>-195034433</v>
      </c>
      <c r="J3951">
        <v>121542722</v>
      </c>
      <c r="K3951">
        <v>35907232</v>
      </c>
      <c r="L3951">
        <v>-20279775</v>
      </c>
      <c r="M3951">
        <v>-268857</v>
      </c>
      <c r="N3951">
        <v>-23869320</v>
      </c>
      <c r="O3951">
        <v>-15750555</v>
      </c>
      <c r="P3951">
        <v>90</v>
      </c>
      <c r="Q3951" t="s">
        <v>7946</v>
      </c>
    </row>
    <row r="3952" spans="1:17" x14ac:dyDescent="0.3">
      <c r="A3952" t="s">
        <v>4382</v>
      </c>
      <c r="B3952" t="str">
        <f>"300196"</f>
        <v>300196</v>
      </c>
      <c r="C3952" t="s">
        <v>7947</v>
      </c>
      <c r="D3952" t="s">
        <v>350</v>
      </c>
      <c r="F3952">
        <v>-294356497</v>
      </c>
      <c r="G3952">
        <v>111084890</v>
      </c>
      <c r="H3952">
        <v>178698795</v>
      </c>
      <c r="I3952">
        <v>-89206797</v>
      </c>
      <c r="J3952">
        <v>155663268</v>
      </c>
      <c r="K3952">
        <v>243398044</v>
      </c>
      <c r="L3952">
        <v>138580916</v>
      </c>
      <c r="M3952">
        <v>-5840263</v>
      </c>
      <c r="N3952">
        <v>23135268</v>
      </c>
      <c r="O3952">
        <v>-203735380</v>
      </c>
      <c r="P3952">
        <v>232</v>
      </c>
      <c r="Q3952" t="s">
        <v>7948</v>
      </c>
    </row>
    <row r="3953" spans="1:17" x14ac:dyDescent="0.3">
      <c r="A3953" t="s">
        <v>4382</v>
      </c>
      <c r="B3953" t="str">
        <f>"300197"</f>
        <v>300197</v>
      </c>
      <c r="C3953" t="s">
        <v>7949</v>
      </c>
      <c r="D3953" t="s">
        <v>95</v>
      </c>
      <c r="F3953">
        <v>-378514754</v>
      </c>
      <c r="G3953">
        <v>-532379736</v>
      </c>
      <c r="H3953">
        <v>1025113588</v>
      </c>
      <c r="I3953">
        <v>186222812</v>
      </c>
      <c r="J3953">
        <v>-510513011</v>
      </c>
      <c r="K3953">
        <v>-835561765</v>
      </c>
      <c r="L3953">
        <v>-227467427</v>
      </c>
      <c r="M3953">
        <v>-261234598</v>
      </c>
      <c r="N3953">
        <v>-517600889</v>
      </c>
      <c r="O3953">
        <v>-291482744</v>
      </c>
      <c r="P3953">
        <v>356</v>
      </c>
      <c r="Q3953" t="s">
        <v>7950</v>
      </c>
    </row>
    <row r="3954" spans="1:17" x14ac:dyDescent="0.3">
      <c r="A3954" t="s">
        <v>4382</v>
      </c>
      <c r="B3954" t="str">
        <f>"300198"</f>
        <v>300198</v>
      </c>
      <c r="C3954" t="s">
        <v>7951</v>
      </c>
      <c r="D3954" t="s">
        <v>350</v>
      </c>
      <c r="F3954">
        <v>-234273615</v>
      </c>
      <c r="G3954">
        <v>-523052307</v>
      </c>
      <c r="H3954">
        <v>-252351458</v>
      </c>
      <c r="I3954">
        <v>47572659</v>
      </c>
      <c r="J3954">
        <v>-165576728</v>
      </c>
      <c r="K3954">
        <v>-107191018</v>
      </c>
      <c r="L3954">
        <v>-150980075</v>
      </c>
      <c r="M3954">
        <v>87696617</v>
      </c>
      <c r="N3954">
        <v>-54280640</v>
      </c>
      <c r="O3954">
        <v>-41199271</v>
      </c>
      <c r="P3954">
        <v>82</v>
      </c>
      <c r="Q3954" t="s">
        <v>7952</v>
      </c>
    </row>
    <row r="3955" spans="1:17" x14ac:dyDescent="0.3">
      <c r="A3955" t="s">
        <v>4382</v>
      </c>
      <c r="B3955" t="str">
        <f>"300199"</f>
        <v>300199</v>
      </c>
      <c r="C3955" t="s">
        <v>7953</v>
      </c>
      <c r="D3955" t="s">
        <v>113</v>
      </c>
      <c r="F3955">
        <v>-45440524</v>
      </c>
      <c r="G3955">
        <v>-131016605</v>
      </c>
      <c r="H3955">
        <v>-533162643</v>
      </c>
      <c r="I3955">
        <v>-45151608</v>
      </c>
      <c r="J3955">
        <v>-81715494</v>
      </c>
      <c r="K3955">
        <v>-44378149</v>
      </c>
      <c r="L3955">
        <v>-229420370</v>
      </c>
      <c r="M3955">
        <v>-28036046</v>
      </c>
      <c r="N3955">
        <v>-187173726</v>
      </c>
      <c r="O3955">
        <v>-123146075</v>
      </c>
      <c r="P3955">
        <v>242</v>
      </c>
      <c r="Q3955" t="s">
        <v>7954</v>
      </c>
    </row>
    <row r="3956" spans="1:17" x14ac:dyDescent="0.3">
      <c r="A3956" t="s">
        <v>4382</v>
      </c>
      <c r="B3956" t="str">
        <f>"300200"</f>
        <v>300200</v>
      </c>
      <c r="C3956" t="s">
        <v>7955</v>
      </c>
      <c r="D3956" t="s">
        <v>133</v>
      </c>
      <c r="F3956">
        <v>82054300</v>
      </c>
      <c r="G3956">
        <v>217099113</v>
      </c>
      <c r="H3956">
        <v>241722001</v>
      </c>
      <c r="I3956">
        <v>137997978</v>
      </c>
      <c r="J3956">
        <v>7290368</v>
      </c>
      <c r="K3956">
        <v>77145608</v>
      </c>
      <c r="L3956">
        <v>33115957</v>
      </c>
      <c r="M3956">
        <v>29349152</v>
      </c>
      <c r="N3956">
        <v>-45842103</v>
      </c>
      <c r="O3956">
        <v>-35802445</v>
      </c>
      <c r="P3956">
        <v>160</v>
      </c>
      <c r="Q3956" t="s">
        <v>7956</v>
      </c>
    </row>
    <row r="3957" spans="1:17" x14ac:dyDescent="0.3">
      <c r="A3957" t="s">
        <v>4382</v>
      </c>
      <c r="B3957" t="str">
        <f>"300201"</f>
        <v>300201</v>
      </c>
      <c r="C3957" t="s">
        <v>7957</v>
      </c>
      <c r="D3957" t="s">
        <v>78</v>
      </c>
      <c r="F3957">
        <v>-275986994</v>
      </c>
      <c r="G3957">
        <v>-6108645</v>
      </c>
      <c r="H3957">
        <v>-125406466</v>
      </c>
      <c r="I3957">
        <v>-93623056</v>
      </c>
      <c r="J3957">
        <v>-207672410</v>
      </c>
      <c r="K3957">
        <v>-205063105</v>
      </c>
      <c r="L3957">
        <v>-91526867</v>
      </c>
      <c r="M3957">
        <v>-61202697</v>
      </c>
      <c r="N3957">
        <v>-112354722</v>
      </c>
      <c r="O3957">
        <v>-78803686</v>
      </c>
      <c r="P3957">
        <v>77</v>
      </c>
      <c r="Q3957" t="s">
        <v>7958</v>
      </c>
    </row>
    <row r="3958" spans="1:17" x14ac:dyDescent="0.3">
      <c r="A3958" t="s">
        <v>4382</v>
      </c>
      <c r="B3958" t="str">
        <f>"300202"</f>
        <v>300202</v>
      </c>
      <c r="C3958" t="s">
        <v>7959</v>
      </c>
      <c r="D3958" t="s">
        <v>212</v>
      </c>
      <c r="F3958">
        <v>-105694915</v>
      </c>
      <c r="G3958">
        <v>-115355022</v>
      </c>
      <c r="H3958">
        <v>-220419605</v>
      </c>
      <c r="I3958">
        <v>-120746165</v>
      </c>
      <c r="J3958">
        <v>-204052153</v>
      </c>
      <c r="K3958">
        <v>-192663653</v>
      </c>
      <c r="L3958">
        <v>-351610913</v>
      </c>
      <c r="M3958">
        <v>-186326371</v>
      </c>
      <c r="N3958">
        <v>-176617237</v>
      </c>
      <c r="O3958">
        <v>-164332667</v>
      </c>
      <c r="P3958">
        <v>2978</v>
      </c>
      <c r="Q3958" t="s">
        <v>7960</v>
      </c>
    </row>
    <row r="3959" spans="1:17" x14ac:dyDescent="0.3">
      <c r="A3959" t="s">
        <v>4382</v>
      </c>
      <c r="B3959" t="str">
        <f>"300203"</f>
        <v>300203</v>
      </c>
      <c r="C3959" t="s">
        <v>7961</v>
      </c>
      <c r="D3959" t="s">
        <v>33</v>
      </c>
      <c r="F3959">
        <v>-958079917</v>
      </c>
      <c r="G3959">
        <v>-401015871</v>
      </c>
      <c r="H3959">
        <v>-631251012</v>
      </c>
      <c r="I3959">
        <v>-287364518</v>
      </c>
      <c r="J3959">
        <v>-373909828</v>
      </c>
      <c r="K3959">
        <v>-460512535</v>
      </c>
      <c r="L3959">
        <v>-198019411</v>
      </c>
      <c r="M3959">
        <v>-129868663</v>
      </c>
      <c r="N3959">
        <v>-100945708</v>
      </c>
      <c r="O3959">
        <v>-135491874</v>
      </c>
      <c r="P3959">
        <v>431</v>
      </c>
      <c r="Q3959" t="s">
        <v>7962</v>
      </c>
    </row>
    <row r="3960" spans="1:17" x14ac:dyDescent="0.3">
      <c r="A3960" t="s">
        <v>4382</v>
      </c>
      <c r="B3960" t="str">
        <f>"300204"</f>
        <v>300204</v>
      </c>
      <c r="C3960" t="s">
        <v>7963</v>
      </c>
      <c r="D3960" t="s">
        <v>113</v>
      </c>
      <c r="F3960">
        <v>-158763944</v>
      </c>
      <c r="G3960">
        <v>-120071147</v>
      </c>
      <c r="H3960">
        <v>23339819</v>
      </c>
      <c r="I3960">
        <v>105768933</v>
      </c>
      <c r="J3960">
        <v>190121299</v>
      </c>
      <c r="K3960">
        <v>157264443</v>
      </c>
      <c r="L3960">
        <v>161646887</v>
      </c>
      <c r="M3960">
        <v>118587880</v>
      </c>
      <c r="N3960">
        <v>-2529073</v>
      </c>
      <c r="O3960">
        <v>30615041</v>
      </c>
      <c r="P3960">
        <v>202</v>
      </c>
      <c r="Q3960" t="s">
        <v>7964</v>
      </c>
    </row>
    <row r="3961" spans="1:17" x14ac:dyDescent="0.3">
      <c r="A3961" t="s">
        <v>4382</v>
      </c>
      <c r="B3961" t="str">
        <f>"300205"</f>
        <v>300205</v>
      </c>
      <c r="C3961" t="s">
        <v>7965</v>
      </c>
      <c r="D3961" t="s">
        <v>100</v>
      </c>
      <c r="F3961">
        <v>-277863121</v>
      </c>
      <c r="G3961">
        <v>-97065016</v>
      </c>
      <c r="H3961">
        <v>-38327329</v>
      </c>
      <c r="I3961">
        <v>-245239105</v>
      </c>
      <c r="J3961">
        <v>-220884811</v>
      </c>
      <c r="K3961">
        <v>-306183904</v>
      </c>
      <c r="L3961">
        <v>-174018674</v>
      </c>
      <c r="M3961">
        <v>-294518865</v>
      </c>
      <c r="N3961">
        <v>-237578569</v>
      </c>
      <c r="O3961">
        <v>-183296816</v>
      </c>
      <c r="P3961">
        <v>222</v>
      </c>
      <c r="Q3961" t="s">
        <v>7966</v>
      </c>
    </row>
    <row r="3962" spans="1:17" x14ac:dyDescent="0.3">
      <c r="A3962" t="s">
        <v>4382</v>
      </c>
      <c r="B3962" t="str">
        <f>"300206"</f>
        <v>300206</v>
      </c>
      <c r="C3962" t="s">
        <v>7967</v>
      </c>
      <c r="D3962" t="s">
        <v>113</v>
      </c>
      <c r="F3962">
        <v>170011298</v>
      </c>
      <c r="G3962">
        <v>424904656</v>
      </c>
      <c r="H3962">
        <v>62334510</v>
      </c>
      <c r="I3962">
        <v>-2044380</v>
      </c>
      <c r="J3962">
        <v>43364230</v>
      </c>
      <c r="K3962">
        <v>-118194658</v>
      </c>
      <c r="L3962">
        <v>-93696080</v>
      </c>
      <c r="M3962">
        <v>-62646015</v>
      </c>
      <c r="N3962">
        <v>-53809059</v>
      </c>
      <c r="O3962">
        <v>10701021</v>
      </c>
      <c r="P3962">
        <v>428</v>
      </c>
      <c r="Q3962" t="s">
        <v>7968</v>
      </c>
    </row>
    <row r="3963" spans="1:17" x14ac:dyDescent="0.3">
      <c r="A3963" t="s">
        <v>4382</v>
      </c>
      <c r="B3963" t="str">
        <f>"300207"</f>
        <v>300207</v>
      </c>
      <c r="C3963" t="s">
        <v>7969</v>
      </c>
      <c r="D3963" t="s">
        <v>188</v>
      </c>
      <c r="F3963">
        <v>-1215983768</v>
      </c>
      <c r="G3963">
        <v>-2421311668</v>
      </c>
      <c r="H3963">
        <v>-1520165447</v>
      </c>
      <c r="I3963">
        <v>-308500375</v>
      </c>
      <c r="J3963">
        <v>-1319155268</v>
      </c>
      <c r="K3963">
        <v>427132898</v>
      </c>
      <c r="L3963">
        <v>71124781</v>
      </c>
      <c r="M3963">
        <v>69435567</v>
      </c>
      <c r="N3963">
        <v>-140789401</v>
      </c>
      <c r="O3963">
        <v>-379825325</v>
      </c>
      <c r="P3963">
        <v>1013</v>
      </c>
      <c r="Q3963" t="s">
        <v>7970</v>
      </c>
    </row>
    <row r="3964" spans="1:17" x14ac:dyDescent="0.3">
      <c r="A3964" t="s">
        <v>4382</v>
      </c>
      <c r="B3964" t="str">
        <f>"300208"</f>
        <v>300208</v>
      </c>
      <c r="C3964" t="s">
        <v>7971</v>
      </c>
      <c r="D3964" t="s">
        <v>103</v>
      </c>
      <c r="F3964">
        <v>300465845</v>
      </c>
      <c r="G3964">
        <v>12097450</v>
      </c>
      <c r="H3964">
        <v>-740140842</v>
      </c>
      <c r="I3964">
        <v>-620938152</v>
      </c>
      <c r="J3964">
        <v>-214517662</v>
      </c>
      <c r="K3964">
        <v>-102477966</v>
      </c>
      <c r="L3964">
        <v>132980814</v>
      </c>
      <c r="M3964">
        <v>-55706066</v>
      </c>
      <c r="N3964">
        <v>7307292</v>
      </c>
      <c r="O3964">
        <v>24416690</v>
      </c>
      <c r="P3964">
        <v>144</v>
      </c>
      <c r="Q3964" t="s">
        <v>7972</v>
      </c>
    </row>
    <row r="3965" spans="1:17" x14ac:dyDescent="0.3">
      <c r="A3965" t="s">
        <v>4382</v>
      </c>
      <c r="B3965" t="str">
        <f>"300209"</f>
        <v>300209</v>
      </c>
      <c r="C3965" t="s">
        <v>7973</v>
      </c>
      <c r="D3965" t="s">
        <v>212</v>
      </c>
      <c r="F3965">
        <v>-135382484</v>
      </c>
      <c r="G3965">
        <v>-425557037</v>
      </c>
      <c r="H3965">
        <v>-71284320</v>
      </c>
      <c r="I3965">
        <v>-174632420</v>
      </c>
      <c r="J3965">
        <v>-99748506</v>
      </c>
      <c r="K3965">
        <v>-103735879</v>
      </c>
      <c r="L3965">
        <v>-31747437</v>
      </c>
      <c r="M3965">
        <v>-19935166</v>
      </c>
      <c r="N3965">
        <v>-27520495</v>
      </c>
      <c r="O3965">
        <v>-37921330</v>
      </c>
      <c r="P3965">
        <v>143</v>
      </c>
      <c r="Q3965" t="s">
        <v>7974</v>
      </c>
    </row>
    <row r="3966" spans="1:17" x14ac:dyDescent="0.3">
      <c r="A3966" t="s">
        <v>4382</v>
      </c>
      <c r="B3966" t="str">
        <f>"300210"</f>
        <v>300210</v>
      </c>
      <c r="C3966" t="s">
        <v>7975</v>
      </c>
      <c r="D3966" t="s">
        <v>33</v>
      </c>
      <c r="F3966">
        <v>3332270</v>
      </c>
      <c r="G3966">
        <v>44224357</v>
      </c>
      <c r="H3966">
        <v>16104450</v>
      </c>
      <c r="I3966">
        <v>-2805431</v>
      </c>
      <c r="J3966">
        <v>-52029289</v>
      </c>
      <c r="K3966">
        <v>-161550018</v>
      </c>
      <c r="L3966">
        <v>-60044393</v>
      </c>
      <c r="M3966">
        <v>-128265905</v>
      </c>
      <c r="N3966">
        <v>-103320819</v>
      </c>
      <c r="O3966">
        <v>-22108575</v>
      </c>
      <c r="P3966">
        <v>50</v>
      </c>
      <c r="Q3966" t="s">
        <v>7976</v>
      </c>
    </row>
    <row r="3967" spans="1:17" x14ac:dyDescent="0.3">
      <c r="A3967" t="s">
        <v>4382</v>
      </c>
      <c r="B3967" t="str">
        <f>"300211"</f>
        <v>300211</v>
      </c>
      <c r="C3967" t="s">
        <v>7977</v>
      </c>
      <c r="D3967" t="s">
        <v>100</v>
      </c>
      <c r="F3967">
        <v>3878498</v>
      </c>
      <c r="G3967">
        <v>33519110</v>
      </c>
      <c r="H3967">
        <v>39768074</v>
      </c>
      <c r="I3967">
        <v>26264779</v>
      </c>
      <c r="J3967">
        <v>-10038187</v>
      </c>
      <c r="K3967">
        <v>-15225810</v>
      </c>
      <c r="L3967">
        <v>-32048916</v>
      </c>
      <c r="M3967">
        <v>-60319879</v>
      </c>
      <c r="N3967">
        <v>-36473319</v>
      </c>
      <c r="O3967">
        <v>-42598427</v>
      </c>
      <c r="P3967">
        <v>63</v>
      </c>
      <c r="Q3967" t="s">
        <v>7978</v>
      </c>
    </row>
    <row r="3968" spans="1:17" x14ac:dyDescent="0.3">
      <c r="A3968" t="s">
        <v>4382</v>
      </c>
      <c r="B3968" t="str">
        <f>"300212"</f>
        <v>300212</v>
      </c>
      <c r="C3968" t="s">
        <v>7979</v>
      </c>
      <c r="D3968" t="s">
        <v>212</v>
      </c>
      <c r="F3968">
        <v>-642427875</v>
      </c>
      <c r="G3968">
        <v>-779156533</v>
      </c>
      <c r="H3968">
        <v>-321016239</v>
      </c>
      <c r="I3968">
        <v>-873413388</v>
      </c>
      <c r="J3968">
        <v>-975797058</v>
      </c>
      <c r="K3968">
        <v>-563217757</v>
      </c>
      <c r="L3968">
        <v>-580968000</v>
      </c>
      <c r="M3968">
        <v>-450459570</v>
      </c>
      <c r="N3968">
        <v>-296350566</v>
      </c>
      <c r="O3968">
        <v>-228404881</v>
      </c>
      <c r="P3968">
        <v>389</v>
      </c>
      <c r="Q3968" t="s">
        <v>7980</v>
      </c>
    </row>
    <row r="3969" spans="1:17" x14ac:dyDescent="0.3">
      <c r="A3969" t="s">
        <v>4382</v>
      </c>
      <c r="B3969" t="str">
        <f>"300213"</f>
        <v>300213</v>
      </c>
      <c r="C3969" t="s">
        <v>7981</v>
      </c>
      <c r="D3969" t="s">
        <v>100</v>
      </c>
      <c r="F3969">
        <v>-32842134</v>
      </c>
      <c r="G3969">
        <v>34043274</v>
      </c>
      <c r="H3969">
        <v>-48401333</v>
      </c>
      <c r="I3969">
        <v>-285434369</v>
      </c>
      <c r="J3969">
        <v>-175236346</v>
      </c>
      <c r="K3969">
        <v>-100902129</v>
      </c>
      <c r="L3969">
        <v>-92918765</v>
      </c>
      <c r="M3969">
        <v>-90822064</v>
      </c>
      <c r="N3969">
        <v>-111504337</v>
      </c>
      <c r="O3969">
        <v>-90511296</v>
      </c>
      <c r="P3969">
        <v>188</v>
      </c>
      <c r="Q3969" t="s">
        <v>7982</v>
      </c>
    </row>
    <row r="3970" spans="1:17" x14ac:dyDescent="0.3">
      <c r="A3970" t="s">
        <v>4382</v>
      </c>
      <c r="B3970" t="str">
        <f>"300214"</f>
        <v>300214</v>
      </c>
      <c r="C3970" t="s">
        <v>7983</v>
      </c>
      <c r="D3970" t="s">
        <v>133</v>
      </c>
      <c r="F3970">
        <v>-34532101</v>
      </c>
      <c r="G3970">
        <v>237800301</v>
      </c>
      <c r="H3970">
        <v>-115204526</v>
      </c>
      <c r="I3970">
        <v>31032310</v>
      </c>
      <c r="J3970">
        <v>-45187370</v>
      </c>
      <c r="K3970">
        <v>-54680803</v>
      </c>
      <c r="L3970">
        <v>38669059</v>
      </c>
      <c r="M3970">
        <v>-24973507</v>
      </c>
      <c r="N3970">
        <v>-48577734</v>
      </c>
      <c r="O3970">
        <v>-96425675</v>
      </c>
      <c r="P3970">
        <v>107</v>
      </c>
      <c r="Q3970" t="s">
        <v>7984</v>
      </c>
    </row>
    <row r="3971" spans="1:17" x14ac:dyDescent="0.3">
      <c r="A3971" t="s">
        <v>4382</v>
      </c>
      <c r="B3971" t="str">
        <f>"300215"</f>
        <v>300215</v>
      </c>
      <c r="C3971" t="s">
        <v>7985</v>
      </c>
      <c r="D3971" t="s">
        <v>110</v>
      </c>
      <c r="F3971">
        <v>272068586</v>
      </c>
      <c r="G3971">
        <v>69972017</v>
      </c>
      <c r="H3971">
        <v>182453769</v>
      </c>
      <c r="I3971">
        <v>302197686</v>
      </c>
      <c r="J3971">
        <v>151906500</v>
      </c>
      <c r="K3971">
        <v>65375250</v>
      </c>
      <c r="L3971">
        <v>-156844832</v>
      </c>
      <c r="M3971">
        <v>-142687053</v>
      </c>
      <c r="N3971">
        <v>-149845234</v>
      </c>
      <c r="O3971">
        <v>-172744169</v>
      </c>
      <c r="P3971">
        <v>178</v>
      </c>
      <c r="Q3971" t="s">
        <v>7986</v>
      </c>
    </row>
    <row r="3972" spans="1:17" x14ac:dyDescent="0.3">
      <c r="A3972" t="s">
        <v>4382</v>
      </c>
      <c r="B3972" t="str">
        <f>"300216"</f>
        <v>300216</v>
      </c>
      <c r="C3972" t="s">
        <v>7987</v>
      </c>
      <c r="H3972">
        <v>-5594291</v>
      </c>
      <c r="I3972">
        <v>92175438</v>
      </c>
      <c r="J3972">
        <v>-1418712508</v>
      </c>
      <c r="K3972">
        <v>-345429075</v>
      </c>
      <c r="L3972">
        <v>24267471</v>
      </c>
      <c r="M3972">
        <v>-93437680</v>
      </c>
      <c r="N3972">
        <v>-192236028</v>
      </c>
      <c r="O3972">
        <v>-170608318</v>
      </c>
      <c r="P3972">
        <v>53</v>
      </c>
      <c r="Q3972" t="s">
        <v>7988</v>
      </c>
    </row>
    <row r="3973" spans="1:17" x14ac:dyDescent="0.3">
      <c r="A3973" t="s">
        <v>4382</v>
      </c>
      <c r="B3973" t="str">
        <f>"300217"</f>
        <v>300217</v>
      </c>
      <c r="C3973" t="s">
        <v>7989</v>
      </c>
      <c r="D3973" t="s">
        <v>126</v>
      </c>
      <c r="F3973">
        <v>23847913</v>
      </c>
      <c r="G3973">
        <v>45144658</v>
      </c>
      <c r="H3973">
        <v>-76941529</v>
      </c>
      <c r="I3973">
        <v>-342136845</v>
      </c>
      <c r="J3973">
        <v>-150182882</v>
      </c>
      <c r="K3973">
        <v>70472239</v>
      </c>
      <c r="L3973">
        <v>17373281</v>
      </c>
      <c r="M3973">
        <v>-72942431</v>
      </c>
      <c r="N3973">
        <v>-52517744</v>
      </c>
      <c r="O3973">
        <v>47057578</v>
      </c>
      <c r="P3973">
        <v>161</v>
      </c>
      <c r="Q3973" t="s">
        <v>7990</v>
      </c>
    </row>
    <row r="3974" spans="1:17" x14ac:dyDescent="0.3">
      <c r="A3974" t="s">
        <v>4382</v>
      </c>
      <c r="B3974" t="str">
        <f>"300218"</f>
        <v>300218</v>
      </c>
      <c r="C3974" t="s">
        <v>7991</v>
      </c>
      <c r="D3974" t="s">
        <v>133</v>
      </c>
      <c r="F3974">
        <v>-67206805</v>
      </c>
      <c r="G3974">
        <v>7551015</v>
      </c>
      <c r="H3974">
        <v>-49846642</v>
      </c>
      <c r="I3974">
        <v>-91882690</v>
      </c>
      <c r="J3974">
        <v>-42038839</v>
      </c>
      <c r="K3974">
        <v>-41176658</v>
      </c>
      <c r="L3974">
        <v>-160366975</v>
      </c>
      <c r="M3974">
        <v>-184654687</v>
      </c>
      <c r="N3974">
        <v>-129612455</v>
      </c>
      <c r="O3974">
        <v>-179939851</v>
      </c>
      <c r="P3974">
        <v>108</v>
      </c>
      <c r="Q3974" t="s">
        <v>7992</v>
      </c>
    </row>
    <row r="3975" spans="1:17" x14ac:dyDescent="0.3">
      <c r="A3975" t="s">
        <v>4382</v>
      </c>
      <c r="B3975" t="str">
        <f>"300219"</f>
        <v>300219</v>
      </c>
      <c r="C3975" t="s">
        <v>7993</v>
      </c>
      <c r="D3975" t="s">
        <v>150</v>
      </c>
      <c r="F3975">
        <v>-271495502</v>
      </c>
      <c r="G3975">
        <v>-9013857</v>
      </c>
      <c r="H3975">
        <v>220560475</v>
      </c>
      <c r="I3975">
        <v>308513601</v>
      </c>
      <c r="J3975">
        <v>-105398736</v>
      </c>
      <c r="K3975">
        <v>-135441420</v>
      </c>
      <c r="L3975">
        <v>-3646506</v>
      </c>
      <c r="M3975">
        <v>50079343</v>
      </c>
      <c r="N3975">
        <v>-294027</v>
      </c>
      <c r="O3975">
        <v>-112327795</v>
      </c>
      <c r="P3975">
        <v>135</v>
      </c>
      <c r="Q3975" t="s">
        <v>7994</v>
      </c>
    </row>
    <row r="3976" spans="1:17" x14ac:dyDescent="0.3">
      <c r="A3976" t="s">
        <v>4382</v>
      </c>
      <c r="B3976" t="str">
        <f>"300220"</f>
        <v>300220</v>
      </c>
      <c r="C3976" t="s">
        <v>7995</v>
      </c>
      <c r="D3976" t="s">
        <v>78</v>
      </c>
      <c r="F3976">
        <v>-36161812</v>
      </c>
      <c r="G3976">
        <v>-46451144</v>
      </c>
      <c r="H3976">
        <v>-14918281</v>
      </c>
      <c r="I3976">
        <v>11087635</v>
      </c>
      <c r="J3976">
        <v>-20748905</v>
      </c>
      <c r="K3976">
        <v>31289420</v>
      </c>
      <c r="L3976">
        <v>-30223534</v>
      </c>
      <c r="M3976">
        <v>-6471251</v>
      </c>
      <c r="N3976">
        <v>-29535712</v>
      </c>
      <c r="O3976">
        <v>-40071166</v>
      </c>
      <c r="P3976">
        <v>91</v>
      </c>
      <c r="Q3976" t="s">
        <v>7996</v>
      </c>
    </row>
    <row r="3977" spans="1:17" x14ac:dyDescent="0.3">
      <c r="A3977" t="s">
        <v>4382</v>
      </c>
      <c r="B3977" t="str">
        <f>"300221"</f>
        <v>300221</v>
      </c>
      <c r="C3977" t="s">
        <v>7997</v>
      </c>
      <c r="D3977" t="s">
        <v>133</v>
      </c>
      <c r="F3977">
        <v>-145231034</v>
      </c>
      <c r="G3977">
        <v>162305193</v>
      </c>
      <c r="H3977">
        <v>122296645</v>
      </c>
      <c r="I3977">
        <v>29367368</v>
      </c>
      <c r="J3977">
        <v>-130141282</v>
      </c>
      <c r="K3977">
        <v>29038132</v>
      </c>
      <c r="L3977">
        <v>-9285626</v>
      </c>
      <c r="M3977">
        <v>-80808139</v>
      </c>
      <c r="N3977">
        <v>-144500805</v>
      </c>
      <c r="O3977">
        <v>-65950967</v>
      </c>
      <c r="P3977">
        <v>173</v>
      </c>
      <c r="Q3977" t="s">
        <v>7998</v>
      </c>
    </row>
    <row r="3978" spans="1:17" x14ac:dyDescent="0.3">
      <c r="A3978" t="s">
        <v>4382</v>
      </c>
      <c r="B3978" t="str">
        <f>"300222"</f>
        <v>300222</v>
      </c>
      <c r="C3978" t="s">
        <v>7999</v>
      </c>
      <c r="D3978" t="s">
        <v>188</v>
      </c>
      <c r="F3978">
        <v>-510909227</v>
      </c>
      <c r="G3978">
        <v>-258269668</v>
      </c>
      <c r="H3978">
        <v>-448519474</v>
      </c>
      <c r="I3978">
        <v>-816587929</v>
      </c>
      <c r="J3978">
        <v>-537429383</v>
      </c>
      <c r="K3978">
        <v>-155174367</v>
      </c>
      <c r="L3978">
        <v>-40228404</v>
      </c>
      <c r="M3978">
        <v>-46634051</v>
      </c>
      <c r="N3978">
        <v>-85139841</v>
      </c>
      <c r="O3978">
        <v>-82544329</v>
      </c>
      <c r="P3978">
        <v>221</v>
      </c>
      <c r="Q3978" t="s">
        <v>8000</v>
      </c>
    </row>
    <row r="3979" spans="1:17" x14ac:dyDescent="0.3">
      <c r="A3979" t="s">
        <v>4382</v>
      </c>
      <c r="B3979" t="str">
        <f>"300223"</f>
        <v>300223</v>
      </c>
      <c r="C3979" t="s">
        <v>8001</v>
      </c>
      <c r="D3979" t="s">
        <v>150</v>
      </c>
      <c r="F3979">
        <v>733819475</v>
      </c>
      <c r="G3979">
        <v>84924681</v>
      </c>
      <c r="H3979">
        <v>9698570</v>
      </c>
      <c r="I3979">
        <v>-17442074</v>
      </c>
      <c r="J3979">
        <v>-63671085</v>
      </c>
      <c r="K3979">
        <v>-72252945</v>
      </c>
      <c r="L3979">
        <v>30236504</v>
      </c>
      <c r="M3979">
        <v>-6313365</v>
      </c>
      <c r="N3979">
        <v>-4487371</v>
      </c>
      <c r="O3979">
        <v>-316622</v>
      </c>
      <c r="P3979">
        <v>612</v>
      </c>
      <c r="Q3979" t="s">
        <v>8002</v>
      </c>
    </row>
    <row r="3980" spans="1:17" x14ac:dyDescent="0.3">
      <c r="A3980" t="s">
        <v>4382</v>
      </c>
      <c r="B3980" t="str">
        <f>"300224"</f>
        <v>300224</v>
      </c>
      <c r="C3980" t="s">
        <v>8003</v>
      </c>
      <c r="D3980" t="s">
        <v>234</v>
      </c>
      <c r="F3980">
        <v>35907691</v>
      </c>
      <c r="G3980">
        <v>119751902</v>
      </c>
      <c r="H3980">
        <v>-63291952</v>
      </c>
      <c r="I3980">
        <v>17104117</v>
      </c>
      <c r="J3980">
        <v>48898058</v>
      </c>
      <c r="K3980">
        <v>-120671758</v>
      </c>
      <c r="L3980">
        <v>34057989</v>
      </c>
      <c r="M3980">
        <v>-207071232</v>
      </c>
      <c r="N3980">
        <v>2695379</v>
      </c>
      <c r="O3980">
        <v>206819227</v>
      </c>
      <c r="P3980">
        <v>200</v>
      </c>
      <c r="Q3980" t="s">
        <v>8004</v>
      </c>
    </row>
    <row r="3981" spans="1:17" x14ac:dyDescent="0.3">
      <c r="A3981" t="s">
        <v>4382</v>
      </c>
      <c r="B3981" t="str">
        <f>"300225"</f>
        <v>300225</v>
      </c>
      <c r="C3981" t="s">
        <v>8005</v>
      </c>
      <c r="D3981" t="s">
        <v>133</v>
      </c>
      <c r="F3981">
        <v>-227975976</v>
      </c>
      <c r="G3981">
        <v>-86305757</v>
      </c>
      <c r="H3981">
        <v>-167094</v>
      </c>
      <c r="I3981">
        <v>-46068320</v>
      </c>
      <c r="J3981">
        <v>48855307</v>
      </c>
      <c r="K3981">
        <v>45423351</v>
      </c>
      <c r="L3981">
        <v>-43521292</v>
      </c>
      <c r="M3981">
        <v>17376732</v>
      </c>
      <c r="N3981">
        <v>-25288995</v>
      </c>
      <c r="O3981">
        <v>5907603</v>
      </c>
      <c r="P3981">
        <v>94</v>
      </c>
      <c r="Q3981" t="s">
        <v>8006</v>
      </c>
    </row>
    <row r="3982" spans="1:17" x14ac:dyDescent="0.3">
      <c r="A3982" t="s">
        <v>4382</v>
      </c>
      <c r="B3982" t="str">
        <f>"300226"</f>
        <v>300226</v>
      </c>
      <c r="C3982" t="s">
        <v>8007</v>
      </c>
      <c r="D3982" t="s">
        <v>212</v>
      </c>
      <c r="F3982">
        <v>163240192</v>
      </c>
      <c r="G3982">
        <v>-188569666</v>
      </c>
      <c r="H3982">
        <v>-260794542</v>
      </c>
      <c r="I3982">
        <v>20970024</v>
      </c>
      <c r="J3982">
        <v>-516055824</v>
      </c>
      <c r="K3982">
        <v>-532025699</v>
      </c>
      <c r="L3982">
        <v>-108295117</v>
      </c>
      <c r="M3982">
        <v>-319647716</v>
      </c>
      <c r="N3982">
        <v>-90322957</v>
      </c>
      <c r="O3982">
        <v>14350529</v>
      </c>
      <c r="P3982">
        <v>254</v>
      </c>
      <c r="Q3982" t="s">
        <v>8008</v>
      </c>
    </row>
    <row r="3983" spans="1:17" x14ac:dyDescent="0.3">
      <c r="A3983" t="s">
        <v>4382</v>
      </c>
      <c r="B3983" t="str">
        <f>"300227"</f>
        <v>300227</v>
      </c>
      <c r="C3983" t="s">
        <v>8009</v>
      </c>
      <c r="D3983" t="s">
        <v>78</v>
      </c>
      <c r="F3983">
        <v>-139931235</v>
      </c>
      <c r="G3983">
        <v>-12856000</v>
      </c>
      <c r="H3983">
        <v>-91236138</v>
      </c>
      <c r="I3983">
        <v>15988968</v>
      </c>
      <c r="J3983">
        <v>-12997705</v>
      </c>
      <c r="K3983">
        <v>-32283447</v>
      </c>
      <c r="L3983">
        <v>-13236868</v>
      </c>
      <c r="M3983">
        <v>-57785919</v>
      </c>
      <c r="N3983">
        <v>-44278412</v>
      </c>
      <c r="O3983">
        <v>-40654519</v>
      </c>
      <c r="P3983">
        <v>220</v>
      </c>
      <c r="Q3983" t="s">
        <v>8010</v>
      </c>
    </row>
    <row r="3984" spans="1:17" x14ac:dyDescent="0.3">
      <c r="A3984" t="s">
        <v>4382</v>
      </c>
      <c r="B3984" t="str">
        <f>"300228"</f>
        <v>300228</v>
      </c>
      <c r="C3984" t="s">
        <v>8011</v>
      </c>
      <c r="D3984" t="s">
        <v>78</v>
      </c>
      <c r="F3984">
        <v>206434822</v>
      </c>
      <c r="G3984">
        <v>-43345786</v>
      </c>
      <c r="H3984">
        <v>106496430</v>
      </c>
      <c r="I3984">
        <v>102379666</v>
      </c>
      <c r="J3984">
        <v>-42991312</v>
      </c>
      <c r="K3984">
        <v>-328575630</v>
      </c>
      <c r="L3984">
        <v>-275898533</v>
      </c>
      <c r="M3984">
        <v>24887053</v>
      </c>
      <c r="N3984">
        <v>-565079026</v>
      </c>
      <c r="O3984">
        <v>-117743269</v>
      </c>
      <c r="P3984">
        <v>128</v>
      </c>
      <c r="Q3984" t="s">
        <v>8012</v>
      </c>
    </row>
    <row r="3985" spans="1:17" x14ac:dyDescent="0.3">
      <c r="A3985" t="s">
        <v>4382</v>
      </c>
      <c r="B3985" t="str">
        <f>"300229"</f>
        <v>300229</v>
      </c>
      <c r="C3985" t="s">
        <v>8013</v>
      </c>
      <c r="D3985" t="s">
        <v>212</v>
      </c>
      <c r="F3985">
        <v>-207175448</v>
      </c>
      <c r="G3985">
        <v>-52427463</v>
      </c>
      <c r="H3985">
        <v>-148287978</v>
      </c>
      <c r="I3985">
        <v>143303026</v>
      </c>
      <c r="J3985">
        <v>-42761135</v>
      </c>
      <c r="K3985">
        <v>-127900669</v>
      </c>
      <c r="L3985">
        <v>-58649267</v>
      </c>
      <c r="M3985">
        <v>-3770912</v>
      </c>
      <c r="N3985">
        <v>-68871462</v>
      </c>
      <c r="O3985">
        <v>-51904264</v>
      </c>
      <c r="P3985">
        <v>210</v>
      </c>
      <c r="Q3985" t="s">
        <v>8014</v>
      </c>
    </row>
    <row r="3986" spans="1:17" x14ac:dyDescent="0.3">
      <c r="A3986" t="s">
        <v>4382</v>
      </c>
      <c r="B3986" t="str">
        <f>"300230"</f>
        <v>300230</v>
      </c>
      <c r="C3986" t="s">
        <v>8015</v>
      </c>
      <c r="D3986" t="s">
        <v>133</v>
      </c>
      <c r="F3986">
        <v>-37375163</v>
      </c>
      <c r="G3986">
        <v>232837940</v>
      </c>
      <c r="H3986">
        <v>280503129</v>
      </c>
      <c r="I3986">
        <v>110528365</v>
      </c>
      <c r="J3986">
        <v>146732177</v>
      </c>
      <c r="K3986">
        <v>1792635</v>
      </c>
      <c r="L3986">
        <v>52243083</v>
      </c>
      <c r="M3986">
        <v>-8597585</v>
      </c>
      <c r="N3986">
        <v>-17942121</v>
      </c>
      <c r="O3986">
        <v>5625632</v>
      </c>
      <c r="P3986">
        <v>169</v>
      </c>
      <c r="Q3986" t="s">
        <v>8016</v>
      </c>
    </row>
    <row r="3987" spans="1:17" x14ac:dyDescent="0.3">
      <c r="A3987" t="s">
        <v>4382</v>
      </c>
      <c r="B3987" t="str">
        <f>"300231"</f>
        <v>300231</v>
      </c>
      <c r="C3987" t="s">
        <v>8017</v>
      </c>
      <c r="D3987" t="s">
        <v>212</v>
      </c>
      <c r="F3987">
        <v>-277008526</v>
      </c>
      <c r="G3987">
        <v>-316183641</v>
      </c>
      <c r="H3987">
        <v>-332252600</v>
      </c>
      <c r="I3987">
        <v>-80354436</v>
      </c>
      <c r="J3987">
        <v>-21873821</v>
      </c>
      <c r="K3987">
        <v>-323986609</v>
      </c>
      <c r="L3987">
        <v>8301262</v>
      </c>
      <c r="M3987">
        <v>-118936674</v>
      </c>
      <c r="N3987">
        <v>2020946</v>
      </c>
      <c r="O3987">
        <v>-25456421</v>
      </c>
      <c r="P3987">
        <v>264</v>
      </c>
      <c r="Q3987" t="s">
        <v>8018</v>
      </c>
    </row>
    <row r="3988" spans="1:17" x14ac:dyDescent="0.3">
      <c r="A3988" t="s">
        <v>4382</v>
      </c>
      <c r="B3988" t="str">
        <f>"300232"</f>
        <v>300232</v>
      </c>
      <c r="C3988" t="s">
        <v>8019</v>
      </c>
      <c r="D3988" t="s">
        <v>150</v>
      </c>
      <c r="F3988">
        <v>-530900543</v>
      </c>
      <c r="G3988">
        <v>-245299500</v>
      </c>
      <c r="H3988">
        <v>-88002956</v>
      </c>
      <c r="I3988">
        <v>-2633403</v>
      </c>
      <c r="J3988">
        <v>-218277700</v>
      </c>
      <c r="K3988">
        <v>46110500</v>
      </c>
      <c r="L3988">
        <v>-80457756</v>
      </c>
      <c r="M3988">
        <v>-24804560</v>
      </c>
      <c r="N3988">
        <v>-12985866</v>
      </c>
      <c r="O3988">
        <v>-171353958</v>
      </c>
      <c r="P3988">
        <v>922</v>
      </c>
      <c r="Q3988" t="s">
        <v>8020</v>
      </c>
    </row>
    <row r="3989" spans="1:17" x14ac:dyDescent="0.3">
      <c r="A3989" t="s">
        <v>4382</v>
      </c>
      <c r="B3989" t="str">
        <f>"300233"</f>
        <v>300233</v>
      </c>
      <c r="C3989" t="s">
        <v>8021</v>
      </c>
      <c r="D3989" t="s">
        <v>113</v>
      </c>
      <c r="F3989">
        <v>7685871</v>
      </c>
      <c r="G3989">
        <v>239300308</v>
      </c>
      <c r="H3989">
        <v>129928939</v>
      </c>
      <c r="I3989">
        <v>-1650126</v>
      </c>
      <c r="J3989">
        <v>-70792874</v>
      </c>
      <c r="K3989">
        <v>85877527</v>
      </c>
      <c r="L3989">
        <v>36154942</v>
      </c>
      <c r="M3989">
        <v>48485238</v>
      </c>
      <c r="N3989">
        <v>-50792571</v>
      </c>
      <c r="O3989">
        <v>-15106679</v>
      </c>
      <c r="P3989">
        <v>202</v>
      </c>
      <c r="Q3989" t="s">
        <v>8022</v>
      </c>
    </row>
    <row r="3990" spans="1:17" x14ac:dyDescent="0.3">
      <c r="A3990" t="s">
        <v>4382</v>
      </c>
      <c r="B3990" t="str">
        <f>"300234"</f>
        <v>300234</v>
      </c>
      <c r="C3990" t="s">
        <v>8023</v>
      </c>
      <c r="D3990" t="s">
        <v>350</v>
      </c>
      <c r="F3990">
        <v>-74053286</v>
      </c>
      <c r="G3990">
        <v>-12993012</v>
      </c>
      <c r="H3990">
        <v>-46294447</v>
      </c>
      <c r="I3990">
        <v>-58210376</v>
      </c>
      <c r="J3990">
        <v>-9014948</v>
      </c>
      <c r="K3990">
        <v>-46632545</v>
      </c>
      <c r="L3990">
        <v>-24557108</v>
      </c>
      <c r="M3990">
        <v>16080038</v>
      </c>
      <c r="N3990">
        <v>-117173202</v>
      </c>
      <c r="O3990">
        <v>-32247667</v>
      </c>
      <c r="P3990">
        <v>111</v>
      </c>
      <c r="Q3990" t="s">
        <v>8024</v>
      </c>
    </row>
    <row r="3991" spans="1:17" x14ac:dyDescent="0.3">
      <c r="A3991" t="s">
        <v>4382</v>
      </c>
      <c r="B3991" t="str">
        <f>"300235"</f>
        <v>300235</v>
      </c>
      <c r="C3991" t="s">
        <v>8025</v>
      </c>
      <c r="D3991" t="s">
        <v>212</v>
      </c>
      <c r="F3991">
        <v>-5098518</v>
      </c>
      <c r="G3991">
        <v>-10716892</v>
      </c>
      <c r="H3991">
        <v>-6006335</v>
      </c>
      <c r="I3991">
        <v>-20633415</v>
      </c>
      <c r="J3991">
        <v>-26761596</v>
      </c>
      <c r="K3991">
        <v>-11909529</v>
      </c>
      <c r="L3991">
        <v>-7924920</v>
      </c>
      <c r="M3991">
        <v>3011025</v>
      </c>
      <c r="N3991">
        <v>-81771221</v>
      </c>
      <c r="O3991">
        <v>8874530</v>
      </c>
      <c r="P3991">
        <v>114</v>
      </c>
      <c r="Q3991" t="s">
        <v>8026</v>
      </c>
    </row>
    <row r="3992" spans="1:17" x14ac:dyDescent="0.3">
      <c r="A3992" t="s">
        <v>4382</v>
      </c>
      <c r="B3992" t="str">
        <f>"300236"</f>
        <v>300236</v>
      </c>
      <c r="C3992" t="s">
        <v>8027</v>
      </c>
      <c r="D3992" t="s">
        <v>150</v>
      </c>
      <c r="F3992">
        <v>-197584357</v>
      </c>
      <c r="G3992">
        <v>-23647188</v>
      </c>
      <c r="H3992">
        <v>3950558</v>
      </c>
      <c r="I3992">
        <v>24304652</v>
      </c>
      <c r="J3992">
        <v>42673748</v>
      </c>
      <c r="K3992">
        <v>47995094</v>
      </c>
      <c r="L3992">
        <v>-8512879</v>
      </c>
      <c r="M3992">
        <v>-22213582</v>
      </c>
      <c r="N3992">
        <v>-22827154</v>
      </c>
      <c r="O3992">
        <v>3336272</v>
      </c>
      <c r="P3992">
        <v>414</v>
      </c>
      <c r="Q3992" t="s">
        <v>8028</v>
      </c>
    </row>
    <row r="3993" spans="1:17" x14ac:dyDescent="0.3">
      <c r="A3993" t="s">
        <v>4382</v>
      </c>
      <c r="B3993" t="str">
        <f>"300237"</f>
        <v>300237</v>
      </c>
      <c r="C3993" t="s">
        <v>8029</v>
      </c>
      <c r="D3993" t="s">
        <v>95</v>
      </c>
      <c r="F3993">
        <v>-92178066</v>
      </c>
      <c r="G3993">
        <v>-434935260</v>
      </c>
      <c r="H3993">
        <v>-18126548</v>
      </c>
      <c r="I3993">
        <v>-92331957</v>
      </c>
      <c r="J3993">
        <v>-520912789</v>
      </c>
      <c r="K3993">
        <v>-524783567</v>
      </c>
      <c r="L3993">
        <v>-250038932</v>
      </c>
      <c r="M3993">
        <v>-40775157</v>
      </c>
      <c r="N3993">
        <v>25560821</v>
      </c>
      <c r="O3993">
        <v>-17730250</v>
      </c>
      <c r="P3993">
        <v>315</v>
      </c>
      <c r="Q3993" t="s">
        <v>8030</v>
      </c>
    </row>
    <row r="3994" spans="1:17" x14ac:dyDescent="0.3">
      <c r="A3994" t="s">
        <v>4382</v>
      </c>
      <c r="B3994" t="str">
        <f>"300238"</f>
        <v>300238</v>
      </c>
      <c r="C3994" t="s">
        <v>8031</v>
      </c>
      <c r="D3994" t="s">
        <v>113</v>
      </c>
      <c r="F3994">
        <v>89951713</v>
      </c>
      <c r="G3994">
        <v>63254326</v>
      </c>
      <c r="H3994">
        <v>-6951377</v>
      </c>
      <c r="I3994">
        <v>-28922644</v>
      </c>
      <c r="J3994">
        <v>20462143</v>
      </c>
      <c r="K3994">
        <v>26805452</v>
      </c>
      <c r="L3994">
        <v>21176708</v>
      </c>
      <c r="M3994">
        <v>2600212</v>
      </c>
      <c r="N3994">
        <v>-19439259</v>
      </c>
      <c r="O3994">
        <v>-20276753</v>
      </c>
      <c r="P3994">
        <v>196</v>
      </c>
      <c r="Q3994" t="s">
        <v>8032</v>
      </c>
    </row>
    <row r="3995" spans="1:17" x14ac:dyDescent="0.3">
      <c r="A3995" t="s">
        <v>4382</v>
      </c>
      <c r="B3995" t="str">
        <f>"300239"</f>
        <v>300239</v>
      </c>
      <c r="C3995" t="s">
        <v>8033</v>
      </c>
      <c r="D3995" t="s">
        <v>113</v>
      </c>
      <c r="F3995">
        <v>-21604106</v>
      </c>
      <c r="G3995">
        <v>-80989340</v>
      </c>
      <c r="H3995">
        <v>-180461320</v>
      </c>
      <c r="I3995">
        <v>-4661356</v>
      </c>
      <c r="J3995">
        <v>-77982829</v>
      </c>
      <c r="K3995">
        <v>-115911431</v>
      </c>
      <c r="L3995">
        <v>-32067541</v>
      </c>
      <c r="M3995">
        <v>-23191786</v>
      </c>
      <c r="N3995">
        <v>-3070257</v>
      </c>
      <c r="O3995">
        <v>-47205226</v>
      </c>
      <c r="P3995">
        <v>107</v>
      </c>
      <c r="Q3995" t="s">
        <v>8034</v>
      </c>
    </row>
    <row r="3996" spans="1:17" x14ac:dyDescent="0.3">
      <c r="A3996" t="s">
        <v>4382</v>
      </c>
      <c r="B3996" t="str">
        <f>"300240"</f>
        <v>300240</v>
      </c>
      <c r="C3996" t="s">
        <v>8035</v>
      </c>
      <c r="D3996" t="s">
        <v>22</v>
      </c>
      <c r="F3996">
        <v>-30937868</v>
      </c>
      <c r="G3996">
        <v>137926371</v>
      </c>
      <c r="H3996">
        <v>-90067320</v>
      </c>
      <c r="I3996">
        <v>46921218</v>
      </c>
      <c r="J3996">
        <v>-43485684</v>
      </c>
      <c r="K3996">
        <v>91105448</v>
      </c>
      <c r="L3996">
        <v>45379708</v>
      </c>
      <c r="M3996">
        <v>-37526298</v>
      </c>
      <c r="N3996">
        <v>-24329082</v>
      </c>
      <c r="O3996">
        <v>19728340</v>
      </c>
      <c r="P3996">
        <v>67</v>
      </c>
      <c r="Q3996" t="s">
        <v>8036</v>
      </c>
    </row>
    <row r="3997" spans="1:17" x14ac:dyDescent="0.3">
      <c r="A3997" t="s">
        <v>4382</v>
      </c>
      <c r="B3997" t="str">
        <f>"300241"</f>
        <v>300241</v>
      </c>
      <c r="C3997" t="s">
        <v>8037</v>
      </c>
      <c r="D3997" t="s">
        <v>150</v>
      </c>
      <c r="F3997">
        <v>-252342286</v>
      </c>
      <c r="G3997">
        <v>-172048163</v>
      </c>
      <c r="H3997">
        <v>71050603</v>
      </c>
      <c r="I3997">
        <v>-9698259</v>
      </c>
      <c r="J3997">
        <v>29212557</v>
      </c>
      <c r="K3997">
        <v>-73073511</v>
      </c>
      <c r="L3997">
        <v>-40294769</v>
      </c>
      <c r="M3997">
        <v>-7617276</v>
      </c>
      <c r="N3997">
        <v>-42391350</v>
      </c>
      <c r="O3997">
        <v>-10616626</v>
      </c>
      <c r="P3997">
        <v>170</v>
      </c>
      <c r="Q3997" t="s">
        <v>8038</v>
      </c>
    </row>
    <row r="3998" spans="1:17" x14ac:dyDescent="0.3">
      <c r="A3998" t="s">
        <v>4382</v>
      </c>
      <c r="B3998" t="str">
        <f>"300242"</f>
        <v>300242</v>
      </c>
      <c r="C3998" t="s">
        <v>8039</v>
      </c>
      <c r="D3998" t="s">
        <v>89</v>
      </c>
      <c r="F3998">
        <v>-339806245</v>
      </c>
      <c r="G3998">
        <v>-89384738</v>
      </c>
      <c r="H3998">
        <v>51231759</v>
      </c>
      <c r="I3998">
        <v>-311686636</v>
      </c>
      <c r="J3998">
        <v>7276922</v>
      </c>
      <c r="K3998">
        <v>-180330864</v>
      </c>
      <c r="L3998">
        <v>-3641049</v>
      </c>
      <c r="M3998">
        <v>13731115</v>
      </c>
      <c r="N3998">
        <v>-31020164</v>
      </c>
      <c r="O3998">
        <v>-27912375</v>
      </c>
      <c r="P3998">
        <v>95</v>
      </c>
      <c r="Q3998" t="s">
        <v>8040</v>
      </c>
    </row>
    <row r="3999" spans="1:17" x14ac:dyDescent="0.3">
      <c r="A3999" t="s">
        <v>4382</v>
      </c>
      <c r="B3999" t="str">
        <f>"300243"</f>
        <v>300243</v>
      </c>
      <c r="C3999" t="s">
        <v>8041</v>
      </c>
      <c r="D3999" t="s">
        <v>133</v>
      </c>
      <c r="F3999">
        <v>-129478275</v>
      </c>
      <c r="G3999">
        <v>-25965931</v>
      </c>
      <c r="H3999">
        <v>41069079</v>
      </c>
      <c r="I3999">
        <v>-62800481</v>
      </c>
      <c r="J3999">
        <v>-62866125</v>
      </c>
      <c r="K3999">
        <v>55553017</v>
      </c>
      <c r="L3999">
        <v>-22729292</v>
      </c>
      <c r="M3999">
        <v>-59812952</v>
      </c>
      <c r="N3999">
        <v>-63402790</v>
      </c>
      <c r="O3999">
        <v>-18961143</v>
      </c>
      <c r="P3999">
        <v>103</v>
      </c>
      <c r="Q3999" t="s">
        <v>8042</v>
      </c>
    </row>
    <row r="4000" spans="1:17" x14ac:dyDescent="0.3">
      <c r="A4000" t="s">
        <v>4382</v>
      </c>
      <c r="B4000" t="str">
        <f>"300244"</f>
        <v>300244</v>
      </c>
      <c r="C4000" t="s">
        <v>8043</v>
      </c>
      <c r="D4000" t="s">
        <v>113</v>
      </c>
      <c r="F4000">
        <v>139623533</v>
      </c>
      <c r="G4000">
        <v>158366246</v>
      </c>
      <c r="H4000">
        <v>-176972454</v>
      </c>
      <c r="I4000">
        <v>-423108804</v>
      </c>
      <c r="J4000">
        <v>-469095200</v>
      </c>
      <c r="K4000">
        <v>-179758418</v>
      </c>
      <c r="L4000">
        <v>-31452396</v>
      </c>
      <c r="M4000">
        <v>-36875532</v>
      </c>
      <c r="N4000">
        <v>-23253724</v>
      </c>
      <c r="O4000">
        <v>-51712163</v>
      </c>
      <c r="P4000">
        <v>1268</v>
      </c>
      <c r="Q4000" t="s">
        <v>8044</v>
      </c>
    </row>
    <row r="4001" spans="1:17" x14ac:dyDescent="0.3">
      <c r="A4001" t="s">
        <v>4382</v>
      </c>
      <c r="B4001" t="str">
        <f>"300245"</f>
        <v>300245</v>
      </c>
      <c r="C4001" t="s">
        <v>8045</v>
      </c>
      <c r="D4001" t="s">
        <v>212</v>
      </c>
      <c r="F4001">
        <v>-160321066</v>
      </c>
      <c r="G4001">
        <v>-92102894</v>
      </c>
      <c r="H4001">
        <v>-79478000</v>
      </c>
      <c r="I4001">
        <v>-59776246</v>
      </c>
      <c r="J4001">
        <v>-50617869</v>
      </c>
      <c r="K4001">
        <v>-179184707</v>
      </c>
      <c r="L4001">
        <v>-29043612</v>
      </c>
      <c r="M4001">
        <v>-17437956</v>
      </c>
      <c r="N4001">
        <v>-23167506</v>
      </c>
      <c r="O4001">
        <v>-91020022</v>
      </c>
      <c r="P4001">
        <v>128</v>
      </c>
      <c r="Q4001" t="s">
        <v>8046</v>
      </c>
    </row>
    <row r="4002" spans="1:17" x14ac:dyDescent="0.3">
      <c r="A4002" t="s">
        <v>4382</v>
      </c>
      <c r="B4002" t="str">
        <f>"300246"</f>
        <v>300246</v>
      </c>
      <c r="C4002" t="s">
        <v>8047</v>
      </c>
      <c r="D4002" t="s">
        <v>113</v>
      </c>
      <c r="F4002">
        <v>-42466915</v>
      </c>
      <c r="G4002">
        <v>313307334</v>
      </c>
      <c r="H4002">
        <v>18977598</v>
      </c>
      <c r="I4002">
        <v>-71668512</v>
      </c>
      <c r="J4002">
        <v>-1595525</v>
      </c>
      <c r="K4002">
        <v>-9391391</v>
      </c>
      <c r="L4002">
        <v>-33366298</v>
      </c>
      <c r="M4002">
        <v>-19631924</v>
      </c>
      <c r="N4002">
        <v>-2557442</v>
      </c>
      <c r="O4002">
        <v>5917124</v>
      </c>
      <c r="P4002">
        <v>511</v>
      </c>
      <c r="Q4002" t="s">
        <v>8048</v>
      </c>
    </row>
    <row r="4003" spans="1:17" x14ac:dyDescent="0.3">
      <c r="A4003" t="s">
        <v>4382</v>
      </c>
      <c r="B4003" t="str">
        <f>"300247"</f>
        <v>300247</v>
      </c>
      <c r="C4003" t="s">
        <v>8049</v>
      </c>
      <c r="D4003" t="s">
        <v>126</v>
      </c>
      <c r="F4003">
        <v>-11364203</v>
      </c>
      <c r="G4003">
        <v>55717660</v>
      </c>
      <c r="H4003">
        <v>85780799</v>
      </c>
      <c r="I4003">
        <v>-80568182</v>
      </c>
      <c r="J4003">
        <v>-9096167</v>
      </c>
      <c r="K4003">
        <v>-53357974</v>
      </c>
      <c r="L4003">
        <v>-51881557</v>
      </c>
      <c r="M4003">
        <v>9694491</v>
      </c>
      <c r="N4003">
        <v>-47533848</v>
      </c>
      <c r="O4003">
        <v>-114077060</v>
      </c>
      <c r="P4003">
        <v>107</v>
      </c>
      <c r="Q4003" t="s">
        <v>8050</v>
      </c>
    </row>
    <row r="4004" spans="1:17" x14ac:dyDescent="0.3">
      <c r="A4004" t="s">
        <v>4382</v>
      </c>
      <c r="B4004" t="str">
        <f>"300248"</f>
        <v>300248</v>
      </c>
      <c r="C4004" t="s">
        <v>8051</v>
      </c>
      <c r="D4004" t="s">
        <v>212</v>
      </c>
      <c r="F4004">
        <v>-149313015</v>
      </c>
      <c r="G4004">
        <v>-94574669</v>
      </c>
      <c r="H4004">
        <v>-185022755</v>
      </c>
      <c r="I4004">
        <v>-237221866</v>
      </c>
      <c r="J4004">
        <v>-158255076</v>
      </c>
      <c r="K4004">
        <v>-73562796</v>
      </c>
      <c r="L4004">
        <v>-73174769</v>
      </c>
      <c r="M4004">
        <v>-120827518</v>
      </c>
      <c r="N4004">
        <v>-83335763</v>
      </c>
      <c r="O4004">
        <v>-50305905</v>
      </c>
      <c r="P4004">
        <v>209</v>
      </c>
      <c r="Q4004" t="s">
        <v>8052</v>
      </c>
    </row>
    <row r="4005" spans="1:17" x14ac:dyDescent="0.3">
      <c r="A4005" t="s">
        <v>4382</v>
      </c>
      <c r="B4005" t="str">
        <f>"300249"</f>
        <v>300249</v>
      </c>
      <c r="C4005" t="s">
        <v>8053</v>
      </c>
      <c r="D4005" t="s">
        <v>212</v>
      </c>
      <c r="F4005">
        <v>-37503178</v>
      </c>
      <c r="G4005">
        <v>-97778613</v>
      </c>
      <c r="H4005">
        <v>-182833775</v>
      </c>
      <c r="I4005">
        <v>-78627431</v>
      </c>
      <c r="J4005">
        <v>-133800863</v>
      </c>
      <c r="K4005">
        <v>25086347</v>
      </c>
      <c r="L4005">
        <v>-128498654</v>
      </c>
      <c r="M4005">
        <v>-38401846</v>
      </c>
      <c r="N4005">
        <v>-22952503</v>
      </c>
      <c r="O4005">
        <v>-50147511</v>
      </c>
      <c r="P4005">
        <v>195</v>
      </c>
      <c r="Q4005" t="s">
        <v>8054</v>
      </c>
    </row>
    <row r="4006" spans="1:17" x14ac:dyDescent="0.3">
      <c r="A4006" t="s">
        <v>4382</v>
      </c>
      <c r="B4006" t="str">
        <f>"300250"</f>
        <v>300250</v>
      </c>
      <c r="C4006" t="s">
        <v>8055</v>
      </c>
      <c r="D4006" t="s">
        <v>212</v>
      </c>
      <c r="F4006">
        <v>-71580248</v>
      </c>
      <c r="G4006">
        <v>-8496442</v>
      </c>
      <c r="H4006">
        <v>-53431938</v>
      </c>
      <c r="I4006">
        <v>-59504919</v>
      </c>
      <c r="J4006">
        <v>10848981</v>
      </c>
      <c r="K4006">
        <v>-19195241</v>
      </c>
      <c r="L4006">
        <v>20266439</v>
      </c>
      <c r="M4006">
        <v>-923946</v>
      </c>
      <c r="N4006">
        <v>7237111</v>
      </c>
      <c r="O4006">
        <v>-52195028</v>
      </c>
      <c r="P4006">
        <v>159</v>
      </c>
      <c r="Q4006" t="s">
        <v>8056</v>
      </c>
    </row>
    <row r="4007" spans="1:17" x14ac:dyDescent="0.3">
      <c r="A4007" t="s">
        <v>4382</v>
      </c>
      <c r="B4007" t="str">
        <f>"300251"</f>
        <v>300251</v>
      </c>
      <c r="C4007" t="s">
        <v>8057</v>
      </c>
      <c r="D4007" t="s">
        <v>89</v>
      </c>
      <c r="F4007">
        <v>649192969</v>
      </c>
      <c r="G4007">
        <v>-438777602</v>
      </c>
      <c r="H4007">
        <v>1069997762</v>
      </c>
      <c r="I4007">
        <v>-308401322</v>
      </c>
      <c r="J4007">
        <v>6891235</v>
      </c>
      <c r="K4007">
        <v>516415836</v>
      </c>
      <c r="L4007">
        <v>-173472666</v>
      </c>
      <c r="M4007">
        <v>-231938792</v>
      </c>
      <c r="N4007">
        <v>611133647</v>
      </c>
      <c r="O4007">
        <v>-156536081</v>
      </c>
      <c r="P4007">
        <v>807</v>
      </c>
      <c r="Q4007" t="s">
        <v>8058</v>
      </c>
    </row>
    <row r="4008" spans="1:17" x14ac:dyDescent="0.3">
      <c r="A4008" t="s">
        <v>4382</v>
      </c>
      <c r="B4008" t="str">
        <f>"300252"</f>
        <v>300252</v>
      </c>
      <c r="C4008" t="s">
        <v>8059</v>
      </c>
      <c r="D4008" t="s">
        <v>92</v>
      </c>
      <c r="F4008">
        <v>239896408</v>
      </c>
      <c r="G4008">
        <v>197887761</v>
      </c>
      <c r="H4008">
        <v>-104735017</v>
      </c>
      <c r="I4008">
        <v>-61994297</v>
      </c>
      <c r="J4008">
        <v>-737393811</v>
      </c>
      <c r="K4008">
        <v>33565960</v>
      </c>
      <c r="L4008">
        <v>67530893</v>
      </c>
      <c r="M4008">
        <v>-64906089</v>
      </c>
      <c r="N4008">
        <v>-106931157</v>
      </c>
      <c r="O4008">
        <v>-89756299</v>
      </c>
      <c r="P4008">
        <v>217</v>
      </c>
      <c r="Q4008" t="s">
        <v>8060</v>
      </c>
    </row>
    <row r="4009" spans="1:17" x14ac:dyDescent="0.3">
      <c r="A4009" t="s">
        <v>4382</v>
      </c>
      <c r="B4009" t="str">
        <f>"300253"</f>
        <v>300253</v>
      </c>
      <c r="C4009" t="s">
        <v>8061</v>
      </c>
      <c r="D4009" t="s">
        <v>212</v>
      </c>
      <c r="F4009">
        <v>-431693702</v>
      </c>
      <c r="G4009">
        <v>-334217564</v>
      </c>
      <c r="H4009">
        <v>-371417675</v>
      </c>
      <c r="I4009">
        <v>-355908300</v>
      </c>
      <c r="J4009">
        <v>-342098750</v>
      </c>
      <c r="K4009">
        <v>-380246960</v>
      </c>
      <c r="L4009">
        <v>-253995564</v>
      </c>
      <c r="M4009">
        <v>-36414851</v>
      </c>
      <c r="N4009">
        <v>-53610953</v>
      </c>
      <c r="O4009">
        <v>-65005392</v>
      </c>
      <c r="P4009">
        <v>936</v>
      </c>
      <c r="Q4009" t="s">
        <v>8062</v>
      </c>
    </row>
    <row r="4010" spans="1:17" x14ac:dyDescent="0.3">
      <c r="A4010" t="s">
        <v>4382</v>
      </c>
      <c r="B4010" t="str">
        <f>"300254"</f>
        <v>300254</v>
      </c>
      <c r="C4010" t="s">
        <v>8063</v>
      </c>
      <c r="D4010" t="s">
        <v>113</v>
      </c>
      <c r="F4010">
        <v>61233996</v>
      </c>
      <c r="G4010">
        <v>-28318334</v>
      </c>
      <c r="H4010">
        <v>25897866</v>
      </c>
      <c r="I4010">
        <v>-8457754</v>
      </c>
      <c r="J4010">
        <v>-63762968</v>
      </c>
      <c r="K4010">
        <v>-28797217</v>
      </c>
      <c r="L4010">
        <v>30293799</v>
      </c>
      <c r="M4010">
        <v>84332880</v>
      </c>
      <c r="N4010">
        <v>55794940</v>
      </c>
      <c r="O4010">
        <v>-29046287</v>
      </c>
      <c r="P4010">
        <v>82</v>
      </c>
      <c r="Q4010" t="s">
        <v>8064</v>
      </c>
    </row>
    <row r="4011" spans="1:17" x14ac:dyDescent="0.3">
      <c r="A4011" t="s">
        <v>4382</v>
      </c>
      <c r="B4011" t="str">
        <f>"300255"</f>
        <v>300255</v>
      </c>
      <c r="C4011" t="s">
        <v>8065</v>
      </c>
      <c r="D4011" t="s">
        <v>113</v>
      </c>
      <c r="F4011">
        <v>-314557634</v>
      </c>
      <c r="G4011">
        <v>-513631507</v>
      </c>
      <c r="H4011">
        <v>-311303119</v>
      </c>
      <c r="I4011">
        <v>-120948231</v>
      </c>
      <c r="J4011">
        <v>-233983133</v>
      </c>
      <c r="K4011">
        <v>56003159</v>
      </c>
      <c r="L4011">
        <v>-166846960</v>
      </c>
      <c r="M4011">
        <v>-353534541</v>
      </c>
      <c r="N4011">
        <v>-252891660</v>
      </c>
      <c r="O4011">
        <v>-174567048</v>
      </c>
      <c r="P4011">
        <v>175</v>
      </c>
      <c r="Q4011" t="s">
        <v>8066</v>
      </c>
    </row>
    <row r="4012" spans="1:17" x14ac:dyDescent="0.3">
      <c r="A4012" t="s">
        <v>4382</v>
      </c>
      <c r="B4012" t="str">
        <f>"300256"</f>
        <v>300256</v>
      </c>
      <c r="C4012" t="s">
        <v>8067</v>
      </c>
      <c r="D4012" t="s">
        <v>150</v>
      </c>
      <c r="F4012">
        <v>-797497933</v>
      </c>
      <c r="G4012">
        <v>-412347532</v>
      </c>
      <c r="H4012">
        <v>-502202838</v>
      </c>
      <c r="I4012">
        <v>-248607506</v>
      </c>
      <c r="J4012">
        <v>-898959118</v>
      </c>
      <c r="K4012">
        <v>-236452024</v>
      </c>
      <c r="L4012">
        <v>-363743720</v>
      </c>
      <c r="M4012">
        <v>-381228240</v>
      </c>
      <c r="N4012">
        <v>-40691912</v>
      </c>
      <c r="O4012">
        <v>-143510707</v>
      </c>
      <c r="P4012">
        <v>206</v>
      </c>
      <c r="Q4012" t="s">
        <v>8068</v>
      </c>
    </row>
    <row r="4013" spans="1:17" x14ac:dyDescent="0.3">
      <c r="A4013" t="s">
        <v>4382</v>
      </c>
      <c r="B4013" t="str">
        <f>"300257"</f>
        <v>300257</v>
      </c>
      <c r="C4013" t="s">
        <v>8069</v>
      </c>
      <c r="D4013" t="s">
        <v>78</v>
      </c>
      <c r="F4013">
        <v>-716843489</v>
      </c>
      <c r="G4013">
        <v>-394428654</v>
      </c>
      <c r="H4013">
        <v>-691148107</v>
      </c>
      <c r="I4013">
        <v>-980291135</v>
      </c>
      <c r="J4013">
        <v>-514078766</v>
      </c>
      <c r="K4013">
        <v>-150844544</v>
      </c>
      <c r="L4013">
        <v>-79557505</v>
      </c>
      <c r="M4013">
        <v>222800547</v>
      </c>
      <c r="N4013">
        <v>63449318</v>
      </c>
      <c r="O4013">
        <v>-25131210</v>
      </c>
      <c r="P4013">
        <v>148</v>
      </c>
      <c r="Q4013" t="s">
        <v>8070</v>
      </c>
    </row>
    <row r="4014" spans="1:17" x14ac:dyDescent="0.3">
      <c r="A4014" t="s">
        <v>4382</v>
      </c>
      <c r="B4014" t="str">
        <f>"300258"</f>
        <v>300258</v>
      </c>
      <c r="C4014" t="s">
        <v>8071</v>
      </c>
      <c r="D4014" t="s">
        <v>27</v>
      </c>
      <c r="F4014">
        <v>-110517291</v>
      </c>
      <c r="G4014">
        <v>-148428524</v>
      </c>
      <c r="H4014">
        <v>-91513341</v>
      </c>
      <c r="I4014">
        <v>-8016499</v>
      </c>
      <c r="J4014">
        <v>58614841</v>
      </c>
      <c r="K4014">
        <v>62384072</v>
      </c>
      <c r="L4014">
        <v>-10028966</v>
      </c>
      <c r="M4014">
        <v>-123422680</v>
      </c>
      <c r="N4014">
        <v>-126899722</v>
      </c>
      <c r="O4014">
        <v>-118143635</v>
      </c>
      <c r="P4014">
        <v>331</v>
      </c>
      <c r="Q4014" t="s">
        <v>8072</v>
      </c>
    </row>
    <row r="4015" spans="1:17" x14ac:dyDescent="0.3">
      <c r="A4015" t="s">
        <v>4382</v>
      </c>
      <c r="B4015" t="str">
        <f>"300259"</f>
        <v>300259</v>
      </c>
      <c r="C4015" t="s">
        <v>8073</v>
      </c>
      <c r="D4015" t="s">
        <v>78</v>
      </c>
      <c r="F4015">
        <v>-16062513</v>
      </c>
      <c r="G4015">
        <v>43223602</v>
      </c>
      <c r="H4015">
        <v>-7669140</v>
      </c>
      <c r="I4015">
        <v>-65773450</v>
      </c>
      <c r="J4015">
        <v>-39314084</v>
      </c>
      <c r="K4015">
        <v>20805766</v>
      </c>
      <c r="L4015">
        <v>-51381930</v>
      </c>
      <c r="M4015">
        <v>25303244</v>
      </c>
      <c r="N4015">
        <v>-32421560</v>
      </c>
      <c r="O4015">
        <v>-648461</v>
      </c>
      <c r="P4015">
        <v>360</v>
      </c>
      <c r="Q4015" t="s">
        <v>8074</v>
      </c>
    </row>
    <row r="4016" spans="1:17" x14ac:dyDescent="0.3">
      <c r="A4016" t="s">
        <v>4382</v>
      </c>
      <c r="B4016" t="str">
        <f>"300260"</f>
        <v>300260</v>
      </c>
      <c r="C4016" t="s">
        <v>8075</v>
      </c>
      <c r="D4016" t="s">
        <v>78</v>
      </c>
      <c r="F4016">
        <v>-64304188</v>
      </c>
      <c r="G4016">
        <v>-20075213</v>
      </c>
      <c r="H4016">
        <v>65717375</v>
      </c>
      <c r="I4016">
        <v>104136022</v>
      </c>
      <c r="J4016">
        <v>-12709340</v>
      </c>
      <c r="K4016">
        <v>66620660</v>
      </c>
      <c r="L4016">
        <v>-28063803</v>
      </c>
      <c r="M4016">
        <v>-48902929</v>
      </c>
      <c r="N4016">
        <v>-78160214</v>
      </c>
      <c r="O4016">
        <v>-64529583</v>
      </c>
      <c r="P4016">
        <v>212</v>
      </c>
      <c r="Q4016" t="s">
        <v>8076</v>
      </c>
    </row>
    <row r="4017" spans="1:17" x14ac:dyDescent="0.3">
      <c r="A4017" t="s">
        <v>4382</v>
      </c>
      <c r="B4017" t="str">
        <f>"300261"</f>
        <v>300261</v>
      </c>
      <c r="C4017" t="s">
        <v>8077</v>
      </c>
      <c r="D4017" t="s">
        <v>133</v>
      </c>
      <c r="F4017">
        <v>279870427</v>
      </c>
      <c r="G4017">
        <v>194110034</v>
      </c>
      <c r="H4017">
        <v>-34423605</v>
      </c>
      <c r="I4017">
        <v>-132267011</v>
      </c>
      <c r="J4017">
        <v>118252827</v>
      </c>
      <c r="K4017">
        <v>-70572088</v>
      </c>
      <c r="L4017">
        <v>-29845033</v>
      </c>
      <c r="M4017">
        <v>-217708375</v>
      </c>
      <c r="N4017">
        <v>-109453032</v>
      </c>
      <c r="O4017">
        <v>-5686221</v>
      </c>
      <c r="P4017">
        <v>139</v>
      </c>
      <c r="Q4017" t="s">
        <v>8078</v>
      </c>
    </row>
    <row r="4018" spans="1:17" x14ac:dyDescent="0.3">
      <c r="A4018" t="s">
        <v>4382</v>
      </c>
      <c r="B4018" t="str">
        <f>"300262"</f>
        <v>300262</v>
      </c>
      <c r="C4018" t="s">
        <v>8079</v>
      </c>
      <c r="D4018" t="s">
        <v>33</v>
      </c>
      <c r="F4018">
        <v>32928937</v>
      </c>
      <c r="G4018">
        <v>49455980</v>
      </c>
      <c r="H4018">
        <v>-231884305</v>
      </c>
      <c r="I4018">
        <v>-184465200</v>
      </c>
      <c r="J4018">
        <v>-307989399</v>
      </c>
      <c r="K4018">
        <v>-292001696</v>
      </c>
      <c r="L4018">
        <v>-116113109</v>
      </c>
      <c r="M4018">
        <v>61445927</v>
      </c>
      <c r="N4018">
        <v>-261463755</v>
      </c>
      <c r="O4018">
        <v>-163264792</v>
      </c>
      <c r="P4018">
        <v>127</v>
      </c>
      <c r="Q4018" t="s">
        <v>8080</v>
      </c>
    </row>
    <row r="4019" spans="1:17" x14ac:dyDescent="0.3">
      <c r="A4019" t="s">
        <v>4382</v>
      </c>
      <c r="B4019" t="str">
        <f>"300263"</f>
        <v>300263</v>
      </c>
      <c r="C4019" t="s">
        <v>8081</v>
      </c>
      <c r="D4019" t="s">
        <v>78</v>
      </c>
      <c r="F4019">
        <v>-276216691</v>
      </c>
      <c r="G4019">
        <v>-78178606</v>
      </c>
      <c r="H4019">
        <v>-140063175</v>
      </c>
      <c r="I4019">
        <v>-205739217</v>
      </c>
      <c r="J4019">
        <v>273997159</v>
      </c>
      <c r="K4019">
        <v>-173275412</v>
      </c>
      <c r="L4019">
        <v>-132780957</v>
      </c>
      <c r="M4019">
        <v>-101766522</v>
      </c>
      <c r="N4019">
        <v>-91553380</v>
      </c>
      <c r="O4019">
        <v>-60370185</v>
      </c>
      <c r="P4019">
        <v>233</v>
      </c>
      <c r="Q4019" t="s">
        <v>8082</v>
      </c>
    </row>
    <row r="4020" spans="1:17" x14ac:dyDescent="0.3">
      <c r="A4020" t="s">
        <v>4382</v>
      </c>
      <c r="B4020" t="str">
        <f>"300264"</f>
        <v>300264</v>
      </c>
      <c r="C4020" t="s">
        <v>8083</v>
      </c>
      <c r="D4020" t="s">
        <v>212</v>
      </c>
      <c r="F4020">
        <v>-40017033</v>
      </c>
      <c r="G4020">
        <v>-8741302</v>
      </c>
      <c r="H4020">
        <v>-9493219</v>
      </c>
      <c r="I4020">
        <v>-89739404</v>
      </c>
      <c r="J4020">
        <v>-154003787</v>
      </c>
      <c r="K4020">
        <v>-58685784</v>
      </c>
      <c r="L4020">
        <v>-23029164</v>
      </c>
      <c r="M4020">
        <v>-42379585</v>
      </c>
      <c r="N4020">
        <v>-3817820</v>
      </c>
      <c r="O4020">
        <v>-72745774</v>
      </c>
      <c r="P4020">
        <v>132</v>
      </c>
      <c r="Q4020" t="s">
        <v>8084</v>
      </c>
    </row>
    <row r="4021" spans="1:17" x14ac:dyDescent="0.3">
      <c r="A4021" t="s">
        <v>4382</v>
      </c>
      <c r="B4021" t="str">
        <f>"300265"</f>
        <v>300265</v>
      </c>
      <c r="C4021" t="s">
        <v>8085</v>
      </c>
      <c r="D4021" t="s">
        <v>188</v>
      </c>
      <c r="F4021">
        <v>-247464606</v>
      </c>
      <c r="G4021">
        <v>-55316098</v>
      </c>
      <c r="H4021">
        <v>55834461</v>
      </c>
      <c r="I4021">
        <v>-147089394</v>
      </c>
      <c r="J4021">
        <v>37454277</v>
      </c>
      <c r="K4021">
        <v>-141129084</v>
      </c>
      <c r="L4021">
        <v>-107951206</v>
      </c>
      <c r="M4021">
        <v>-124485440</v>
      </c>
      <c r="N4021">
        <v>-44861799</v>
      </c>
      <c r="O4021">
        <v>-146353618</v>
      </c>
      <c r="P4021">
        <v>162</v>
      </c>
      <c r="Q4021" t="s">
        <v>8086</v>
      </c>
    </row>
    <row r="4022" spans="1:17" x14ac:dyDescent="0.3">
      <c r="A4022" t="s">
        <v>4382</v>
      </c>
      <c r="B4022" t="str">
        <f>"300266"</f>
        <v>300266</v>
      </c>
      <c r="C4022" t="s">
        <v>8087</v>
      </c>
      <c r="D4022" t="s">
        <v>33</v>
      </c>
      <c r="F4022">
        <v>-781112627</v>
      </c>
      <c r="G4022">
        <v>-885001290</v>
      </c>
      <c r="H4022">
        <v>-716038175</v>
      </c>
      <c r="I4022">
        <v>-948443506</v>
      </c>
      <c r="J4022">
        <v>-870137923</v>
      </c>
      <c r="K4022">
        <v>-70264613</v>
      </c>
      <c r="L4022">
        <v>-104553149</v>
      </c>
      <c r="M4022">
        <v>-52587755</v>
      </c>
      <c r="N4022">
        <v>-53652691</v>
      </c>
      <c r="O4022">
        <v>-83188221</v>
      </c>
      <c r="P4022">
        <v>145</v>
      </c>
      <c r="Q4022" t="s">
        <v>8088</v>
      </c>
    </row>
    <row r="4023" spans="1:17" x14ac:dyDescent="0.3">
      <c r="A4023" t="s">
        <v>4382</v>
      </c>
      <c r="B4023" t="str">
        <f>"300267"</f>
        <v>300267</v>
      </c>
      <c r="C4023" t="s">
        <v>8089</v>
      </c>
      <c r="D4023" t="s">
        <v>113</v>
      </c>
      <c r="F4023">
        <v>-98916124</v>
      </c>
      <c r="G4023">
        <v>-602708242</v>
      </c>
      <c r="H4023">
        <v>-227085520</v>
      </c>
      <c r="I4023">
        <v>-45718671</v>
      </c>
      <c r="J4023">
        <v>415743936</v>
      </c>
      <c r="K4023">
        <v>-454316703</v>
      </c>
      <c r="L4023">
        <v>-130927034</v>
      </c>
      <c r="M4023">
        <v>-222522987</v>
      </c>
      <c r="N4023">
        <v>-67920472</v>
      </c>
      <c r="O4023">
        <v>-75057258</v>
      </c>
      <c r="P4023">
        <v>237</v>
      </c>
      <c r="Q4023" t="s">
        <v>8090</v>
      </c>
    </row>
    <row r="4024" spans="1:17" x14ac:dyDescent="0.3">
      <c r="A4024" t="s">
        <v>4382</v>
      </c>
      <c r="B4024" t="str">
        <f>"300268"</f>
        <v>300268</v>
      </c>
      <c r="C4024" t="s">
        <v>8091</v>
      </c>
      <c r="D4024" t="s">
        <v>205</v>
      </c>
      <c r="F4024">
        <v>-36912022</v>
      </c>
      <c r="G4024">
        <v>-419774722</v>
      </c>
      <c r="H4024">
        <v>-154350320</v>
      </c>
      <c r="I4024">
        <v>-268485030</v>
      </c>
      <c r="J4024">
        <v>-54336064</v>
      </c>
      <c r="K4024">
        <v>-8187688</v>
      </c>
      <c r="L4024">
        <v>-32613734</v>
      </c>
      <c r="M4024">
        <v>8827437</v>
      </c>
      <c r="N4024">
        <v>16148465</v>
      </c>
      <c r="O4024">
        <v>-148900646</v>
      </c>
      <c r="P4024">
        <v>87</v>
      </c>
      <c r="Q4024" t="s">
        <v>8092</v>
      </c>
    </row>
    <row r="4025" spans="1:17" x14ac:dyDescent="0.3">
      <c r="A4025" t="s">
        <v>4382</v>
      </c>
      <c r="B4025" t="str">
        <f>"300269"</f>
        <v>300269</v>
      </c>
      <c r="C4025" t="s">
        <v>8093</v>
      </c>
      <c r="D4025" t="s">
        <v>89</v>
      </c>
      <c r="F4025">
        <v>31240689</v>
      </c>
      <c r="G4025">
        <v>140618184</v>
      </c>
      <c r="H4025">
        <v>9605324</v>
      </c>
      <c r="I4025">
        <v>-91188897</v>
      </c>
      <c r="J4025">
        <v>67407664</v>
      </c>
      <c r="K4025">
        <v>-530913382</v>
      </c>
      <c r="L4025">
        <v>60943812</v>
      </c>
      <c r="M4025">
        <v>28279509</v>
      </c>
      <c r="N4025">
        <v>-9904665</v>
      </c>
      <c r="O4025">
        <v>-57376240</v>
      </c>
      <c r="P4025">
        <v>125</v>
      </c>
      <c r="Q4025" t="s">
        <v>8094</v>
      </c>
    </row>
    <row r="4026" spans="1:17" x14ac:dyDescent="0.3">
      <c r="A4026" t="s">
        <v>4382</v>
      </c>
      <c r="B4026" t="str">
        <f>"300270"</f>
        <v>300270</v>
      </c>
      <c r="C4026" t="s">
        <v>8095</v>
      </c>
      <c r="D4026" t="s">
        <v>212</v>
      </c>
      <c r="F4026">
        <v>-9026800</v>
      </c>
      <c r="G4026">
        <v>50109717</v>
      </c>
      <c r="H4026">
        <v>-106203760</v>
      </c>
      <c r="I4026">
        <v>-194973772</v>
      </c>
      <c r="J4026">
        <v>-150650287</v>
      </c>
      <c r="K4026">
        <v>-1752411</v>
      </c>
      <c r="L4026">
        <v>-125072855</v>
      </c>
      <c r="M4026">
        <v>-83416111</v>
      </c>
      <c r="N4026">
        <v>-28083792</v>
      </c>
      <c r="O4026">
        <v>-48573585</v>
      </c>
      <c r="P4026">
        <v>136</v>
      </c>
      <c r="Q4026" t="s">
        <v>8096</v>
      </c>
    </row>
    <row r="4027" spans="1:17" x14ac:dyDescent="0.3">
      <c r="A4027" t="s">
        <v>4382</v>
      </c>
      <c r="B4027" t="str">
        <f>"300271"</f>
        <v>300271</v>
      </c>
      <c r="C4027" t="s">
        <v>8097</v>
      </c>
      <c r="D4027" t="s">
        <v>212</v>
      </c>
      <c r="F4027">
        <v>-1498366331</v>
      </c>
      <c r="G4027">
        <v>-762531459</v>
      </c>
      <c r="H4027">
        <v>-786106592</v>
      </c>
      <c r="I4027">
        <v>-644524191</v>
      </c>
      <c r="J4027">
        <v>-533166265</v>
      </c>
      <c r="K4027">
        <v>-359083046</v>
      </c>
      <c r="L4027">
        <v>-238163096</v>
      </c>
      <c r="M4027">
        <v>-152651245</v>
      </c>
      <c r="N4027">
        <v>-230611910</v>
      </c>
      <c r="O4027">
        <v>-128674892</v>
      </c>
      <c r="P4027">
        <v>590</v>
      </c>
      <c r="Q4027" t="s">
        <v>8098</v>
      </c>
    </row>
    <row r="4028" spans="1:17" x14ac:dyDescent="0.3">
      <c r="A4028" t="s">
        <v>4382</v>
      </c>
      <c r="B4028" t="str">
        <f>"300272"</f>
        <v>300272</v>
      </c>
      <c r="C4028" t="s">
        <v>8099</v>
      </c>
      <c r="D4028" t="s">
        <v>126</v>
      </c>
      <c r="F4028">
        <v>73989256</v>
      </c>
      <c r="G4028">
        <v>42823774</v>
      </c>
      <c r="H4028">
        <v>28077362</v>
      </c>
      <c r="I4028">
        <v>23599869</v>
      </c>
      <c r="J4028">
        <v>-42435730</v>
      </c>
      <c r="K4028">
        <v>-110039589</v>
      </c>
      <c r="L4028">
        <v>-98218373</v>
      </c>
      <c r="M4028">
        <v>28483139</v>
      </c>
      <c r="N4028">
        <v>-107891752</v>
      </c>
      <c r="O4028">
        <v>81170</v>
      </c>
      <c r="P4028">
        <v>131</v>
      </c>
      <c r="Q4028" t="s">
        <v>8100</v>
      </c>
    </row>
    <row r="4029" spans="1:17" x14ac:dyDescent="0.3">
      <c r="A4029" t="s">
        <v>4382</v>
      </c>
      <c r="B4029" t="str">
        <f>"300273"</f>
        <v>300273</v>
      </c>
      <c r="C4029" t="s">
        <v>8101</v>
      </c>
      <c r="D4029" t="s">
        <v>113</v>
      </c>
      <c r="F4029">
        <v>-10134884</v>
      </c>
      <c r="G4029">
        <v>-46920462</v>
      </c>
      <c r="H4029">
        <v>200087037</v>
      </c>
      <c r="I4029">
        <v>-788525785</v>
      </c>
      <c r="J4029">
        <v>-721316749</v>
      </c>
      <c r="K4029">
        <v>-118949790</v>
      </c>
      <c r="L4029">
        <v>-465915744</v>
      </c>
      <c r="M4029">
        <v>-625546911</v>
      </c>
      <c r="N4029">
        <v>-220125686</v>
      </c>
      <c r="O4029">
        <v>-87160893</v>
      </c>
      <c r="P4029">
        <v>143</v>
      </c>
      <c r="Q4029" t="s">
        <v>8102</v>
      </c>
    </row>
    <row r="4030" spans="1:17" x14ac:dyDescent="0.3">
      <c r="A4030" t="s">
        <v>4382</v>
      </c>
      <c r="B4030" t="str">
        <f>"300274"</f>
        <v>300274</v>
      </c>
      <c r="C4030" t="s">
        <v>8103</v>
      </c>
      <c r="D4030" t="s">
        <v>188</v>
      </c>
      <c r="F4030">
        <v>-4927061139</v>
      </c>
      <c r="G4030">
        <v>324405236</v>
      </c>
      <c r="H4030">
        <v>-1067984735</v>
      </c>
      <c r="I4030">
        <v>-2463518345</v>
      </c>
      <c r="J4030">
        <v>-767511096</v>
      </c>
      <c r="K4030">
        <v>-881390928</v>
      </c>
      <c r="L4030">
        <v>-76647440</v>
      </c>
      <c r="M4030">
        <v>-394902649</v>
      </c>
      <c r="N4030">
        <v>6826653</v>
      </c>
      <c r="O4030">
        <v>-293426321</v>
      </c>
      <c r="P4030">
        <v>2195</v>
      </c>
      <c r="Q4030" t="s">
        <v>8104</v>
      </c>
    </row>
    <row r="4031" spans="1:17" x14ac:dyDescent="0.3">
      <c r="A4031" t="s">
        <v>4382</v>
      </c>
      <c r="B4031" t="str">
        <f>"300275"</f>
        <v>300275</v>
      </c>
      <c r="C4031" t="s">
        <v>8105</v>
      </c>
      <c r="D4031" t="s">
        <v>78</v>
      </c>
      <c r="F4031">
        <v>-47119970</v>
      </c>
      <c r="G4031">
        <v>-15503220</v>
      </c>
      <c r="H4031">
        <v>5880660</v>
      </c>
      <c r="I4031">
        <v>5757683</v>
      </c>
      <c r="J4031">
        <v>31760197</v>
      </c>
      <c r="K4031">
        <v>-51054484</v>
      </c>
      <c r="L4031">
        <v>-98671434</v>
      </c>
      <c r="M4031">
        <v>-89905227</v>
      </c>
      <c r="N4031">
        <v>-53906953</v>
      </c>
      <c r="O4031">
        <v>-28090355</v>
      </c>
      <c r="P4031">
        <v>89</v>
      </c>
      <c r="Q4031" t="s">
        <v>8106</v>
      </c>
    </row>
    <row r="4032" spans="1:17" x14ac:dyDescent="0.3">
      <c r="A4032" t="s">
        <v>4382</v>
      </c>
      <c r="B4032" t="str">
        <f>"300276"</f>
        <v>300276</v>
      </c>
      <c r="C4032" t="s">
        <v>8107</v>
      </c>
      <c r="D4032" t="s">
        <v>78</v>
      </c>
      <c r="F4032">
        <v>-140523063</v>
      </c>
      <c r="G4032">
        <v>105288339</v>
      </c>
      <c r="H4032">
        <v>13532595</v>
      </c>
      <c r="I4032">
        <v>3198392</v>
      </c>
      <c r="J4032">
        <v>-25193248</v>
      </c>
      <c r="K4032">
        <v>-55696399</v>
      </c>
      <c r="L4032">
        <v>-74366773</v>
      </c>
      <c r="M4032">
        <v>-19224362</v>
      </c>
      <c r="N4032">
        <v>-41894773</v>
      </c>
      <c r="O4032">
        <v>-58967632</v>
      </c>
      <c r="P4032">
        <v>138</v>
      </c>
      <c r="Q4032" t="s">
        <v>8108</v>
      </c>
    </row>
    <row r="4033" spans="1:17" x14ac:dyDescent="0.3">
      <c r="A4033" t="s">
        <v>4382</v>
      </c>
      <c r="B4033" t="str">
        <f>"300277"</f>
        <v>300277</v>
      </c>
      <c r="C4033" t="s">
        <v>8109</v>
      </c>
      <c r="D4033" t="s">
        <v>212</v>
      </c>
      <c r="F4033">
        <v>2277821</v>
      </c>
      <c r="G4033">
        <v>-12114636</v>
      </c>
      <c r="H4033">
        <v>50610305</v>
      </c>
      <c r="I4033">
        <v>-9799451</v>
      </c>
      <c r="J4033">
        <v>17752184</v>
      </c>
      <c r="K4033">
        <v>-5220509</v>
      </c>
      <c r="L4033">
        <v>-54105281</v>
      </c>
      <c r="M4033">
        <v>-30787572</v>
      </c>
      <c r="N4033">
        <v>-109252811</v>
      </c>
      <c r="O4033">
        <v>-112160968</v>
      </c>
      <c r="P4033">
        <v>73</v>
      </c>
      <c r="Q4033" t="s">
        <v>8110</v>
      </c>
    </row>
    <row r="4034" spans="1:17" x14ac:dyDescent="0.3">
      <c r="A4034" t="s">
        <v>4382</v>
      </c>
      <c r="B4034" t="str">
        <f>"300278"</f>
        <v>300278</v>
      </c>
      <c r="C4034" t="s">
        <v>8111</v>
      </c>
      <c r="D4034" t="s">
        <v>78</v>
      </c>
      <c r="F4034">
        <v>-35641573</v>
      </c>
      <c r="G4034">
        <v>119120834</v>
      </c>
      <c r="H4034">
        <v>-4871730</v>
      </c>
      <c r="I4034">
        <v>42605265</v>
      </c>
      <c r="J4034">
        <v>-182497831</v>
      </c>
      <c r="K4034">
        <v>-314725165</v>
      </c>
      <c r="L4034">
        <v>-73911625</v>
      </c>
      <c r="M4034">
        <v>-7818298</v>
      </c>
      <c r="N4034">
        <v>-52692006</v>
      </c>
      <c r="O4034">
        <v>-166213391</v>
      </c>
      <c r="P4034">
        <v>98</v>
      </c>
      <c r="Q4034" t="s">
        <v>8112</v>
      </c>
    </row>
    <row r="4035" spans="1:17" x14ac:dyDescent="0.3">
      <c r="A4035" t="s">
        <v>4382</v>
      </c>
      <c r="B4035" t="str">
        <f>"300279"</f>
        <v>300279</v>
      </c>
      <c r="C4035" t="s">
        <v>8113</v>
      </c>
      <c r="D4035" t="s">
        <v>150</v>
      </c>
      <c r="F4035">
        <v>-15082239</v>
      </c>
      <c r="G4035">
        <v>22571009</v>
      </c>
      <c r="H4035">
        <v>54112926</v>
      </c>
      <c r="I4035">
        <v>45382143</v>
      </c>
      <c r="J4035">
        <v>-68498563</v>
      </c>
      <c r="K4035">
        <v>15229982</v>
      </c>
      <c r="L4035">
        <v>-116214273</v>
      </c>
      <c r="M4035">
        <v>-92436146</v>
      </c>
      <c r="N4035">
        <v>-46745350</v>
      </c>
      <c r="O4035">
        <v>-33668731</v>
      </c>
      <c r="P4035">
        <v>166</v>
      </c>
      <c r="Q4035" t="s">
        <v>8114</v>
      </c>
    </row>
    <row r="4036" spans="1:17" x14ac:dyDescent="0.3">
      <c r="A4036" t="s">
        <v>4382</v>
      </c>
      <c r="B4036" t="str">
        <f>"300280"</f>
        <v>300280</v>
      </c>
      <c r="C4036" t="s">
        <v>8115</v>
      </c>
      <c r="D4036" t="s">
        <v>89</v>
      </c>
      <c r="F4036">
        <v>47551665</v>
      </c>
      <c r="G4036">
        <v>349675053</v>
      </c>
      <c r="H4036">
        <v>156675240</v>
      </c>
      <c r="I4036">
        <v>-22430722</v>
      </c>
      <c r="J4036">
        <v>-35137931</v>
      </c>
      <c r="K4036">
        <v>9616156</v>
      </c>
      <c r="L4036">
        <v>23729963</v>
      </c>
      <c r="M4036">
        <v>6700506</v>
      </c>
      <c r="N4036">
        <v>-31302366</v>
      </c>
      <c r="O4036">
        <v>-37558579</v>
      </c>
      <c r="P4036">
        <v>144</v>
      </c>
      <c r="Q4036" t="s">
        <v>8116</v>
      </c>
    </row>
    <row r="4037" spans="1:17" x14ac:dyDescent="0.3">
      <c r="A4037" t="s">
        <v>4382</v>
      </c>
      <c r="B4037" t="str">
        <f>"300281"</f>
        <v>300281</v>
      </c>
      <c r="C4037" t="s">
        <v>8117</v>
      </c>
      <c r="D4037" t="s">
        <v>78</v>
      </c>
      <c r="F4037">
        <v>39482126</v>
      </c>
      <c r="G4037">
        <v>18801321</v>
      </c>
      <c r="H4037">
        <v>-59065308</v>
      </c>
      <c r="I4037">
        <v>12397</v>
      </c>
      <c r="J4037">
        <v>-22086515</v>
      </c>
      <c r="K4037">
        <v>-39041493</v>
      </c>
      <c r="L4037">
        <v>-76963720</v>
      </c>
      <c r="M4037">
        <v>-53788749</v>
      </c>
      <c r="N4037">
        <v>-96843077</v>
      </c>
      <c r="O4037">
        <v>-113767188</v>
      </c>
      <c r="P4037">
        <v>48</v>
      </c>
      <c r="Q4037" t="s">
        <v>8118</v>
      </c>
    </row>
    <row r="4038" spans="1:17" x14ac:dyDescent="0.3">
      <c r="A4038" t="s">
        <v>4382</v>
      </c>
      <c r="B4038" t="str">
        <f>"300282"</f>
        <v>300282</v>
      </c>
      <c r="C4038" t="s">
        <v>8119</v>
      </c>
      <c r="D4038" t="s">
        <v>110</v>
      </c>
      <c r="F4038">
        <v>-15846356</v>
      </c>
      <c r="G4038">
        <v>13112438</v>
      </c>
      <c r="H4038">
        <v>-17447267</v>
      </c>
      <c r="I4038">
        <v>-87056083</v>
      </c>
      <c r="J4038">
        <v>-223397814</v>
      </c>
      <c r="K4038">
        <v>-70282112</v>
      </c>
      <c r="L4038">
        <v>-43103833</v>
      </c>
      <c r="M4038">
        <v>-18540552</v>
      </c>
      <c r="N4038">
        <v>-31388482</v>
      </c>
      <c r="O4038">
        <v>-17539422</v>
      </c>
      <c r="P4038">
        <v>100</v>
      </c>
      <c r="Q4038" t="s">
        <v>8120</v>
      </c>
    </row>
    <row r="4039" spans="1:17" x14ac:dyDescent="0.3">
      <c r="A4039" t="s">
        <v>4382</v>
      </c>
      <c r="B4039" t="str">
        <f>"300283"</f>
        <v>300283</v>
      </c>
      <c r="C4039" t="s">
        <v>8121</v>
      </c>
      <c r="D4039" t="s">
        <v>188</v>
      </c>
      <c r="F4039">
        <v>-84348045</v>
      </c>
      <c r="G4039">
        <v>-27536058</v>
      </c>
      <c r="H4039">
        <v>38936560</v>
      </c>
      <c r="I4039">
        <v>127620238</v>
      </c>
      <c r="J4039">
        <v>-131525742</v>
      </c>
      <c r="K4039">
        <v>-134034719</v>
      </c>
      <c r="L4039">
        <v>31125616</v>
      </c>
      <c r="M4039">
        <v>-16236155</v>
      </c>
      <c r="N4039">
        <v>77132233</v>
      </c>
      <c r="O4039">
        <v>-87203030</v>
      </c>
      <c r="P4039">
        <v>58</v>
      </c>
      <c r="Q4039" t="s">
        <v>8122</v>
      </c>
    </row>
    <row r="4040" spans="1:17" x14ac:dyDescent="0.3">
      <c r="A4040" t="s">
        <v>4382</v>
      </c>
      <c r="B4040" t="str">
        <f>"300284"</f>
        <v>300284</v>
      </c>
      <c r="C4040" t="s">
        <v>8123</v>
      </c>
      <c r="D4040" t="s">
        <v>95</v>
      </c>
      <c r="F4040">
        <v>-898464307</v>
      </c>
      <c r="G4040">
        <v>-599824388</v>
      </c>
      <c r="H4040">
        <v>-681674907</v>
      </c>
      <c r="I4040">
        <v>-1071632155</v>
      </c>
      <c r="J4040">
        <v>-564704985</v>
      </c>
      <c r="K4040">
        <v>-633191200</v>
      </c>
      <c r="L4040">
        <v>-538100036</v>
      </c>
      <c r="M4040">
        <v>-159602324</v>
      </c>
      <c r="N4040">
        <v>-57498727</v>
      </c>
      <c r="O4040">
        <v>-253330270</v>
      </c>
      <c r="P4040">
        <v>274</v>
      </c>
      <c r="Q4040" t="s">
        <v>8124</v>
      </c>
    </row>
    <row r="4041" spans="1:17" x14ac:dyDescent="0.3">
      <c r="A4041" t="s">
        <v>4382</v>
      </c>
      <c r="B4041" t="str">
        <f>"300285"</f>
        <v>300285</v>
      </c>
      <c r="C4041" t="s">
        <v>8125</v>
      </c>
      <c r="D4041" t="s">
        <v>133</v>
      </c>
      <c r="F4041">
        <v>-14303528</v>
      </c>
      <c r="G4041">
        <v>303050946</v>
      </c>
      <c r="H4041">
        <v>131322047</v>
      </c>
      <c r="I4041">
        <v>37858774</v>
      </c>
      <c r="J4041">
        <v>8413996</v>
      </c>
      <c r="K4041">
        <v>87243425</v>
      </c>
      <c r="L4041">
        <v>-85475089</v>
      </c>
      <c r="M4041">
        <v>-89370014</v>
      </c>
      <c r="N4041">
        <v>-63915794</v>
      </c>
      <c r="O4041">
        <v>-15632230</v>
      </c>
      <c r="P4041">
        <v>1538</v>
      </c>
      <c r="Q4041" t="s">
        <v>8126</v>
      </c>
    </row>
    <row r="4042" spans="1:17" x14ac:dyDescent="0.3">
      <c r="A4042" t="s">
        <v>4382</v>
      </c>
      <c r="B4042" t="str">
        <f>"300286"</f>
        <v>300286</v>
      </c>
      <c r="C4042" t="s">
        <v>8127</v>
      </c>
      <c r="D4042" t="s">
        <v>188</v>
      </c>
      <c r="F4042">
        <v>75998082</v>
      </c>
      <c r="G4042">
        <v>-35498908</v>
      </c>
      <c r="H4042">
        <v>80231059</v>
      </c>
      <c r="I4042">
        <v>53520704</v>
      </c>
      <c r="J4042">
        <v>68247509</v>
      </c>
      <c r="K4042">
        <v>52098764</v>
      </c>
      <c r="L4042">
        <v>8363555</v>
      </c>
      <c r="M4042">
        <v>39717428</v>
      </c>
      <c r="N4042">
        <v>21115115</v>
      </c>
      <c r="O4042">
        <v>20750721</v>
      </c>
      <c r="P4042">
        <v>273</v>
      </c>
      <c r="Q4042" t="s">
        <v>8128</v>
      </c>
    </row>
    <row r="4043" spans="1:17" x14ac:dyDescent="0.3">
      <c r="A4043" t="s">
        <v>4382</v>
      </c>
      <c r="B4043" t="str">
        <f>"300287"</f>
        <v>300287</v>
      </c>
      <c r="C4043" t="s">
        <v>8129</v>
      </c>
      <c r="D4043" t="s">
        <v>212</v>
      </c>
      <c r="F4043">
        <v>-68396410</v>
      </c>
      <c r="G4043">
        <v>-52986000</v>
      </c>
      <c r="H4043">
        <v>136510047</v>
      </c>
      <c r="I4043">
        <v>-673349899</v>
      </c>
      <c r="J4043">
        <v>-46415208</v>
      </c>
      <c r="K4043">
        <v>-241534454</v>
      </c>
      <c r="L4043">
        <v>-149964343</v>
      </c>
      <c r="M4043">
        <v>-154014786</v>
      </c>
      <c r="N4043">
        <v>-131466659</v>
      </c>
      <c r="O4043">
        <v>-124054710</v>
      </c>
      <c r="P4043">
        <v>288</v>
      </c>
      <c r="Q4043" t="s">
        <v>8130</v>
      </c>
    </row>
    <row r="4044" spans="1:17" x14ac:dyDescent="0.3">
      <c r="A4044" t="s">
        <v>4382</v>
      </c>
      <c r="B4044" t="str">
        <f>"300288"</f>
        <v>300288</v>
      </c>
      <c r="C4044" t="s">
        <v>8131</v>
      </c>
      <c r="D4044" t="s">
        <v>212</v>
      </c>
      <c r="F4044">
        <v>21460346</v>
      </c>
      <c r="G4044">
        <v>58454803</v>
      </c>
      <c r="H4044">
        <v>30252000</v>
      </c>
      <c r="I4044">
        <v>-7609876</v>
      </c>
      <c r="J4044">
        <v>-12724989</v>
      </c>
      <c r="K4044">
        <v>31207325</v>
      </c>
      <c r="L4044">
        <v>75882642</v>
      </c>
      <c r="M4044">
        <v>-24390863</v>
      </c>
      <c r="N4044">
        <v>9200205</v>
      </c>
      <c r="O4044">
        <v>-1252212</v>
      </c>
      <c r="P4044">
        <v>221</v>
      </c>
      <c r="Q4044" t="s">
        <v>8132</v>
      </c>
    </row>
    <row r="4045" spans="1:17" x14ac:dyDescent="0.3">
      <c r="A4045" t="s">
        <v>4382</v>
      </c>
      <c r="B4045" t="str">
        <f>"300289"</f>
        <v>300289</v>
      </c>
      <c r="C4045" t="s">
        <v>8133</v>
      </c>
      <c r="D4045" t="s">
        <v>113</v>
      </c>
      <c r="F4045">
        <v>24271070</v>
      </c>
      <c r="G4045">
        <v>85241152</v>
      </c>
      <c r="H4045">
        <v>61978474</v>
      </c>
      <c r="I4045">
        <v>26005380</v>
      </c>
      <c r="J4045">
        <v>42391102</v>
      </c>
      <c r="K4045">
        <v>45210478</v>
      </c>
      <c r="L4045">
        <v>104952637</v>
      </c>
      <c r="M4045">
        <v>-47528040</v>
      </c>
      <c r="N4045">
        <v>-43943375</v>
      </c>
      <c r="O4045">
        <v>-147324033</v>
      </c>
      <c r="P4045">
        <v>132</v>
      </c>
      <c r="Q4045" t="s">
        <v>8134</v>
      </c>
    </row>
    <row r="4046" spans="1:17" x14ac:dyDescent="0.3">
      <c r="A4046" t="s">
        <v>4382</v>
      </c>
      <c r="B4046" t="str">
        <f>"300290"</f>
        <v>300290</v>
      </c>
      <c r="C4046" t="s">
        <v>8135</v>
      </c>
      <c r="D4046" t="s">
        <v>212</v>
      </c>
      <c r="F4046">
        <v>-218482910</v>
      </c>
      <c r="G4046">
        <v>-77157811</v>
      </c>
      <c r="H4046">
        <v>-137167444</v>
      </c>
      <c r="I4046">
        <v>-35887118</v>
      </c>
      <c r="J4046">
        <v>-111953706</v>
      </c>
      <c r="K4046">
        <v>-114586101</v>
      </c>
      <c r="L4046">
        <v>-112475702</v>
      </c>
      <c r="M4046">
        <v>-106984171</v>
      </c>
      <c r="N4046">
        <v>-214242838</v>
      </c>
      <c r="O4046">
        <v>-123409735</v>
      </c>
      <c r="P4046">
        <v>113</v>
      </c>
      <c r="Q4046" t="s">
        <v>8136</v>
      </c>
    </row>
    <row r="4047" spans="1:17" x14ac:dyDescent="0.3">
      <c r="A4047" t="s">
        <v>4382</v>
      </c>
      <c r="B4047" t="str">
        <f>"300291"</f>
        <v>300291</v>
      </c>
      <c r="C4047" t="s">
        <v>8137</v>
      </c>
      <c r="D4047" t="s">
        <v>89</v>
      </c>
      <c r="F4047">
        <v>101933346</v>
      </c>
      <c r="G4047">
        <v>-31728218</v>
      </c>
      <c r="H4047">
        <v>-16246158</v>
      </c>
      <c r="I4047">
        <v>292155119</v>
      </c>
      <c r="J4047">
        <v>-39838609</v>
      </c>
      <c r="K4047">
        <v>-350032972</v>
      </c>
      <c r="L4047">
        <v>-491165814</v>
      </c>
      <c r="M4047">
        <v>-141444064</v>
      </c>
      <c r="N4047">
        <v>-91673137</v>
      </c>
      <c r="O4047">
        <v>-190498936</v>
      </c>
      <c r="P4047">
        <v>93</v>
      </c>
      <c r="Q4047" t="s">
        <v>8138</v>
      </c>
    </row>
    <row r="4048" spans="1:17" x14ac:dyDescent="0.3">
      <c r="A4048" t="s">
        <v>4382</v>
      </c>
      <c r="B4048" t="str">
        <f>"300292"</f>
        <v>300292</v>
      </c>
      <c r="C4048" t="s">
        <v>8139</v>
      </c>
      <c r="D4048" t="s">
        <v>100</v>
      </c>
      <c r="F4048">
        <v>-123719575</v>
      </c>
      <c r="G4048">
        <v>-30991938</v>
      </c>
      <c r="H4048">
        <v>-64316580</v>
      </c>
      <c r="I4048">
        <v>65767089</v>
      </c>
      <c r="J4048">
        <v>-166029514</v>
      </c>
      <c r="K4048">
        <v>-78798498</v>
      </c>
      <c r="L4048">
        <v>-147962086</v>
      </c>
      <c r="M4048">
        <v>-11859345</v>
      </c>
      <c r="N4048">
        <v>-39275244</v>
      </c>
      <c r="O4048">
        <v>-65525128</v>
      </c>
      <c r="P4048">
        <v>205</v>
      </c>
      <c r="Q4048" t="s">
        <v>8140</v>
      </c>
    </row>
    <row r="4049" spans="1:17" x14ac:dyDescent="0.3">
      <c r="A4049" t="s">
        <v>4382</v>
      </c>
      <c r="B4049" t="str">
        <f>"300293"</f>
        <v>300293</v>
      </c>
      <c r="C4049" t="s">
        <v>8141</v>
      </c>
      <c r="D4049" t="s">
        <v>78</v>
      </c>
      <c r="F4049">
        <v>-140213763</v>
      </c>
      <c r="G4049">
        <v>-10048210</v>
      </c>
      <c r="H4049">
        <v>-140715766</v>
      </c>
      <c r="I4049">
        <v>285969829</v>
      </c>
      <c r="J4049">
        <v>8099011</v>
      </c>
      <c r="K4049">
        <v>287097736</v>
      </c>
      <c r="L4049">
        <v>19324570</v>
      </c>
      <c r="M4049">
        <v>74153329</v>
      </c>
      <c r="N4049">
        <v>-205960224</v>
      </c>
      <c r="O4049">
        <v>-272879947</v>
      </c>
      <c r="P4049">
        <v>112</v>
      </c>
      <c r="Q4049" t="s">
        <v>8142</v>
      </c>
    </row>
    <row r="4050" spans="1:17" x14ac:dyDescent="0.3">
      <c r="A4050" t="s">
        <v>4382</v>
      </c>
      <c r="B4050" t="str">
        <f>"300294"</f>
        <v>300294</v>
      </c>
      <c r="C4050" t="s">
        <v>8143</v>
      </c>
      <c r="D4050" t="s">
        <v>113</v>
      </c>
      <c r="F4050">
        <v>1118948842</v>
      </c>
      <c r="G4050">
        <v>415540410</v>
      </c>
      <c r="H4050">
        <v>-322100563</v>
      </c>
      <c r="I4050">
        <v>-31976478</v>
      </c>
      <c r="J4050">
        <v>-315192796</v>
      </c>
      <c r="K4050">
        <v>-89605814</v>
      </c>
      <c r="L4050">
        <v>-33714437</v>
      </c>
      <c r="M4050">
        <v>72771690</v>
      </c>
      <c r="N4050">
        <v>56009097</v>
      </c>
      <c r="O4050">
        <v>49048322</v>
      </c>
      <c r="P4050">
        <v>495</v>
      </c>
      <c r="Q4050" t="s">
        <v>8144</v>
      </c>
    </row>
    <row r="4051" spans="1:17" x14ac:dyDescent="0.3">
      <c r="A4051" t="s">
        <v>4382</v>
      </c>
      <c r="B4051" t="str">
        <f>"300295"</f>
        <v>300295</v>
      </c>
      <c r="C4051" t="s">
        <v>8145</v>
      </c>
      <c r="D4051" t="s">
        <v>89</v>
      </c>
      <c r="F4051">
        <v>486083947</v>
      </c>
      <c r="G4051">
        <v>307909456</v>
      </c>
      <c r="H4051">
        <v>180634366</v>
      </c>
      <c r="I4051">
        <v>441963480</v>
      </c>
      <c r="J4051">
        <v>-332040340</v>
      </c>
      <c r="K4051">
        <v>-210949907</v>
      </c>
      <c r="L4051">
        <v>71077347</v>
      </c>
      <c r="M4051">
        <v>71517899</v>
      </c>
      <c r="N4051">
        <v>116776459</v>
      </c>
      <c r="O4051">
        <v>71175887</v>
      </c>
      <c r="P4051">
        <v>100</v>
      </c>
      <c r="Q4051" t="s">
        <v>8146</v>
      </c>
    </row>
    <row r="4052" spans="1:17" x14ac:dyDescent="0.3">
      <c r="A4052" t="s">
        <v>4382</v>
      </c>
      <c r="B4052" t="str">
        <f>"300296"</f>
        <v>300296</v>
      </c>
      <c r="C4052" t="s">
        <v>8147</v>
      </c>
      <c r="D4052" t="s">
        <v>150</v>
      </c>
      <c r="F4052">
        <v>-204260381</v>
      </c>
      <c r="G4052">
        <v>267951658</v>
      </c>
      <c r="H4052">
        <v>177097802</v>
      </c>
      <c r="I4052">
        <v>31093155</v>
      </c>
      <c r="J4052">
        <v>63659543</v>
      </c>
      <c r="K4052">
        <v>-150573547</v>
      </c>
      <c r="L4052">
        <v>-54554455</v>
      </c>
      <c r="M4052">
        <v>-49706879</v>
      </c>
      <c r="N4052">
        <v>-179164252</v>
      </c>
      <c r="O4052">
        <v>-133328023</v>
      </c>
      <c r="P4052">
        <v>1700</v>
      </c>
      <c r="Q4052" t="s">
        <v>8148</v>
      </c>
    </row>
    <row r="4053" spans="1:17" x14ac:dyDescent="0.3">
      <c r="A4053" t="s">
        <v>4382</v>
      </c>
      <c r="B4053" t="str">
        <f>"300297"</f>
        <v>300297</v>
      </c>
      <c r="C4053" t="s">
        <v>8149</v>
      </c>
      <c r="D4053" t="s">
        <v>212</v>
      </c>
      <c r="F4053">
        <v>30611387</v>
      </c>
      <c r="G4053">
        <v>-16294700</v>
      </c>
      <c r="H4053">
        <v>-647183397</v>
      </c>
      <c r="I4053">
        <v>-1911104329</v>
      </c>
      <c r="J4053">
        <v>-1200075229</v>
      </c>
      <c r="K4053">
        <v>-642132848</v>
      </c>
      <c r="L4053">
        <v>-430321671</v>
      </c>
      <c r="M4053">
        <v>-189864589</v>
      </c>
      <c r="N4053">
        <v>-224698675</v>
      </c>
      <c r="O4053">
        <v>-265548707</v>
      </c>
      <c r="P4053">
        <v>342</v>
      </c>
      <c r="Q4053" t="s">
        <v>8150</v>
      </c>
    </row>
    <row r="4054" spans="1:17" x14ac:dyDescent="0.3">
      <c r="A4054" t="s">
        <v>4382</v>
      </c>
      <c r="B4054" t="str">
        <f>"300298"</f>
        <v>300298</v>
      </c>
      <c r="C4054" t="s">
        <v>8151</v>
      </c>
      <c r="D4054" t="s">
        <v>113</v>
      </c>
      <c r="F4054">
        <v>-138518790</v>
      </c>
      <c r="G4054">
        <v>148613728</v>
      </c>
      <c r="H4054">
        <v>-74964967</v>
      </c>
      <c r="I4054">
        <v>28354190</v>
      </c>
      <c r="J4054">
        <v>195836470</v>
      </c>
      <c r="K4054">
        <v>171608496</v>
      </c>
      <c r="L4054">
        <v>37141197</v>
      </c>
      <c r="M4054">
        <v>25444356</v>
      </c>
      <c r="N4054">
        <v>-16903549</v>
      </c>
      <c r="O4054">
        <v>39334191</v>
      </c>
      <c r="P4054">
        <v>619</v>
      </c>
      <c r="Q4054" t="s">
        <v>8152</v>
      </c>
    </row>
    <row r="4055" spans="1:17" x14ac:dyDescent="0.3">
      <c r="A4055" t="s">
        <v>4382</v>
      </c>
      <c r="B4055" t="str">
        <f>"300299"</f>
        <v>300299</v>
      </c>
      <c r="C4055" t="s">
        <v>8153</v>
      </c>
      <c r="D4055" t="s">
        <v>89</v>
      </c>
      <c r="F4055">
        <v>48486966</v>
      </c>
      <c r="G4055">
        <v>9838738</v>
      </c>
      <c r="H4055">
        <v>-19415156</v>
      </c>
      <c r="I4055">
        <v>-74174161</v>
      </c>
      <c r="J4055">
        <v>13104461</v>
      </c>
      <c r="K4055">
        <v>21274201</v>
      </c>
      <c r="L4055">
        <v>-23264093</v>
      </c>
      <c r="M4055">
        <v>-25736256</v>
      </c>
      <c r="N4055">
        <v>-37902150</v>
      </c>
      <c r="O4055">
        <v>-24564036</v>
      </c>
      <c r="P4055">
        <v>187</v>
      </c>
      <c r="Q4055" t="s">
        <v>8154</v>
      </c>
    </row>
    <row r="4056" spans="1:17" x14ac:dyDescent="0.3">
      <c r="A4056" t="s">
        <v>4382</v>
      </c>
      <c r="B4056" t="str">
        <f>"300300"</f>
        <v>300300</v>
      </c>
      <c r="C4056" t="s">
        <v>8155</v>
      </c>
      <c r="D4056" t="s">
        <v>212</v>
      </c>
      <c r="F4056">
        <v>-106644017</v>
      </c>
      <c r="G4056">
        <v>-33479105</v>
      </c>
      <c r="H4056">
        <v>-87356708</v>
      </c>
      <c r="I4056">
        <v>4298026</v>
      </c>
      <c r="J4056">
        <v>-76564954</v>
      </c>
      <c r="K4056">
        <v>-384992081</v>
      </c>
      <c r="L4056">
        <v>-114166841</v>
      </c>
      <c r="M4056">
        <v>-132545409</v>
      </c>
      <c r="N4056">
        <v>-61536234</v>
      </c>
      <c r="O4056">
        <v>-62115850</v>
      </c>
      <c r="P4056">
        <v>121</v>
      </c>
      <c r="Q4056" t="s">
        <v>8156</v>
      </c>
    </row>
    <row r="4057" spans="1:17" x14ac:dyDescent="0.3">
      <c r="A4057" t="s">
        <v>4382</v>
      </c>
      <c r="B4057" t="str">
        <f>"300301"</f>
        <v>300301</v>
      </c>
      <c r="C4057" t="s">
        <v>8157</v>
      </c>
      <c r="D4057" t="s">
        <v>150</v>
      </c>
      <c r="F4057">
        <v>362886158</v>
      </c>
      <c r="G4057">
        <v>56864886</v>
      </c>
      <c r="H4057">
        <v>-104370200</v>
      </c>
      <c r="I4057">
        <v>-365114420</v>
      </c>
      <c r="J4057">
        <v>-38104799</v>
      </c>
      <c r="K4057">
        <v>-211976593</v>
      </c>
      <c r="L4057">
        <v>-129062094</v>
      </c>
      <c r="M4057">
        <v>-115713440</v>
      </c>
      <c r="N4057">
        <v>-209227221</v>
      </c>
      <c r="O4057">
        <v>-235970463</v>
      </c>
      <c r="P4057">
        <v>75</v>
      </c>
      <c r="Q4057" t="s">
        <v>8158</v>
      </c>
    </row>
    <row r="4058" spans="1:17" x14ac:dyDescent="0.3">
      <c r="A4058" t="s">
        <v>4382</v>
      </c>
      <c r="B4058" t="str">
        <f>"300302"</f>
        <v>300302</v>
      </c>
      <c r="C4058" t="s">
        <v>8159</v>
      </c>
      <c r="D4058" t="s">
        <v>212</v>
      </c>
      <c r="F4058">
        <v>2213650</v>
      </c>
      <c r="G4058">
        <v>-71462467</v>
      </c>
      <c r="H4058">
        <v>-30929007</v>
      </c>
      <c r="I4058">
        <v>-66047200</v>
      </c>
      <c r="J4058">
        <v>-269969722</v>
      </c>
      <c r="K4058">
        <v>-108337148</v>
      </c>
      <c r="L4058">
        <v>-23571819</v>
      </c>
      <c r="M4058">
        <v>-35417701</v>
      </c>
      <c r="N4058">
        <v>-66699793</v>
      </c>
      <c r="O4058">
        <v>-31922015</v>
      </c>
      <c r="P4058">
        <v>146</v>
      </c>
      <c r="Q4058" t="s">
        <v>8160</v>
      </c>
    </row>
    <row r="4059" spans="1:17" x14ac:dyDescent="0.3">
      <c r="A4059" t="s">
        <v>4382</v>
      </c>
      <c r="B4059" t="str">
        <f>"300303"</f>
        <v>300303</v>
      </c>
      <c r="C4059" t="s">
        <v>8161</v>
      </c>
      <c r="D4059" t="s">
        <v>150</v>
      </c>
      <c r="F4059">
        <v>457396014</v>
      </c>
      <c r="G4059">
        <v>140760183</v>
      </c>
      <c r="H4059">
        <v>179832441</v>
      </c>
      <c r="I4059">
        <v>-43418872</v>
      </c>
      <c r="J4059">
        <v>-77706507</v>
      </c>
      <c r="K4059">
        <v>-101872830</v>
      </c>
      <c r="L4059">
        <v>-2296182</v>
      </c>
      <c r="M4059">
        <v>60875515</v>
      </c>
      <c r="N4059">
        <v>35745255</v>
      </c>
      <c r="O4059">
        <v>-21187445</v>
      </c>
      <c r="P4059">
        <v>256</v>
      </c>
      <c r="Q4059" t="s">
        <v>8162</v>
      </c>
    </row>
    <row r="4060" spans="1:17" x14ac:dyDescent="0.3">
      <c r="A4060" t="s">
        <v>4382</v>
      </c>
      <c r="B4060" t="str">
        <f>"300304"</f>
        <v>300304</v>
      </c>
      <c r="C4060" t="s">
        <v>8163</v>
      </c>
      <c r="D4060" t="s">
        <v>27</v>
      </c>
      <c r="F4060">
        <v>162468641</v>
      </c>
      <c r="G4060">
        <v>66526077</v>
      </c>
      <c r="H4060">
        <v>46955743</v>
      </c>
      <c r="I4060">
        <v>41989403</v>
      </c>
      <c r="J4060">
        <v>-27103402</v>
      </c>
      <c r="K4060">
        <v>-29462148</v>
      </c>
      <c r="L4060">
        <v>4241982</v>
      </c>
      <c r="M4060">
        <v>-55388688</v>
      </c>
      <c r="N4060">
        <v>-62031095</v>
      </c>
      <c r="O4060">
        <v>28335414</v>
      </c>
      <c r="P4060">
        <v>114</v>
      </c>
      <c r="Q4060" t="s">
        <v>8164</v>
      </c>
    </row>
    <row r="4061" spans="1:17" x14ac:dyDescent="0.3">
      <c r="A4061" t="s">
        <v>4382</v>
      </c>
      <c r="B4061" t="str">
        <f>"300305"</f>
        <v>300305</v>
      </c>
      <c r="C4061" t="s">
        <v>8165</v>
      </c>
      <c r="D4061" t="s">
        <v>133</v>
      </c>
      <c r="F4061">
        <v>-64401829</v>
      </c>
      <c r="G4061">
        <v>2935503</v>
      </c>
      <c r="H4061">
        <v>-47994583</v>
      </c>
      <c r="I4061">
        <v>32051989</v>
      </c>
      <c r="J4061">
        <v>43083</v>
      </c>
      <c r="K4061">
        <v>90400810</v>
      </c>
      <c r="L4061">
        <v>32408789</v>
      </c>
      <c r="M4061">
        <v>-6804100</v>
      </c>
      <c r="N4061">
        <v>8788964</v>
      </c>
      <c r="O4061">
        <v>-83096786</v>
      </c>
      <c r="P4061">
        <v>148</v>
      </c>
      <c r="Q4061" t="s">
        <v>8166</v>
      </c>
    </row>
    <row r="4062" spans="1:17" x14ac:dyDescent="0.3">
      <c r="A4062" t="s">
        <v>4382</v>
      </c>
      <c r="B4062" t="str">
        <f>"300306"</f>
        <v>300306</v>
      </c>
      <c r="C4062" t="s">
        <v>8167</v>
      </c>
      <c r="D4062" t="s">
        <v>78</v>
      </c>
      <c r="F4062">
        <v>-27410324</v>
      </c>
      <c r="G4062">
        <v>8667639</v>
      </c>
      <c r="H4062">
        <v>81435233</v>
      </c>
      <c r="I4062">
        <v>-33812537</v>
      </c>
      <c r="J4062">
        <v>-15503693</v>
      </c>
      <c r="K4062">
        <v>38348290</v>
      </c>
      <c r="L4062">
        <v>-1128778</v>
      </c>
      <c r="M4062">
        <v>-4019668</v>
      </c>
      <c r="N4062">
        <v>10683212</v>
      </c>
      <c r="O4062">
        <v>5050225</v>
      </c>
      <c r="P4062">
        <v>169</v>
      </c>
      <c r="Q4062" t="s">
        <v>8168</v>
      </c>
    </row>
    <row r="4063" spans="1:17" x14ac:dyDescent="0.3">
      <c r="A4063" t="s">
        <v>4382</v>
      </c>
      <c r="B4063" t="str">
        <f>"300307"</f>
        <v>300307</v>
      </c>
      <c r="C4063" t="s">
        <v>8169</v>
      </c>
      <c r="D4063" t="s">
        <v>78</v>
      </c>
      <c r="F4063">
        <v>-92017113</v>
      </c>
      <c r="G4063">
        <v>-201174973</v>
      </c>
      <c r="H4063">
        <v>-260384705</v>
      </c>
      <c r="I4063">
        <v>-124843676</v>
      </c>
      <c r="J4063">
        <v>277218397</v>
      </c>
      <c r="K4063">
        <v>-30110745</v>
      </c>
      <c r="L4063">
        <v>58477728</v>
      </c>
      <c r="M4063">
        <v>-372339307</v>
      </c>
      <c r="N4063">
        <v>316635265</v>
      </c>
      <c r="O4063">
        <v>146829759</v>
      </c>
      <c r="P4063">
        <v>2981</v>
      </c>
      <c r="Q4063" t="s">
        <v>8170</v>
      </c>
    </row>
    <row r="4064" spans="1:17" x14ac:dyDescent="0.3">
      <c r="A4064" t="s">
        <v>4382</v>
      </c>
      <c r="B4064" t="str">
        <f>"300308"</f>
        <v>300308</v>
      </c>
      <c r="C4064" t="s">
        <v>8171</v>
      </c>
      <c r="D4064" t="s">
        <v>100</v>
      </c>
      <c r="F4064">
        <v>-329394233</v>
      </c>
      <c r="G4064">
        <v>-829522849</v>
      </c>
      <c r="H4064">
        <v>-124351662</v>
      </c>
      <c r="I4064">
        <v>-153032841</v>
      </c>
      <c r="J4064">
        <v>-163146714</v>
      </c>
      <c r="K4064">
        <v>-81683035</v>
      </c>
      <c r="L4064">
        <v>-12078767</v>
      </c>
      <c r="M4064">
        <v>-15616698</v>
      </c>
      <c r="N4064">
        <v>-24557783</v>
      </c>
      <c r="O4064">
        <v>-40979383</v>
      </c>
      <c r="P4064">
        <v>815</v>
      </c>
      <c r="Q4064" t="s">
        <v>8172</v>
      </c>
    </row>
    <row r="4065" spans="1:17" x14ac:dyDescent="0.3">
      <c r="A4065" t="s">
        <v>4382</v>
      </c>
      <c r="B4065" t="str">
        <f>"300309"</f>
        <v>300309</v>
      </c>
      <c r="C4065" t="s">
        <v>8173</v>
      </c>
      <c r="D4065" t="s">
        <v>75</v>
      </c>
      <c r="F4065">
        <v>-3209529</v>
      </c>
      <c r="G4065">
        <v>45977627</v>
      </c>
      <c r="H4065">
        <v>-39666333</v>
      </c>
      <c r="I4065">
        <v>-646895960</v>
      </c>
      <c r="J4065">
        <v>-384946686</v>
      </c>
      <c r="K4065">
        <v>-209966305</v>
      </c>
      <c r="L4065">
        <v>79052187</v>
      </c>
      <c r="M4065">
        <v>-147401516</v>
      </c>
      <c r="N4065">
        <v>-32754325</v>
      </c>
      <c r="O4065">
        <v>-109003390</v>
      </c>
      <c r="P4065">
        <v>108</v>
      </c>
      <c r="Q4065" t="s">
        <v>8174</v>
      </c>
    </row>
    <row r="4066" spans="1:17" x14ac:dyDescent="0.3">
      <c r="A4066" t="s">
        <v>4382</v>
      </c>
      <c r="B4066" t="str">
        <f>"300310"</f>
        <v>300310</v>
      </c>
      <c r="C4066" t="s">
        <v>8175</v>
      </c>
      <c r="D4066" t="s">
        <v>100</v>
      </c>
      <c r="F4066">
        <v>-402878990</v>
      </c>
      <c r="G4066">
        <v>-208165534</v>
      </c>
      <c r="H4066">
        <v>-126073843</v>
      </c>
      <c r="I4066">
        <v>-221190775</v>
      </c>
      <c r="J4066">
        <v>-255627646</v>
      </c>
      <c r="K4066">
        <v>-188945218</v>
      </c>
      <c r="L4066">
        <v>-80047382</v>
      </c>
      <c r="M4066">
        <v>-94183182</v>
      </c>
      <c r="N4066">
        <v>-201412001</v>
      </c>
      <c r="O4066">
        <v>-120866515</v>
      </c>
      <c r="P4066">
        <v>257</v>
      </c>
      <c r="Q4066" t="s">
        <v>8176</v>
      </c>
    </row>
    <row r="4067" spans="1:17" x14ac:dyDescent="0.3">
      <c r="A4067" t="s">
        <v>4382</v>
      </c>
      <c r="B4067" t="str">
        <f>"300311"</f>
        <v>300311</v>
      </c>
      <c r="C4067" t="s">
        <v>8177</v>
      </c>
      <c r="D4067" t="s">
        <v>212</v>
      </c>
      <c r="F4067">
        <v>-77739439</v>
      </c>
      <c r="G4067">
        <v>-55661188</v>
      </c>
      <c r="H4067">
        <v>-193791291</v>
      </c>
      <c r="I4067">
        <v>-171115255</v>
      </c>
      <c r="J4067">
        <v>-10662111</v>
      </c>
      <c r="K4067">
        <v>-92780400</v>
      </c>
      <c r="L4067">
        <v>-61498404</v>
      </c>
      <c r="M4067">
        <v>-36215907</v>
      </c>
      <c r="N4067">
        <v>-14895788</v>
      </c>
      <c r="O4067">
        <v>-22475526</v>
      </c>
      <c r="P4067">
        <v>161</v>
      </c>
      <c r="Q4067" t="s">
        <v>8178</v>
      </c>
    </row>
    <row r="4068" spans="1:17" x14ac:dyDescent="0.3">
      <c r="A4068" t="s">
        <v>4382</v>
      </c>
      <c r="B4068" t="str">
        <f>"300312"</f>
        <v>300312</v>
      </c>
      <c r="C4068" t="s">
        <v>8179</v>
      </c>
      <c r="D4068" t="s">
        <v>100</v>
      </c>
      <c r="F4068">
        <v>-8417663</v>
      </c>
      <c r="G4068">
        <v>-6986468</v>
      </c>
      <c r="H4068">
        <v>668855</v>
      </c>
      <c r="I4068">
        <v>66238171</v>
      </c>
      <c r="J4068">
        <v>17195506</v>
      </c>
      <c r="K4068">
        <v>-66677423</v>
      </c>
      <c r="L4068">
        <v>-105050219</v>
      </c>
      <c r="M4068">
        <v>-171264012</v>
      </c>
      <c r="N4068">
        <v>-232019858</v>
      </c>
      <c r="O4068">
        <v>-230043961</v>
      </c>
      <c r="P4068">
        <v>134</v>
      </c>
      <c r="Q4068" t="s">
        <v>8180</v>
      </c>
    </row>
    <row r="4069" spans="1:17" x14ac:dyDescent="0.3">
      <c r="A4069" t="s">
        <v>4382</v>
      </c>
      <c r="B4069" t="str">
        <f>"300313"</f>
        <v>300313</v>
      </c>
      <c r="C4069" t="s">
        <v>8181</v>
      </c>
      <c r="D4069" t="s">
        <v>205</v>
      </c>
      <c r="F4069">
        <v>165239981</v>
      </c>
      <c r="G4069">
        <v>-7308084</v>
      </c>
      <c r="H4069">
        <v>-8367153</v>
      </c>
      <c r="I4069">
        <v>-66913596</v>
      </c>
      <c r="J4069">
        <v>18935049</v>
      </c>
      <c r="K4069">
        <v>106824627</v>
      </c>
      <c r="L4069">
        <v>-229065410</v>
      </c>
      <c r="M4069">
        <v>-14861523</v>
      </c>
      <c r="N4069">
        <v>-38977681</v>
      </c>
      <c r="O4069">
        <v>-27001466</v>
      </c>
      <c r="P4069">
        <v>85</v>
      </c>
      <c r="Q4069" t="s">
        <v>8182</v>
      </c>
    </row>
    <row r="4070" spans="1:17" x14ac:dyDescent="0.3">
      <c r="A4070" t="s">
        <v>4382</v>
      </c>
      <c r="B4070" t="str">
        <f>"300314"</f>
        <v>300314</v>
      </c>
      <c r="C4070" t="s">
        <v>8183</v>
      </c>
      <c r="D4070" t="s">
        <v>113</v>
      </c>
      <c r="F4070">
        <v>-32425263</v>
      </c>
      <c r="G4070">
        <v>4892221</v>
      </c>
      <c r="H4070">
        <v>2706907</v>
      </c>
      <c r="I4070">
        <v>-13170490</v>
      </c>
      <c r="J4070">
        <v>-20227298</v>
      </c>
      <c r="K4070">
        <v>-42050692</v>
      </c>
      <c r="L4070">
        <v>-28576027</v>
      </c>
      <c r="M4070">
        <v>-12848165</v>
      </c>
      <c r="N4070">
        <v>-22816149</v>
      </c>
      <c r="O4070">
        <v>40226312</v>
      </c>
      <c r="P4070">
        <v>196</v>
      </c>
      <c r="Q4070" t="s">
        <v>8184</v>
      </c>
    </row>
    <row r="4071" spans="1:17" x14ac:dyDescent="0.3">
      <c r="A4071" t="s">
        <v>4382</v>
      </c>
      <c r="B4071" t="str">
        <f>"300315"</f>
        <v>300315</v>
      </c>
      <c r="C4071" t="s">
        <v>8185</v>
      </c>
      <c r="D4071" t="s">
        <v>89</v>
      </c>
      <c r="F4071">
        <v>73796134</v>
      </c>
      <c r="G4071">
        <v>268971725</v>
      </c>
      <c r="H4071">
        <v>272659386</v>
      </c>
      <c r="I4071">
        <v>671263004</v>
      </c>
      <c r="J4071">
        <v>217043677</v>
      </c>
      <c r="K4071">
        <v>538959706</v>
      </c>
      <c r="L4071">
        <v>123196492</v>
      </c>
      <c r="M4071">
        <v>82065394</v>
      </c>
      <c r="N4071">
        <v>-106076</v>
      </c>
      <c r="O4071">
        <v>-674840</v>
      </c>
      <c r="P4071">
        <v>456</v>
      </c>
      <c r="Q4071" t="s">
        <v>8186</v>
      </c>
    </row>
    <row r="4072" spans="1:17" x14ac:dyDescent="0.3">
      <c r="A4072" t="s">
        <v>4382</v>
      </c>
      <c r="B4072" t="str">
        <f>"300316"</f>
        <v>300316</v>
      </c>
      <c r="C4072" t="s">
        <v>8187</v>
      </c>
      <c r="D4072" t="s">
        <v>188</v>
      </c>
      <c r="F4072">
        <v>580226685</v>
      </c>
      <c r="G4072">
        <v>784165872</v>
      </c>
      <c r="H4072">
        <v>312155747</v>
      </c>
      <c r="I4072">
        <v>-125752866</v>
      </c>
      <c r="J4072">
        <v>-117070140</v>
      </c>
      <c r="K4072">
        <v>-43834633</v>
      </c>
      <c r="L4072">
        <v>-256720361</v>
      </c>
      <c r="M4072">
        <v>-196589058</v>
      </c>
      <c r="N4072">
        <v>50139337</v>
      </c>
      <c r="O4072">
        <v>-60640233</v>
      </c>
      <c r="P4072">
        <v>1072</v>
      </c>
      <c r="Q4072" t="s">
        <v>8188</v>
      </c>
    </row>
    <row r="4073" spans="1:17" x14ac:dyDescent="0.3">
      <c r="A4073" t="s">
        <v>4382</v>
      </c>
      <c r="B4073" t="str">
        <f>"300317"</f>
        <v>300317</v>
      </c>
      <c r="C4073" t="s">
        <v>8189</v>
      </c>
      <c r="D4073" t="s">
        <v>41</v>
      </c>
      <c r="F4073">
        <v>69790266</v>
      </c>
      <c r="G4073">
        <v>191181083</v>
      </c>
      <c r="H4073">
        <v>-143814058</v>
      </c>
      <c r="I4073">
        <v>161135837</v>
      </c>
      <c r="J4073">
        <v>-742215254</v>
      </c>
      <c r="K4073">
        <v>-206967000</v>
      </c>
      <c r="L4073">
        <v>-118003964</v>
      </c>
      <c r="M4073">
        <v>-126489814</v>
      </c>
      <c r="N4073">
        <v>-66254150</v>
      </c>
      <c r="O4073">
        <v>-57634668</v>
      </c>
      <c r="P4073">
        <v>142</v>
      </c>
      <c r="Q4073" t="s">
        <v>8190</v>
      </c>
    </row>
    <row r="4074" spans="1:17" x14ac:dyDescent="0.3">
      <c r="A4074" t="s">
        <v>4382</v>
      </c>
      <c r="B4074" t="str">
        <f>"300318"</f>
        <v>300318</v>
      </c>
      <c r="C4074" t="s">
        <v>8191</v>
      </c>
      <c r="D4074" t="s">
        <v>113</v>
      </c>
      <c r="F4074">
        <v>-300976935</v>
      </c>
      <c r="G4074">
        <v>-23366077</v>
      </c>
      <c r="H4074">
        <v>-140209768</v>
      </c>
      <c r="I4074">
        <v>-112443822</v>
      </c>
      <c r="J4074">
        <v>-113802173</v>
      </c>
      <c r="K4074">
        <v>-13608675</v>
      </c>
      <c r="L4074">
        <v>-7416716</v>
      </c>
      <c r="M4074">
        <v>-29419124</v>
      </c>
      <c r="N4074">
        <v>9437386</v>
      </c>
      <c r="O4074">
        <v>-18929864</v>
      </c>
      <c r="P4074">
        <v>144</v>
      </c>
      <c r="Q4074" t="s">
        <v>8192</v>
      </c>
    </row>
    <row r="4075" spans="1:17" x14ac:dyDescent="0.3">
      <c r="A4075" t="s">
        <v>4382</v>
      </c>
      <c r="B4075" t="str">
        <f>"300319"</f>
        <v>300319</v>
      </c>
      <c r="C4075" t="s">
        <v>8193</v>
      </c>
      <c r="D4075" t="s">
        <v>150</v>
      </c>
      <c r="F4075">
        <v>30210146</v>
      </c>
      <c r="G4075">
        <v>28003584</v>
      </c>
      <c r="H4075">
        <v>-167018999</v>
      </c>
      <c r="I4075">
        <v>-43950886</v>
      </c>
      <c r="J4075">
        <v>-211862891</v>
      </c>
      <c r="K4075">
        <v>-27514778</v>
      </c>
      <c r="L4075">
        <v>15573262</v>
      </c>
      <c r="M4075">
        <v>-35411482</v>
      </c>
      <c r="N4075">
        <v>-70326706</v>
      </c>
      <c r="O4075">
        <v>-1459324</v>
      </c>
      <c r="P4075">
        <v>3162</v>
      </c>
      <c r="Q4075" t="s">
        <v>8194</v>
      </c>
    </row>
    <row r="4076" spans="1:17" x14ac:dyDescent="0.3">
      <c r="A4076" t="s">
        <v>4382</v>
      </c>
      <c r="B4076" t="str">
        <f>"300320"</f>
        <v>300320</v>
      </c>
      <c r="C4076" t="s">
        <v>8195</v>
      </c>
      <c r="D4076" t="s">
        <v>133</v>
      </c>
      <c r="F4076">
        <v>27594025</v>
      </c>
      <c r="G4076">
        <v>31153478</v>
      </c>
      <c r="H4076">
        <v>-37995</v>
      </c>
      <c r="I4076">
        <v>-134625268</v>
      </c>
      <c r="J4076">
        <v>-68936489</v>
      </c>
      <c r="K4076">
        <v>12959618</v>
      </c>
      <c r="L4076">
        <v>52079296</v>
      </c>
      <c r="M4076">
        <v>-79595335</v>
      </c>
      <c r="N4076">
        <v>-49448384</v>
      </c>
      <c r="O4076">
        <v>-2143107</v>
      </c>
      <c r="P4076">
        <v>152</v>
      </c>
      <c r="Q4076" t="s">
        <v>8196</v>
      </c>
    </row>
    <row r="4077" spans="1:17" x14ac:dyDescent="0.3">
      <c r="A4077" t="s">
        <v>4382</v>
      </c>
      <c r="B4077" t="str">
        <f>"300321"</f>
        <v>300321</v>
      </c>
      <c r="C4077" t="s">
        <v>8197</v>
      </c>
      <c r="D4077" t="s">
        <v>133</v>
      </c>
      <c r="F4077">
        <v>6613872</v>
      </c>
      <c r="G4077">
        <v>-15429147</v>
      </c>
      <c r="H4077">
        <v>46154781</v>
      </c>
      <c r="I4077">
        <v>-8423057</v>
      </c>
      <c r="J4077">
        <v>-36141761</v>
      </c>
      <c r="K4077">
        <v>38222113</v>
      </c>
      <c r="L4077">
        <v>7028944</v>
      </c>
      <c r="M4077">
        <v>10690331</v>
      </c>
      <c r="N4077">
        <v>-14335002</v>
      </c>
      <c r="O4077">
        <v>-86527814</v>
      </c>
      <c r="P4077">
        <v>45</v>
      </c>
      <c r="Q4077" t="s">
        <v>8198</v>
      </c>
    </row>
    <row r="4078" spans="1:17" x14ac:dyDescent="0.3">
      <c r="A4078" t="s">
        <v>4382</v>
      </c>
      <c r="B4078" t="str">
        <f>"300322"</f>
        <v>300322</v>
      </c>
      <c r="C4078" t="s">
        <v>8199</v>
      </c>
      <c r="D4078" t="s">
        <v>150</v>
      </c>
      <c r="F4078">
        <v>-245686137</v>
      </c>
      <c r="G4078">
        <v>-89546500</v>
      </c>
      <c r="H4078">
        <v>47807623</v>
      </c>
      <c r="I4078">
        <v>327827301</v>
      </c>
      <c r="J4078">
        <v>-70004966</v>
      </c>
      <c r="K4078">
        <v>-282881867</v>
      </c>
      <c r="L4078">
        <v>-77481472</v>
      </c>
      <c r="M4078">
        <v>-65367452</v>
      </c>
      <c r="N4078">
        <v>-50128449</v>
      </c>
      <c r="O4078">
        <v>-55057373</v>
      </c>
      <c r="P4078">
        <v>387</v>
      </c>
      <c r="Q4078" t="s">
        <v>8200</v>
      </c>
    </row>
    <row r="4079" spans="1:17" x14ac:dyDescent="0.3">
      <c r="A4079" t="s">
        <v>4382</v>
      </c>
      <c r="B4079" t="str">
        <f>"300323"</f>
        <v>300323</v>
      </c>
      <c r="C4079" t="s">
        <v>8201</v>
      </c>
      <c r="D4079" t="s">
        <v>150</v>
      </c>
      <c r="F4079">
        <v>-651373374</v>
      </c>
      <c r="G4079">
        <v>-177886591</v>
      </c>
      <c r="H4079">
        <v>-178755032</v>
      </c>
      <c r="I4079">
        <v>76995639</v>
      </c>
      <c r="J4079">
        <v>-1727576657</v>
      </c>
      <c r="K4079">
        <v>-77675553</v>
      </c>
      <c r="L4079">
        <v>-286634976</v>
      </c>
      <c r="M4079">
        <v>-380060847</v>
      </c>
      <c r="N4079">
        <v>-545965449</v>
      </c>
      <c r="O4079">
        <v>-53679603</v>
      </c>
      <c r="P4079">
        <v>293</v>
      </c>
      <c r="Q4079" t="s">
        <v>8202</v>
      </c>
    </row>
    <row r="4080" spans="1:17" x14ac:dyDescent="0.3">
      <c r="A4080" t="s">
        <v>4382</v>
      </c>
      <c r="B4080" t="str">
        <f>"300324"</f>
        <v>300324</v>
      </c>
      <c r="C4080" t="s">
        <v>8203</v>
      </c>
      <c r="D4080" t="s">
        <v>212</v>
      </c>
      <c r="F4080">
        <v>-197754749</v>
      </c>
      <c r="G4080">
        <v>-81745558</v>
      </c>
      <c r="H4080">
        <v>91050802</v>
      </c>
      <c r="I4080">
        <v>-591677265</v>
      </c>
      <c r="J4080">
        <v>223872816</v>
      </c>
      <c r="K4080">
        <v>280065522</v>
      </c>
      <c r="L4080">
        <v>172205480</v>
      </c>
      <c r="M4080">
        <v>-47392780</v>
      </c>
      <c r="N4080">
        <v>-37363908</v>
      </c>
      <c r="O4080">
        <v>-23587734</v>
      </c>
      <c r="P4080">
        <v>235</v>
      </c>
      <c r="Q4080" t="s">
        <v>8204</v>
      </c>
    </row>
    <row r="4081" spans="1:17" x14ac:dyDescent="0.3">
      <c r="A4081" t="s">
        <v>4382</v>
      </c>
      <c r="B4081" t="str">
        <f>"300325"</f>
        <v>300325</v>
      </c>
      <c r="C4081" t="s">
        <v>8205</v>
      </c>
      <c r="D4081" t="s">
        <v>133</v>
      </c>
      <c r="F4081">
        <v>5644786</v>
      </c>
      <c r="G4081">
        <v>50229783</v>
      </c>
      <c r="H4081">
        <v>-418446886</v>
      </c>
      <c r="I4081">
        <v>-283201448</v>
      </c>
      <c r="J4081">
        <v>-58411713</v>
      </c>
      <c r="K4081">
        <v>-403889813</v>
      </c>
      <c r="L4081">
        <v>13937054</v>
      </c>
      <c r="M4081">
        <v>-82315530</v>
      </c>
      <c r="N4081">
        <v>-104147785</v>
      </c>
      <c r="O4081">
        <v>11467328</v>
      </c>
      <c r="P4081">
        <v>81</v>
      </c>
      <c r="Q4081" t="s">
        <v>8206</v>
      </c>
    </row>
    <row r="4082" spans="1:17" x14ac:dyDescent="0.3">
      <c r="A4082" t="s">
        <v>4382</v>
      </c>
      <c r="B4082" t="str">
        <f>"300326"</f>
        <v>300326</v>
      </c>
      <c r="C4082" t="s">
        <v>8207</v>
      </c>
      <c r="D4082" t="s">
        <v>113</v>
      </c>
      <c r="F4082">
        <v>241811889</v>
      </c>
      <c r="G4082">
        <v>173285025</v>
      </c>
      <c r="H4082">
        <v>36573128</v>
      </c>
      <c r="I4082">
        <v>24592019</v>
      </c>
      <c r="J4082">
        <v>-69220053</v>
      </c>
      <c r="K4082">
        <v>1765615</v>
      </c>
      <c r="L4082">
        <v>-60512128</v>
      </c>
      <c r="M4082">
        <v>-30472307</v>
      </c>
      <c r="N4082">
        <v>-13689394</v>
      </c>
      <c r="O4082">
        <v>15708882</v>
      </c>
      <c r="P4082">
        <v>853</v>
      </c>
      <c r="Q4082" t="s">
        <v>8208</v>
      </c>
    </row>
    <row r="4083" spans="1:17" x14ac:dyDescent="0.3">
      <c r="A4083" t="s">
        <v>4382</v>
      </c>
      <c r="B4083" t="str">
        <f>"300327"</f>
        <v>300327</v>
      </c>
      <c r="C4083" t="s">
        <v>8209</v>
      </c>
      <c r="D4083" t="s">
        <v>150</v>
      </c>
      <c r="F4083">
        <v>-220263359</v>
      </c>
      <c r="G4083">
        <v>43171402</v>
      </c>
      <c r="H4083">
        <v>130668918</v>
      </c>
      <c r="I4083">
        <v>54692596</v>
      </c>
      <c r="J4083">
        <v>127364871</v>
      </c>
      <c r="K4083">
        <v>61729277</v>
      </c>
      <c r="L4083">
        <v>39996793</v>
      </c>
      <c r="M4083">
        <v>17767046</v>
      </c>
      <c r="N4083">
        <v>15159963</v>
      </c>
      <c r="O4083">
        <v>-15873041</v>
      </c>
      <c r="P4083">
        <v>4066</v>
      </c>
      <c r="Q4083" t="s">
        <v>8210</v>
      </c>
    </row>
    <row r="4084" spans="1:17" x14ac:dyDescent="0.3">
      <c r="A4084" t="s">
        <v>4382</v>
      </c>
      <c r="B4084" t="str">
        <f>"300328"</f>
        <v>300328</v>
      </c>
      <c r="C4084" t="s">
        <v>8211</v>
      </c>
      <c r="D4084" t="s">
        <v>234</v>
      </c>
      <c r="F4084">
        <v>-161235269</v>
      </c>
      <c r="G4084">
        <v>74643654</v>
      </c>
      <c r="H4084">
        <v>-64695721</v>
      </c>
      <c r="I4084">
        <v>-203183670</v>
      </c>
      <c r="J4084">
        <v>5982741</v>
      </c>
      <c r="K4084">
        <v>-30522218</v>
      </c>
      <c r="L4084">
        <v>25538068</v>
      </c>
      <c r="M4084">
        <v>-43194492</v>
      </c>
      <c r="N4084">
        <v>-116531864</v>
      </c>
      <c r="O4084">
        <v>-49363002</v>
      </c>
      <c r="P4084">
        <v>232</v>
      </c>
      <c r="Q4084" t="s">
        <v>8212</v>
      </c>
    </row>
    <row r="4085" spans="1:17" x14ac:dyDescent="0.3">
      <c r="A4085" t="s">
        <v>4382</v>
      </c>
      <c r="B4085" t="str">
        <f>"300329"</f>
        <v>300329</v>
      </c>
      <c r="C4085" t="s">
        <v>8213</v>
      </c>
      <c r="D4085" t="s">
        <v>161</v>
      </c>
      <c r="F4085">
        <v>-173978675</v>
      </c>
      <c r="G4085">
        <v>-97127438</v>
      </c>
      <c r="H4085">
        <v>-110651045</v>
      </c>
      <c r="I4085">
        <v>-43111698</v>
      </c>
      <c r="J4085">
        <v>-39651411</v>
      </c>
      <c r="K4085">
        <v>-9055079</v>
      </c>
      <c r="L4085">
        <v>-25421163</v>
      </c>
      <c r="M4085">
        <v>-46396388</v>
      </c>
      <c r="N4085">
        <v>-43978292</v>
      </c>
      <c r="O4085">
        <v>-70486481</v>
      </c>
      <c r="P4085">
        <v>96</v>
      </c>
      <c r="Q4085" t="s">
        <v>8214</v>
      </c>
    </row>
    <row r="4086" spans="1:17" x14ac:dyDescent="0.3">
      <c r="A4086" t="s">
        <v>4382</v>
      </c>
      <c r="B4086" t="str">
        <f>"300330"</f>
        <v>300330</v>
      </c>
      <c r="C4086" t="s">
        <v>8215</v>
      </c>
      <c r="D4086" t="s">
        <v>212</v>
      </c>
      <c r="F4086">
        <v>-66900958</v>
      </c>
      <c r="G4086">
        <v>-98922518</v>
      </c>
      <c r="H4086">
        <v>-29030455</v>
      </c>
      <c r="I4086">
        <v>-75327382</v>
      </c>
      <c r="J4086">
        <v>-62275628</v>
      </c>
      <c r="K4086">
        <v>8423954</v>
      </c>
      <c r="L4086">
        <v>-13317713</v>
      </c>
      <c r="M4086">
        <v>-92047440</v>
      </c>
      <c r="N4086">
        <v>-53254420</v>
      </c>
      <c r="O4086">
        <v>-86360158</v>
      </c>
      <c r="P4086">
        <v>82</v>
      </c>
      <c r="Q4086" t="s">
        <v>8216</v>
      </c>
    </row>
    <row r="4087" spans="1:17" x14ac:dyDescent="0.3">
      <c r="A4087" t="s">
        <v>4382</v>
      </c>
      <c r="B4087" t="str">
        <f>"300331"</f>
        <v>300331</v>
      </c>
      <c r="C4087" t="s">
        <v>8217</v>
      </c>
      <c r="D4087" t="s">
        <v>150</v>
      </c>
      <c r="F4087">
        <v>-216410072</v>
      </c>
      <c r="G4087">
        <v>-296816521</v>
      </c>
      <c r="H4087">
        <v>-160233082</v>
      </c>
      <c r="I4087">
        <v>-144656504</v>
      </c>
      <c r="J4087">
        <v>-36972113</v>
      </c>
      <c r="K4087">
        <v>-38802181</v>
      </c>
      <c r="L4087">
        <v>-6349965</v>
      </c>
      <c r="M4087">
        <v>-21695658</v>
      </c>
      <c r="N4087">
        <v>-72503456</v>
      </c>
      <c r="O4087">
        <v>-48886852</v>
      </c>
      <c r="P4087">
        <v>164</v>
      </c>
      <c r="Q4087" t="s">
        <v>8218</v>
      </c>
    </row>
    <row r="4088" spans="1:17" x14ac:dyDescent="0.3">
      <c r="A4088" t="s">
        <v>4382</v>
      </c>
      <c r="B4088" t="str">
        <f>"300332"</f>
        <v>300332</v>
      </c>
      <c r="C4088" t="s">
        <v>8219</v>
      </c>
      <c r="D4088" t="s">
        <v>41</v>
      </c>
      <c r="F4088">
        <v>123216655</v>
      </c>
      <c r="G4088">
        <v>235105941</v>
      </c>
      <c r="H4088">
        <v>177946938</v>
      </c>
      <c r="I4088">
        <v>-44859214</v>
      </c>
      <c r="J4088">
        <v>-245259894</v>
      </c>
      <c r="K4088">
        <v>-128283442</v>
      </c>
      <c r="L4088">
        <v>-99617351</v>
      </c>
      <c r="M4088">
        <v>-37151363</v>
      </c>
      <c r="N4088">
        <v>-35056405</v>
      </c>
      <c r="O4088">
        <v>-78219208</v>
      </c>
      <c r="P4088">
        <v>117</v>
      </c>
      <c r="Q4088" t="s">
        <v>8220</v>
      </c>
    </row>
    <row r="4089" spans="1:17" x14ac:dyDescent="0.3">
      <c r="A4089" t="s">
        <v>4382</v>
      </c>
      <c r="B4089" t="str">
        <f>"300333"</f>
        <v>300333</v>
      </c>
      <c r="C4089" t="s">
        <v>8221</v>
      </c>
      <c r="D4089" t="s">
        <v>212</v>
      </c>
      <c r="F4089">
        <v>-49193166</v>
      </c>
      <c r="G4089">
        <v>-15763798</v>
      </c>
      <c r="H4089">
        <v>-30588548</v>
      </c>
      <c r="I4089">
        <v>-4647717</v>
      </c>
      <c r="J4089">
        <v>-41983728</v>
      </c>
      <c r="K4089">
        <v>-27954248</v>
      </c>
      <c r="L4089">
        <v>-38018298</v>
      </c>
      <c r="M4089">
        <v>-4011000</v>
      </c>
      <c r="N4089">
        <v>-33806974</v>
      </c>
      <c r="O4089">
        <v>58295851</v>
      </c>
      <c r="P4089">
        <v>94</v>
      </c>
      <c r="Q4089" t="s">
        <v>8222</v>
      </c>
    </row>
    <row r="4090" spans="1:17" x14ac:dyDescent="0.3">
      <c r="A4090" t="s">
        <v>4382</v>
      </c>
      <c r="B4090" t="str">
        <f>"300334"</f>
        <v>300334</v>
      </c>
      <c r="C4090" t="s">
        <v>8223</v>
      </c>
      <c r="D4090" t="s">
        <v>33</v>
      </c>
      <c r="F4090">
        <v>23143819</v>
      </c>
      <c r="G4090">
        <v>61480172</v>
      </c>
      <c r="H4090">
        <v>16296692</v>
      </c>
      <c r="I4090">
        <v>-46770381</v>
      </c>
      <c r="J4090">
        <v>-133416738</v>
      </c>
      <c r="K4090">
        <v>-408157684</v>
      </c>
      <c r="L4090">
        <v>-284729563</v>
      </c>
      <c r="M4090">
        <v>-117853816</v>
      </c>
      <c r="N4090">
        <v>-134414267</v>
      </c>
      <c r="O4090">
        <v>-59108394</v>
      </c>
      <c r="P4090">
        <v>80</v>
      </c>
      <c r="Q4090" t="s">
        <v>8224</v>
      </c>
    </row>
    <row r="4091" spans="1:17" x14ac:dyDescent="0.3">
      <c r="A4091" t="s">
        <v>4382</v>
      </c>
      <c r="B4091" t="str">
        <f>"300335"</f>
        <v>300335</v>
      </c>
      <c r="C4091" t="s">
        <v>8225</v>
      </c>
      <c r="D4091" t="s">
        <v>41</v>
      </c>
      <c r="F4091">
        <v>-84309519</v>
      </c>
      <c r="G4091">
        <v>75267574</v>
      </c>
      <c r="H4091">
        <v>163377276</v>
      </c>
      <c r="I4091">
        <v>6605841</v>
      </c>
      <c r="J4091">
        <v>-220418752</v>
      </c>
      <c r="K4091">
        <v>-62792083</v>
      </c>
      <c r="L4091">
        <v>-37853094</v>
      </c>
      <c r="M4091">
        <v>35667101</v>
      </c>
      <c r="N4091">
        <v>16277726</v>
      </c>
      <c r="O4091">
        <v>-28706420</v>
      </c>
      <c r="P4091">
        <v>231</v>
      </c>
      <c r="Q4091" t="s">
        <v>8226</v>
      </c>
    </row>
    <row r="4092" spans="1:17" x14ac:dyDescent="0.3">
      <c r="A4092" t="s">
        <v>4382</v>
      </c>
      <c r="B4092" t="str">
        <f>"300336"</f>
        <v>300336</v>
      </c>
      <c r="C4092" t="s">
        <v>8227</v>
      </c>
      <c r="D4092" t="s">
        <v>89</v>
      </c>
      <c r="F4092">
        <v>114123526</v>
      </c>
      <c r="G4092">
        <v>40876237</v>
      </c>
      <c r="H4092">
        <v>-118605684</v>
      </c>
      <c r="I4092">
        <v>-79579883</v>
      </c>
      <c r="J4092">
        <v>-9113319</v>
      </c>
      <c r="K4092">
        <v>98615104</v>
      </c>
      <c r="L4092">
        <v>-167707753</v>
      </c>
      <c r="M4092">
        <v>-176377173</v>
      </c>
      <c r="N4092">
        <v>-81704320</v>
      </c>
      <c r="O4092">
        <v>-82764388</v>
      </c>
      <c r="P4092">
        <v>98</v>
      </c>
      <c r="Q4092" t="s">
        <v>8228</v>
      </c>
    </row>
    <row r="4093" spans="1:17" x14ac:dyDescent="0.3">
      <c r="A4093" t="s">
        <v>4382</v>
      </c>
      <c r="B4093" t="str">
        <f>"300337"</f>
        <v>300337</v>
      </c>
      <c r="C4093" t="s">
        <v>8229</v>
      </c>
      <c r="D4093" t="s">
        <v>234</v>
      </c>
      <c r="F4093">
        <v>-113107838</v>
      </c>
      <c r="G4093">
        <v>13523938</v>
      </c>
      <c r="H4093">
        <v>16448485</v>
      </c>
      <c r="I4093">
        <v>113439165</v>
      </c>
      <c r="J4093">
        <v>-63302705</v>
      </c>
      <c r="K4093">
        <v>-258380540</v>
      </c>
      <c r="L4093">
        <v>-392223915</v>
      </c>
      <c r="M4093">
        <v>-198496526</v>
      </c>
      <c r="N4093">
        <v>-255491631</v>
      </c>
      <c r="O4093">
        <v>-154898928</v>
      </c>
      <c r="P4093">
        <v>142</v>
      </c>
      <c r="Q4093" t="s">
        <v>8230</v>
      </c>
    </row>
    <row r="4094" spans="1:17" x14ac:dyDescent="0.3">
      <c r="A4094" t="s">
        <v>4382</v>
      </c>
      <c r="B4094" t="str">
        <f>"300338"</f>
        <v>300338</v>
      </c>
      <c r="C4094" t="s">
        <v>8231</v>
      </c>
      <c r="D4094" t="s">
        <v>110</v>
      </c>
      <c r="F4094">
        <v>49809745</v>
      </c>
      <c r="G4094">
        <v>-122098074</v>
      </c>
      <c r="H4094">
        <v>39361949</v>
      </c>
      <c r="I4094">
        <v>-1342588</v>
      </c>
      <c r="J4094">
        <v>136193948</v>
      </c>
      <c r="K4094">
        <v>-51758643</v>
      </c>
      <c r="L4094">
        <v>-83934681</v>
      </c>
      <c r="M4094">
        <v>-45377903</v>
      </c>
      <c r="N4094">
        <v>-46900375</v>
      </c>
      <c r="O4094">
        <v>-68859799</v>
      </c>
      <c r="P4094">
        <v>118</v>
      </c>
      <c r="Q4094" t="s">
        <v>8232</v>
      </c>
    </row>
    <row r="4095" spans="1:17" x14ac:dyDescent="0.3">
      <c r="A4095" t="s">
        <v>4382</v>
      </c>
      <c r="B4095" t="str">
        <f>"300339"</f>
        <v>300339</v>
      </c>
      <c r="C4095" t="s">
        <v>8233</v>
      </c>
      <c r="D4095" t="s">
        <v>212</v>
      </c>
      <c r="F4095">
        <v>-337382359</v>
      </c>
      <c r="G4095">
        <v>-394308497</v>
      </c>
      <c r="H4095">
        <v>-318626574</v>
      </c>
      <c r="I4095">
        <v>-264721254</v>
      </c>
      <c r="J4095">
        <v>-429733228</v>
      </c>
      <c r="K4095">
        <v>-195536228</v>
      </c>
      <c r="L4095">
        <v>-146461423</v>
      </c>
      <c r="M4095">
        <v>-357024177</v>
      </c>
      <c r="N4095">
        <v>-211067817</v>
      </c>
      <c r="O4095">
        <v>-3119915</v>
      </c>
      <c r="P4095">
        <v>332</v>
      </c>
      <c r="Q4095" t="s">
        <v>8234</v>
      </c>
    </row>
    <row r="4096" spans="1:17" x14ac:dyDescent="0.3">
      <c r="A4096" t="s">
        <v>4382</v>
      </c>
      <c r="B4096" t="str">
        <f>"300340"</f>
        <v>300340</v>
      </c>
      <c r="C4096" t="s">
        <v>8235</v>
      </c>
      <c r="D4096" t="s">
        <v>188</v>
      </c>
      <c r="F4096">
        <v>64308769</v>
      </c>
      <c r="G4096">
        <v>-87451264</v>
      </c>
      <c r="H4096">
        <v>153630832</v>
      </c>
      <c r="I4096">
        <v>-247876874</v>
      </c>
      <c r="J4096">
        <v>-127936100</v>
      </c>
      <c r="K4096">
        <v>-51223586</v>
      </c>
      <c r="L4096">
        <v>-23611333</v>
      </c>
      <c r="M4096">
        <v>-53366656</v>
      </c>
      <c r="N4096">
        <v>-47136970</v>
      </c>
      <c r="O4096">
        <v>-45243494</v>
      </c>
      <c r="P4096">
        <v>96</v>
      </c>
      <c r="Q4096" t="s">
        <v>8236</v>
      </c>
    </row>
    <row r="4097" spans="1:17" x14ac:dyDescent="0.3">
      <c r="A4097" t="s">
        <v>4382</v>
      </c>
      <c r="B4097" t="str">
        <f>"300341"</f>
        <v>300341</v>
      </c>
      <c r="C4097" t="s">
        <v>8237</v>
      </c>
      <c r="D4097" t="s">
        <v>188</v>
      </c>
      <c r="F4097">
        <v>78055023</v>
      </c>
      <c r="G4097">
        <v>19371599</v>
      </c>
      <c r="H4097">
        <v>4764273</v>
      </c>
      <c r="I4097">
        <v>47347551</v>
      </c>
      <c r="J4097">
        <v>70343853</v>
      </c>
      <c r="K4097">
        <v>43865001</v>
      </c>
      <c r="L4097">
        <v>30614095</v>
      </c>
      <c r="M4097">
        <v>14408558</v>
      </c>
      <c r="N4097">
        <v>3910979</v>
      </c>
      <c r="O4097">
        <v>22868832</v>
      </c>
      <c r="P4097">
        <v>142</v>
      </c>
      <c r="Q4097" t="s">
        <v>8238</v>
      </c>
    </row>
    <row r="4098" spans="1:17" x14ac:dyDescent="0.3">
      <c r="A4098" t="s">
        <v>4382</v>
      </c>
      <c r="B4098" t="str">
        <f>"300342"</f>
        <v>300342</v>
      </c>
      <c r="C4098" t="s">
        <v>8239</v>
      </c>
      <c r="D4098" t="s">
        <v>126</v>
      </c>
      <c r="F4098">
        <v>-91949440</v>
      </c>
      <c r="G4098">
        <v>40540057</v>
      </c>
      <c r="H4098">
        <v>-138723459</v>
      </c>
      <c r="I4098">
        <v>53766877</v>
      </c>
      <c r="J4098">
        <v>4626744</v>
      </c>
      <c r="K4098">
        <v>69006532</v>
      </c>
      <c r="L4098">
        <v>19699151</v>
      </c>
      <c r="M4098">
        <v>38018215</v>
      </c>
      <c r="N4098">
        <v>24895433</v>
      </c>
      <c r="O4098">
        <v>33879907</v>
      </c>
      <c r="P4098">
        <v>181</v>
      </c>
      <c r="Q4098" t="s">
        <v>8240</v>
      </c>
    </row>
    <row r="4099" spans="1:17" x14ac:dyDescent="0.3">
      <c r="A4099" t="s">
        <v>4382</v>
      </c>
      <c r="B4099" t="str">
        <f>"300343"</f>
        <v>300343</v>
      </c>
      <c r="C4099" t="s">
        <v>8241</v>
      </c>
      <c r="D4099" t="s">
        <v>89</v>
      </c>
      <c r="F4099">
        <v>109937046</v>
      </c>
      <c r="G4099">
        <v>45139661</v>
      </c>
      <c r="H4099">
        <v>30746976</v>
      </c>
      <c r="I4099">
        <v>-58229711</v>
      </c>
      <c r="J4099">
        <v>302348384</v>
      </c>
      <c r="K4099">
        <v>-14408681</v>
      </c>
      <c r="L4099">
        <v>116105476</v>
      </c>
      <c r="M4099">
        <v>-151720739</v>
      </c>
      <c r="N4099">
        <v>-75748892</v>
      </c>
      <c r="O4099">
        <v>-49887334</v>
      </c>
      <c r="P4099">
        <v>155</v>
      </c>
      <c r="Q4099" t="s">
        <v>8242</v>
      </c>
    </row>
    <row r="4100" spans="1:17" x14ac:dyDescent="0.3">
      <c r="A4100" t="s">
        <v>4382</v>
      </c>
      <c r="B4100" t="str">
        <f>"300344"</f>
        <v>300344</v>
      </c>
      <c r="C4100" t="s">
        <v>8243</v>
      </c>
      <c r="D4100" t="s">
        <v>212</v>
      </c>
      <c r="F4100">
        <v>-205782431</v>
      </c>
      <c r="G4100">
        <v>-50617785</v>
      </c>
      <c r="H4100">
        <v>51716486</v>
      </c>
      <c r="I4100">
        <v>51292364</v>
      </c>
      <c r="J4100">
        <v>-21245754</v>
      </c>
      <c r="K4100">
        <v>-67765017</v>
      </c>
      <c r="L4100">
        <v>-8154975</v>
      </c>
      <c r="M4100">
        <v>-94323602</v>
      </c>
      <c r="N4100">
        <v>-55438233</v>
      </c>
      <c r="O4100">
        <v>-128765835</v>
      </c>
      <c r="P4100">
        <v>64</v>
      </c>
      <c r="Q4100" t="s">
        <v>8244</v>
      </c>
    </row>
    <row r="4101" spans="1:17" x14ac:dyDescent="0.3">
      <c r="A4101" t="s">
        <v>4382</v>
      </c>
      <c r="B4101" t="str">
        <f>"300345"</f>
        <v>300345</v>
      </c>
      <c r="C4101" t="s">
        <v>8245</v>
      </c>
      <c r="D4101" t="s">
        <v>78</v>
      </c>
      <c r="F4101">
        <v>5212186</v>
      </c>
      <c r="G4101">
        <v>28941976</v>
      </c>
      <c r="H4101">
        <v>26429350</v>
      </c>
      <c r="I4101">
        <v>5327482</v>
      </c>
      <c r="J4101">
        <v>-23719203</v>
      </c>
      <c r="K4101">
        <v>-144818547</v>
      </c>
      <c r="L4101">
        <v>-5279271</v>
      </c>
      <c r="M4101">
        <v>49458668</v>
      </c>
      <c r="N4101">
        <v>-62206036</v>
      </c>
      <c r="O4101">
        <v>-66301806</v>
      </c>
      <c r="P4101">
        <v>53</v>
      </c>
      <c r="Q4101" t="s">
        <v>8246</v>
      </c>
    </row>
    <row r="4102" spans="1:17" x14ac:dyDescent="0.3">
      <c r="A4102" t="s">
        <v>4382</v>
      </c>
      <c r="B4102" t="str">
        <f>"300346"</f>
        <v>300346</v>
      </c>
      <c r="C4102" t="s">
        <v>8247</v>
      </c>
      <c r="D4102" t="s">
        <v>150</v>
      </c>
      <c r="F4102">
        <v>-247960941</v>
      </c>
      <c r="G4102">
        <v>-324965590</v>
      </c>
      <c r="H4102">
        <v>-133927574</v>
      </c>
      <c r="I4102">
        <v>-41898622</v>
      </c>
      <c r="J4102">
        <v>-10541019</v>
      </c>
      <c r="K4102">
        <v>-21476432</v>
      </c>
      <c r="L4102">
        <v>-776368</v>
      </c>
      <c r="M4102">
        <v>-34499231</v>
      </c>
      <c r="N4102">
        <v>-17646531</v>
      </c>
      <c r="O4102">
        <v>-34298146</v>
      </c>
      <c r="P4102">
        <v>448</v>
      </c>
      <c r="Q4102" t="s">
        <v>8248</v>
      </c>
    </row>
    <row r="4103" spans="1:17" x14ac:dyDescent="0.3">
      <c r="A4103" t="s">
        <v>4382</v>
      </c>
      <c r="B4103" t="str">
        <f>"300347"</f>
        <v>300347</v>
      </c>
      <c r="C4103" t="s">
        <v>8249</v>
      </c>
      <c r="D4103" t="s">
        <v>113</v>
      </c>
      <c r="F4103">
        <v>459651256</v>
      </c>
      <c r="G4103">
        <v>371524822</v>
      </c>
      <c r="H4103">
        <v>243716464</v>
      </c>
      <c r="I4103">
        <v>285274935</v>
      </c>
      <c r="J4103">
        <v>94375202</v>
      </c>
      <c r="K4103">
        <v>35203656</v>
      </c>
      <c r="L4103">
        <v>43662074</v>
      </c>
      <c r="M4103">
        <v>-45128366</v>
      </c>
      <c r="N4103">
        <v>29209672</v>
      </c>
      <c r="O4103">
        <v>-2358063</v>
      </c>
      <c r="P4103">
        <v>3110</v>
      </c>
      <c r="Q4103" t="s">
        <v>8250</v>
      </c>
    </row>
    <row r="4104" spans="1:17" x14ac:dyDescent="0.3">
      <c r="A4104" t="s">
        <v>4382</v>
      </c>
      <c r="B4104" t="str">
        <f>"300348"</f>
        <v>300348</v>
      </c>
      <c r="C4104" t="s">
        <v>8251</v>
      </c>
      <c r="D4104" t="s">
        <v>212</v>
      </c>
      <c r="F4104">
        <v>-412516113</v>
      </c>
      <c r="G4104">
        <v>-242838060</v>
      </c>
      <c r="H4104">
        <v>-268483938</v>
      </c>
      <c r="I4104">
        <v>-232818569</v>
      </c>
      <c r="J4104">
        <v>-217094009</v>
      </c>
      <c r="K4104">
        <v>-238269816</v>
      </c>
      <c r="L4104">
        <v>-220930107</v>
      </c>
      <c r="M4104">
        <v>-50394626</v>
      </c>
      <c r="N4104">
        <v>-54049652</v>
      </c>
      <c r="O4104">
        <v>-60435415</v>
      </c>
      <c r="P4104">
        <v>365</v>
      </c>
      <c r="Q4104" t="s">
        <v>8252</v>
      </c>
    </row>
    <row r="4105" spans="1:17" x14ac:dyDescent="0.3">
      <c r="A4105" t="s">
        <v>4382</v>
      </c>
      <c r="B4105" t="str">
        <f>"300349"</f>
        <v>300349</v>
      </c>
      <c r="C4105" t="s">
        <v>8253</v>
      </c>
      <c r="D4105" t="s">
        <v>78</v>
      </c>
      <c r="F4105">
        <v>-230639961</v>
      </c>
      <c r="G4105">
        <v>46614418</v>
      </c>
      <c r="H4105">
        <v>-44335740</v>
      </c>
      <c r="I4105">
        <v>13913933</v>
      </c>
      <c r="J4105">
        <v>109439486</v>
      </c>
      <c r="K4105">
        <v>16903756</v>
      </c>
      <c r="L4105">
        <v>-33514043</v>
      </c>
      <c r="M4105">
        <v>-17590814</v>
      </c>
      <c r="N4105">
        <v>-12739996</v>
      </c>
      <c r="O4105">
        <v>-30420651</v>
      </c>
      <c r="P4105">
        <v>395</v>
      </c>
      <c r="Q4105" t="s">
        <v>8254</v>
      </c>
    </row>
    <row r="4106" spans="1:17" x14ac:dyDescent="0.3">
      <c r="A4106" t="s">
        <v>4382</v>
      </c>
      <c r="B4106" t="str">
        <f>"300350"</f>
        <v>300350</v>
      </c>
      <c r="C4106" t="s">
        <v>8255</v>
      </c>
      <c r="D4106" t="s">
        <v>22</v>
      </c>
      <c r="F4106">
        <v>77991288</v>
      </c>
      <c r="G4106">
        <v>-9444114</v>
      </c>
      <c r="H4106">
        <v>31857183</v>
      </c>
      <c r="I4106">
        <v>1174186</v>
      </c>
      <c r="J4106">
        <v>-62886655</v>
      </c>
      <c r="K4106">
        <v>176514830</v>
      </c>
      <c r="L4106">
        <v>-23128139</v>
      </c>
      <c r="M4106">
        <v>-41902610</v>
      </c>
      <c r="N4106">
        <v>-126323402</v>
      </c>
      <c r="O4106">
        <v>-40515781</v>
      </c>
      <c r="P4106">
        <v>106</v>
      </c>
      <c r="Q4106" t="s">
        <v>8256</v>
      </c>
    </row>
    <row r="4107" spans="1:17" x14ac:dyDescent="0.3">
      <c r="A4107" t="s">
        <v>4382</v>
      </c>
      <c r="B4107" t="str">
        <f>"300351"</f>
        <v>300351</v>
      </c>
      <c r="C4107" t="s">
        <v>8257</v>
      </c>
      <c r="D4107" t="s">
        <v>78</v>
      </c>
      <c r="F4107">
        <v>-24303316</v>
      </c>
      <c r="G4107">
        <v>-52710315</v>
      </c>
      <c r="H4107">
        <v>-141891363</v>
      </c>
      <c r="I4107">
        <v>-93658015</v>
      </c>
      <c r="J4107">
        <v>-99726300</v>
      </c>
      <c r="K4107">
        <v>-58082634</v>
      </c>
      <c r="L4107">
        <v>-184968542</v>
      </c>
      <c r="M4107">
        <v>-46892633</v>
      </c>
      <c r="N4107">
        <v>-1148176</v>
      </c>
      <c r="O4107">
        <v>-20847309</v>
      </c>
      <c r="P4107">
        <v>235</v>
      </c>
      <c r="Q4107" t="s">
        <v>8258</v>
      </c>
    </row>
    <row r="4108" spans="1:17" x14ac:dyDescent="0.3">
      <c r="A4108" t="s">
        <v>4382</v>
      </c>
      <c r="B4108" t="str">
        <f>"300352"</f>
        <v>300352</v>
      </c>
      <c r="C4108" t="s">
        <v>8259</v>
      </c>
      <c r="D4108" t="s">
        <v>212</v>
      </c>
      <c r="F4108">
        <v>-237282265</v>
      </c>
      <c r="G4108">
        <v>-134698891</v>
      </c>
      <c r="H4108">
        <v>-228974360</v>
      </c>
      <c r="I4108">
        <v>-321588751</v>
      </c>
      <c r="J4108">
        <v>-150802254</v>
      </c>
      <c r="K4108">
        <v>-94250871</v>
      </c>
      <c r="L4108">
        <v>-71174583</v>
      </c>
      <c r="M4108">
        <v>-79683538</v>
      </c>
      <c r="N4108">
        <v>-60645811</v>
      </c>
      <c r="O4108">
        <v>-33722078</v>
      </c>
      <c r="P4108">
        <v>255</v>
      </c>
      <c r="Q4108" t="s">
        <v>8260</v>
      </c>
    </row>
    <row r="4109" spans="1:17" x14ac:dyDescent="0.3">
      <c r="A4109" t="s">
        <v>4382</v>
      </c>
      <c r="B4109" t="str">
        <f>"300353"</f>
        <v>300353</v>
      </c>
      <c r="C4109" t="s">
        <v>8261</v>
      </c>
      <c r="D4109" t="s">
        <v>100</v>
      </c>
      <c r="F4109">
        <v>-53392132</v>
      </c>
      <c r="G4109">
        <v>-126790026</v>
      </c>
      <c r="H4109">
        <v>-216607150</v>
      </c>
      <c r="I4109">
        <v>-213116046</v>
      </c>
      <c r="J4109">
        <v>-155166111</v>
      </c>
      <c r="K4109">
        <v>-108578181</v>
      </c>
      <c r="L4109">
        <v>-62094514</v>
      </c>
      <c r="M4109">
        <v>-12177430</v>
      </c>
      <c r="N4109">
        <v>-63152550</v>
      </c>
      <c r="O4109">
        <v>11910729</v>
      </c>
      <c r="P4109">
        <v>3033</v>
      </c>
      <c r="Q4109" t="s">
        <v>8262</v>
      </c>
    </row>
    <row r="4110" spans="1:17" x14ac:dyDescent="0.3">
      <c r="A4110" t="s">
        <v>4382</v>
      </c>
      <c r="B4110" t="str">
        <f>"300354"</f>
        <v>300354</v>
      </c>
      <c r="C4110" t="s">
        <v>8263</v>
      </c>
      <c r="D4110" t="s">
        <v>78</v>
      </c>
      <c r="F4110">
        <v>-16863686</v>
      </c>
      <c r="G4110">
        <v>-25327258</v>
      </c>
      <c r="H4110">
        <v>-17474383</v>
      </c>
      <c r="I4110">
        <v>-24098070</v>
      </c>
      <c r="J4110">
        <v>-16268683</v>
      </c>
      <c r="K4110">
        <v>-36647292</v>
      </c>
      <c r="L4110">
        <v>-24890585</v>
      </c>
      <c r="M4110">
        <v>-24199460</v>
      </c>
      <c r="N4110">
        <v>-20145598</v>
      </c>
      <c r="O4110">
        <v>-11723009</v>
      </c>
      <c r="P4110">
        <v>140</v>
      </c>
      <c r="Q4110" t="s">
        <v>8264</v>
      </c>
    </row>
    <row r="4111" spans="1:17" x14ac:dyDescent="0.3">
      <c r="A4111" t="s">
        <v>4382</v>
      </c>
      <c r="B4111" t="str">
        <f>"300355"</f>
        <v>300355</v>
      </c>
      <c r="C4111" t="s">
        <v>8265</v>
      </c>
      <c r="D4111" t="s">
        <v>95</v>
      </c>
      <c r="F4111">
        <v>184235796</v>
      </c>
      <c r="G4111">
        <v>-721801630</v>
      </c>
      <c r="H4111">
        <v>-696955675</v>
      </c>
      <c r="I4111">
        <v>-2122248840</v>
      </c>
      <c r="J4111">
        <v>-1461029215</v>
      </c>
      <c r="K4111">
        <v>-610593326</v>
      </c>
      <c r="L4111">
        <v>-257637519</v>
      </c>
      <c r="M4111">
        <v>-493557977</v>
      </c>
      <c r="N4111">
        <v>-257875442</v>
      </c>
      <c r="O4111">
        <v>-167405076</v>
      </c>
      <c r="P4111">
        <v>406</v>
      </c>
      <c r="Q4111" t="s">
        <v>8266</v>
      </c>
    </row>
    <row r="4112" spans="1:17" x14ac:dyDescent="0.3">
      <c r="A4112" t="s">
        <v>4382</v>
      </c>
      <c r="B4112" t="str">
        <f>"300356"</f>
        <v>300356</v>
      </c>
      <c r="C4112" t="s">
        <v>8267</v>
      </c>
      <c r="D4112" t="s">
        <v>188</v>
      </c>
      <c r="F4112">
        <v>-12515974</v>
      </c>
      <c r="G4112">
        <v>-109711253</v>
      </c>
      <c r="H4112">
        <v>45691901</v>
      </c>
      <c r="I4112">
        <v>-86863517</v>
      </c>
      <c r="J4112">
        <v>-56490783</v>
      </c>
      <c r="K4112">
        <v>-21968240</v>
      </c>
      <c r="L4112">
        <v>-103628630</v>
      </c>
      <c r="M4112">
        <v>-111057453</v>
      </c>
      <c r="N4112">
        <v>-68173453</v>
      </c>
      <c r="O4112">
        <v>-80146677</v>
      </c>
      <c r="P4112">
        <v>67</v>
      </c>
      <c r="Q4112" t="s">
        <v>8268</v>
      </c>
    </row>
    <row r="4113" spans="1:17" x14ac:dyDescent="0.3">
      <c r="A4113" t="s">
        <v>4382</v>
      </c>
      <c r="B4113" t="str">
        <f>"300357"</f>
        <v>300357</v>
      </c>
      <c r="C4113" t="s">
        <v>8269</v>
      </c>
      <c r="D4113" t="s">
        <v>113</v>
      </c>
      <c r="F4113">
        <v>149400728</v>
      </c>
      <c r="G4113">
        <v>135639623</v>
      </c>
      <c r="H4113">
        <v>81732126</v>
      </c>
      <c r="I4113">
        <v>106028514</v>
      </c>
      <c r="J4113">
        <v>93030411</v>
      </c>
      <c r="K4113">
        <v>62458721</v>
      </c>
      <c r="L4113">
        <v>54544956</v>
      </c>
      <c r="M4113">
        <v>40867738</v>
      </c>
      <c r="N4113">
        <v>27854405</v>
      </c>
      <c r="P4113">
        <v>31282</v>
      </c>
      <c r="Q4113" t="s">
        <v>8270</v>
      </c>
    </row>
    <row r="4114" spans="1:17" x14ac:dyDescent="0.3">
      <c r="A4114" t="s">
        <v>4382</v>
      </c>
      <c r="B4114" t="str">
        <f>"300358"</f>
        <v>300358</v>
      </c>
      <c r="C4114" t="s">
        <v>8271</v>
      </c>
      <c r="D4114" t="s">
        <v>113</v>
      </c>
      <c r="F4114">
        <v>883171916</v>
      </c>
      <c r="G4114">
        <v>101990838</v>
      </c>
      <c r="H4114">
        <v>-74482890</v>
      </c>
      <c r="I4114">
        <v>-7923214</v>
      </c>
      <c r="J4114">
        <v>-118663622</v>
      </c>
      <c r="K4114">
        <v>-183350897</v>
      </c>
      <c r="L4114">
        <v>-76446717</v>
      </c>
      <c r="M4114">
        <v>-100058475</v>
      </c>
      <c r="N4114">
        <v>40628981</v>
      </c>
      <c r="P4114">
        <v>186</v>
      </c>
      <c r="Q4114" t="s">
        <v>8272</v>
      </c>
    </row>
    <row r="4115" spans="1:17" x14ac:dyDescent="0.3">
      <c r="A4115" t="s">
        <v>4382</v>
      </c>
      <c r="B4115" t="str">
        <f>"300359"</f>
        <v>300359</v>
      </c>
      <c r="C4115" t="s">
        <v>8273</v>
      </c>
      <c r="D4115" t="s">
        <v>110</v>
      </c>
      <c r="F4115">
        <v>-52800350</v>
      </c>
      <c r="G4115">
        <v>-15079139</v>
      </c>
      <c r="H4115">
        <v>-55937813</v>
      </c>
      <c r="I4115">
        <v>-41788535</v>
      </c>
      <c r="J4115">
        <v>-258787767</v>
      </c>
      <c r="K4115">
        <v>-273563549</v>
      </c>
      <c r="L4115">
        <v>-31714381</v>
      </c>
      <c r="M4115">
        <v>17371108</v>
      </c>
      <c r="N4115">
        <v>21504078</v>
      </c>
      <c r="P4115">
        <v>166</v>
      </c>
      <c r="Q4115" t="s">
        <v>8274</v>
      </c>
    </row>
    <row r="4116" spans="1:17" x14ac:dyDescent="0.3">
      <c r="A4116" t="s">
        <v>4382</v>
      </c>
      <c r="B4116" t="str">
        <f>"300360"</f>
        <v>300360</v>
      </c>
      <c r="C4116" t="s">
        <v>8275</v>
      </c>
      <c r="D4116" t="s">
        <v>188</v>
      </c>
      <c r="F4116">
        <v>-133501709</v>
      </c>
      <c r="G4116">
        <v>-43436535</v>
      </c>
      <c r="H4116">
        <v>-4092310</v>
      </c>
      <c r="I4116">
        <v>-38918933</v>
      </c>
      <c r="J4116">
        <v>132408278</v>
      </c>
      <c r="K4116">
        <v>34455744</v>
      </c>
      <c r="L4116">
        <v>-67767377</v>
      </c>
      <c r="M4116">
        <v>-17150177</v>
      </c>
      <c r="N4116">
        <v>47084878</v>
      </c>
      <c r="P4116">
        <v>959</v>
      </c>
      <c r="Q4116" t="s">
        <v>8276</v>
      </c>
    </row>
    <row r="4117" spans="1:17" x14ac:dyDescent="0.3">
      <c r="A4117" t="s">
        <v>4382</v>
      </c>
      <c r="B4117" t="str">
        <f>"300361"</f>
        <v>300361</v>
      </c>
      <c r="C4117" t="s">
        <v>6911</v>
      </c>
      <c r="D4117" t="s">
        <v>113</v>
      </c>
      <c r="P4117">
        <v>8</v>
      </c>
      <c r="Q4117" t="s">
        <v>8277</v>
      </c>
    </row>
    <row r="4118" spans="1:17" x14ac:dyDescent="0.3">
      <c r="A4118" t="s">
        <v>4382</v>
      </c>
      <c r="B4118" t="str">
        <f>"300362"</f>
        <v>300362</v>
      </c>
      <c r="C4118" t="s">
        <v>8278</v>
      </c>
      <c r="G4118">
        <v>-2095600</v>
      </c>
      <c r="H4118">
        <v>-41411537</v>
      </c>
      <c r="I4118">
        <v>-1357368422</v>
      </c>
      <c r="J4118">
        <v>-415511011</v>
      </c>
      <c r="K4118">
        <v>-193349530</v>
      </c>
      <c r="L4118">
        <v>-90636362</v>
      </c>
      <c r="M4118">
        <v>-225946021</v>
      </c>
      <c r="N4118">
        <v>-85096630</v>
      </c>
      <c r="O4118">
        <v>-114792924.19</v>
      </c>
      <c r="P4118">
        <v>87</v>
      </c>
      <c r="Q4118" t="s">
        <v>8279</v>
      </c>
    </row>
    <row r="4119" spans="1:17" x14ac:dyDescent="0.3">
      <c r="A4119" t="s">
        <v>4382</v>
      </c>
      <c r="B4119" t="str">
        <f>"300363"</f>
        <v>300363</v>
      </c>
      <c r="C4119" t="s">
        <v>8280</v>
      </c>
      <c r="D4119" t="s">
        <v>113</v>
      </c>
      <c r="F4119">
        <v>-175777538</v>
      </c>
      <c r="G4119">
        <v>74462197</v>
      </c>
      <c r="H4119">
        <v>78517084</v>
      </c>
      <c r="I4119">
        <v>-43602887</v>
      </c>
      <c r="J4119">
        <v>76807925</v>
      </c>
      <c r="K4119">
        <v>48354511</v>
      </c>
      <c r="L4119">
        <v>-205644689</v>
      </c>
      <c r="M4119">
        <v>-352385249</v>
      </c>
      <c r="N4119">
        <v>-2347002</v>
      </c>
      <c r="P4119">
        <v>542</v>
      </c>
      <c r="Q4119" t="s">
        <v>8281</v>
      </c>
    </row>
    <row r="4120" spans="1:17" x14ac:dyDescent="0.3">
      <c r="A4120" t="s">
        <v>4382</v>
      </c>
      <c r="B4120" t="str">
        <f>"300364"</f>
        <v>300364</v>
      </c>
      <c r="C4120" t="s">
        <v>8282</v>
      </c>
      <c r="D4120" t="s">
        <v>89</v>
      </c>
      <c r="F4120">
        <v>-46610643</v>
      </c>
      <c r="G4120">
        <v>80238925</v>
      </c>
      <c r="H4120">
        <v>-102980485</v>
      </c>
      <c r="I4120">
        <v>-192122207</v>
      </c>
      <c r="J4120">
        <v>-319236089</v>
      </c>
      <c r="K4120">
        <v>-42608636</v>
      </c>
      <c r="L4120">
        <v>-60160028</v>
      </c>
      <c r="M4120">
        <v>-50408441</v>
      </c>
      <c r="P4120">
        <v>153</v>
      </c>
      <c r="Q4120" t="s">
        <v>8283</v>
      </c>
    </row>
    <row r="4121" spans="1:17" x14ac:dyDescent="0.3">
      <c r="A4121" t="s">
        <v>4382</v>
      </c>
      <c r="B4121" t="str">
        <f>"300365"</f>
        <v>300365</v>
      </c>
      <c r="C4121" t="s">
        <v>8284</v>
      </c>
      <c r="D4121" t="s">
        <v>212</v>
      </c>
      <c r="F4121">
        <v>-356153877</v>
      </c>
      <c r="G4121">
        <v>167364023</v>
      </c>
      <c r="H4121">
        <v>-243171355</v>
      </c>
      <c r="I4121">
        <v>-146377621</v>
      </c>
      <c r="J4121">
        <v>-126575309</v>
      </c>
      <c r="K4121">
        <v>-109423416</v>
      </c>
      <c r="L4121">
        <v>-88811073</v>
      </c>
      <c r="M4121">
        <v>-49567327</v>
      </c>
      <c r="N4121">
        <v>-42532076</v>
      </c>
      <c r="P4121">
        <v>334</v>
      </c>
      <c r="Q4121" t="s">
        <v>8285</v>
      </c>
    </row>
    <row r="4122" spans="1:17" x14ac:dyDescent="0.3">
      <c r="A4122" t="s">
        <v>4382</v>
      </c>
      <c r="B4122" t="str">
        <f>"300366"</f>
        <v>300366</v>
      </c>
      <c r="C4122" t="s">
        <v>8286</v>
      </c>
      <c r="D4122" t="s">
        <v>212</v>
      </c>
      <c r="F4122">
        <v>-147485045</v>
      </c>
      <c r="G4122">
        <v>-129254215</v>
      </c>
      <c r="H4122">
        <v>-301209542</v>
      </c>
      <c r="I4122">
        <v>-263565674</v>
      </c>
      <c r="J4122">
        <v>-176011878</v>
      </c>
      <c r="K4122">
        <v>-176114820</v>
      </c>
      <c r="L4122">
        <v>-91714786</v>
      </c>
      <c r="M4122">
        <v>-74318127</v>
      </c>
      <c r="N4122">
        <v>-80649532</v>
      </c>
      <c r="O4122">
        <v>-84490682</v>
      </c>
      <c r="P4122">
        <v>222</v>
      </c>
      <c r="Q4122" t="s">
        <v>8287</v>
      </c>
    </row>
    <row r="4123" spans="1:17" x14ac:dyDescent="0.3">
      <c r="A4123" t="s">
        <v>4382</v>
      </c>
      <c r="B4123" t="str">
        <f>"300367"</f>
        <v>300367</v>
      </c>
      <c r="C4123" t="s">
        <v>8288</v>
      </c>
      <c r="D4123" t="s">
        <v>212</v>
      </c>
      <c r="F4123">
        <v>-32010004</v>
      </c>
      <c r="G4123">
        <v>-105500579</v>
      </c>
      <c r="H4123">
        <v>-721558159</v>
      </c>
      <c r="I4123">
        <v>-663280116</v>
      </c>
      <c r="J4123">
        <v>-375433761</v>
      </c>
      <c r="K4123">
        <v>-328482623</v>
      </c>
      <c r="L4123">
        <v>-206822930</v>
      </c>
      <c r="M4123">
        <v>-269463913</v>
      </c>
      <c r="N4123">
        <v>-242749467</v>
      </c>
      <c r="O4123">
        <v>-143501643</v>
      </c>
      <c r="P4123">
        <v>196</v>
      </c>
      <c r="Q4123" t="s">
        <v>8289</v>
      </c>
    </row>
    <row r="4124" spans="1:17" x14ac:dyDescent="0.3">
      <c r="A4124" t="s">
        <v>4382</v>
      </c>
      <c r="B4124" t="str">
        <f>"300368"</f>
        <v>300368</v>
      </c>
      <c r="C4124" t="s">
        <v>8290</v>
      </c>
      <c r="D4124" t="s">
        <v>212</v>
      </c>
      <c r="F4124">
        <v>-287318309</v>
      </c>
      <c r="G4124">
        <v>-595731672</v>
      </c>
      <c r="H4124">
        <v>-158171355</v>
      </c>
      <c r="I4124">
        <v>-198974547</v>
      </c>
      <c r="J4124">
        <v>-248923397</v>
      </c>
      <c r="K4124">
        <v>-168986811</v>
      </c>
      <c r="L4124">
        <v>-92894720</v>
      </c>
      <c r="M4124">
        <v>-139981101</v>
      </c>
      <c r="N4124">
        <v>-83334298</v>
      </c>
      <c r="P4124">
        <v>119</v>
      </c>
      <c r="Q4124" t="s">
        <v>8291</v>
      </c>
    </row>
    <row r="4125" spans="1:17" x14ac:dyDescent="0.3">
      <c r="A4125" t="s">
        <v>4382</v>
      </c>
      <c r="B4125" t="str">
        <f>"300369"</f>
        <v>300369</v>
      </c>
      <c r="C4125" t="s">
        <v>8292</v>
      </c>
      <c r="D4125" t="s">
        <v>212</v>
      </c>
      <c r="F4125">
        <v>-124564071</v>
      </c>
      <c r="G4125">
        <v>63459731</v>
      </c>
      <c r="H4125">
        <v>-118744020</v>
      </c>
      <c r="I4125">
        <v>-181969293</v>
      </c>
      <c r="J4125">
        <v>-161403879</v>
      </c>
      <c r="K4125">
        <v>-165414742</v>
      </c>
      <c r="L4125">
        <v>-83819290</v>
      </c>
      <c r="M4125">
        <v>-78749820</v>
      </c>
      <c r="N4125">
        <v>-126120361</v>
      </c>
      <c r="P4125">
        <v>419</v>
      </c>
      <c r="Q4125" t="s">
        <v>8293</v>
      </c>
    </row>
    <row r="4126" spans="1:17" x14ac:dyDescent="0.3">
      <c r="A4126" t="s">
        <v>4382</v>
      </c>
      <c r="B4126" t="str">
        <f>"300370"</f>
        <v>300370</v>
      </c>
      <c r="C4126" t="s">
        <v>8294</v>
      </c>
      <c r="D4126" t="s">
        <v>78</v>
      </c>
      <c r="F4126">
        <v>-43499980</v>
      </c>
      <c r="G4126">
        <v>-11367176</v>
      </c>
      <c r="H4126">
        <v>190816138</v>
      </c>
      <c r="I4126">
        <v>-485205956</v>
      </c>
      <c r="J4126">
        <v>-497201034</v>
      </c>
      <c r="K4126">
        <v>-106509079</v>
      </c>
      <c r="L4126">
        <v>-59228207</v>
      </c>
      <c r="M4126">
        <v>-167658050</v>
      </c>
      <c r="N4126">
        <v>-165786597</v>
      </c>
      <c r="O4126">
        <v>-21327093</v>
      </c>
      <c r="P4126">
        <v>103</v>
      </c>
      <c r="Q4126" t="s">
        <v>8295</v>
      </c>
    </row>
    <row r="4127" spans="1:17" x14ac:dyDescent="0.3">
      <c r="A4127" t="s">
        <v>4382</v>
      </c>
      <c r="B4127" t="str">
        <f>"300371"</f>
        <v>300371</v>
      </c>
      <c r="C4127" t="s">
        <v>8296</v>
      </c>
      <c r="D4127" t="s">
        <v>78</v>
      </c>
      <c r="F4127">
        <v>-41955417</v>
      </c>
      <c r="G4127">
        <v>-16762132</v>
      </c>
      <c r="H4127">
        <v>-23669125</v>
      </c>
      <c r="I4127">
        <v>-64647348</v>
      </c>
      <c r="J4127">
        <v>14029252</v>
      </c>
      <c r="K4127">
        <v>-1368731</v>
      </c>
      <c r="L4127">
        <v>-55032173</v>
      </c>
      <c r="M4127">
        <v>-55613791</v>
      </c>
      <c r="N4127">
        <v>19346104</v>
      </c>
      <c r="P4127">
        <v>288</v>
      </c>
      <c r="Q4127" t="s">
        <v>8297</v>
      </c>
    </row>
    <row r="4128" spans="1:17" x14ac:dyDescent="0.3">
      <c r="A4128" t="s">
        <v>4382</v>
      </c>
      <c r="B4128" t="str">
        <f>"300372"</f>
        <v>300372</v>
      </c>
      <c r="C4128" t="s">
        <v>8298</v>
      </c>
      <c r="K4128">
        <v>-11579271.119999999</v>
      </c>
      <c r="L4128">
        <v>-136926921.83000001</v>
      </c>
      <c r="M4128">
        <v>-189246121.77000001</v>
      </c>
      <c r="N4128">
        <v>-45469156.530000001</v>
      </c>
      <c r="O4128">
        <v>-71411071.480000004</v>
      </c>
      <c r="P4128">
        <v>5</v>
      </c>
      <c r="Q4128" t="s">
        <v>8299</v>
      </c>
    </row>
    <row r="4129" spans="1:17" x14ac:dyDescent="0.3">
      <c r="A4129" t="s">
        <v>4382</v>
      </c>
      <c r="B4129" t="str">
        <f>"300373"</f>
        <v>300373</v>
      </c>
      <c r="C4129" t="s">
        <v>8300</v>
      </c>
      <c r="D4129" t="s">
        <v>150</v>
      </c>
      <c r="F4129">
        <v>-444018123</v>
      </c>
      <c r="G4129">
        <v>236769990</v>
      </c>
      <c r="H4129">
        <v>68312981</v>
      </c>
      <c r="I4129">
        <v>-164234860</v>
      </c>
      <c r="J4129">
        <v>5177686</v>
      </c>
      <c r="K4129">
        <v>-9264877</v>
      </c>
      <c r="L4129">
        <v>-62701026</v>
      </c>
      <c r="M4129">
        <v>-51327038</v>
      </c>
      <c r="N4129">
        <v>-5010790</v>
      </c>
      <c r="O4129">
        <v>-3852966</v>
      </c>
      <c r="P4129">
        <v>4305</v>
      </c>
      <c r="Q4129" t="s">
        <v>8301</v>
      </c>
    </row>
    <row r="4130" spans="1:17" x14ac:dyDescent="0.3">
      <c r="A4130" t="s">
        <v>4382</v>
      </c>
      <c r="B4130" t="str">
        <f>"300374"</f>
        <v>300374</v>
      </c>
      <c r="C4130" t="s">
        <v>8302</v>
      </c>
      <c r="D4130" t="s">
        <v>350</v>
      </c>
      <c r="F4130">
        <v>-125230089</v>
      </c>
      <c r="G4130">
        <v>-15254260</v>
      </c>
      <c r="H4130">
        <v>-41913101</v>
      </c>
      <c r="I4130">
        <v>-671520830</v>
      </c>
      <c r="J4130">
        <v>-275432046</v>
      </c>
      <c r="K4130">
        <v>-196529822</v>
      </c>
      <c r="L4130">
        <v>-184805888</v>
      </c>
      <c r="M4130">
        <v>-140987929</v>
      </c>
      <c r="P4130">
        <v>61</v>
      </c>
      <c r="Q4130" t="s">
        <v>8303</v>
      </c>
    </row>
    <row r="4131" spans="1:17" x14ac:dyDescent="0.3">
      <c r="A4131" t="s">
        <v>4382</v>
      </c>
      <c r="B4131" t="str">
        <f>"300375"</f>
        <v>300375</v>
      </c>
      <c r="C4131" t="s">
        <v>8304</v>
      </c>
      <c r="D4131" t="s">
        <v>27</v>
      </c>
      <c r="F4131">
        <v>15063221</v>
      </c>
      <c r="G4131">
        <v>120206032</v>
      </c>
      <c r="H4131">
        <v>148951686</v>
      </c>
      <c r="I4131">
        <v>-87608216</v>
      </c>
      <c r="J4131">
        <v>5747789</v>
      </c>
      <c r="K4131">
        <v>53495014</v>
      </c>
      <c r="L4131">
        <v>16294970</v>
      </c>
      <c r="M4131">
        <v>-101607459</v>
      </c>
      <c r="N4131">
        <v>-16603133</v>
      </c>
      <c r="P4131">
        <v>99</v>
      </c>
      <c r="Q4131" t="s">
        <v>8305</v>
      </c>
    </row>
    <row r="4132" spans="1:17" x14ac:dyDescent="0.3">
      <c r="A4132" t="s">
        <v>4382</v>
      </c>
      <c r="B4132" t="str">
        <f>"300376"</f>
        <v>300376</v>
      </c>
      <c r="C4132" t="s">
        <v>8306</v>
      </c>
      <c r="D4132" t="s">
        <v>188</v>
      </c>
      <c r="F4132">
        <v>32731006</v>
      </c>
      <c r="G4132">
        <v>411930687</v>
      </c>
      <c r="H4132">
        <v>-1031156540</v>
      </c>
      <c r="I4132">
        <v>136179676</v>
      </c>
      <c r="J4132">
        <v>-1619330899</v>
      </c>
      <c r="K4132">
        <v>-733993197</v>
      </c>
      <c r="L4132">
        <v>-94072116</v>
      </c>
      <c r="M4132">
        <v>-64759367</v>
      </c>
      <c r="P4132">
        <v>849</v>
      </c>
      <c r="Q4132" t="s">
        <v>8307</v>
      </c>
    </row>
    <row r="4133" spans="1:17" x14ac:dyDescent="0.3">
      <c r="A4133" t="s">
        <v>4382</v>
      </c>
      <c r="B4133" t="str">
        <f>"300377"</f>
        <v>300377</v>
      </c>
      <c r="C4133" t="s">
        <v>8308</v>
      </c>
      <c r="D4133" t="s">
        <v>212</v>
      </c>
      <c r="F4133">
        <v>-221940373</v>
      </c>
      <c r="G4133">
        <v>-454560</v>
      </c>
      <c r="H4133">
        <v>-71194932</v>
      </c>
      <c r="I4133">
        <v>-279879532</v>
      </c>
      <c r="J4133">
        <v>-457883904</v>
      </c>
      <c r="K4133">
        <v>-570051967</v>
      </c>
      <c r="L4133">
        <v>-53667926</v>
      </c>
      <c r="M4133">
        <v>-77045023</v>
      </c>
      <c r="N4133">
        <v>-31578549</v>
      </c>
      <c r="P4133">
        <v>3125</v>
      </c>
      <c r="Q4133" t="s">
        <v>8309</v>
      </c>
    </row>
    <row r="4134" spans="1:17" x14ac:dyDescent="0.3">
      <c r="A4134" t="s">
        <v>4382</v>
      </c>
      <c r="B4134" t="str">
        <f>"300378"</f>
        <v>300378</v>
      </c>
      <c r="C4134" t="s">
        <v>8310</v>
      </c>
      <c r="D4134" t="s">
        <v>212</v>
      </c>
      <c r="F4134">
        <v>74909138</v>
      </c>
      <c r="G4134">
        <v>36701421</v>
      </c>
      <c r="H4134">
        <v>-13910960</v>
      </c>
      <c r="I4134">
        <v>-86567345</v>
      </c>
      <c r="J4134">
        <v>14888980</v>
      </c>
      <c r="K4134">
        <v>-190594492</v>
      </c>
      <c r="L4134">
        <v>-222714771</v>
      </c>
      <c r="M4134">
        <v>-97097277</v>
      </c>
      <c r="N4134">
        <v>-47800263</v>
      </c>
      <c r="P4134">
        <v>197</v>
      </c>
      <c r="Q4134" t="s">
        <v>8311</v>
      </c>
    </row>
    <row r="4135" spans="1:17" x14ac:dyDescent="0.3">
      <c r="A4135" t="s">
        <v>4382</v>
      </c>
      <c r="B4135" t="str">
        <f>"300379"</f>
        <v>300379</v>
      </c>
      <c r="C4135" t="s">
        <v>8312</v>
      </c>
      <c r="D4135" t="s">
        <v>212</v>
      </c>
      <c r="F4135">
        <v>-60232432</v>
      </c>
      <c r="G4135">
        <v>11669354</v>
      </c>
      <c r="H4135">
        <v>-70424301</v>
      </c>
      <c r="I4135">
        <v>9034491</v>
      </c>
      <c r="J4135">
        <v>34529861</v>
      </c>
      <c r="K4135">
        <v>93796250</v>
      </c>
      <c r="L4135">
        <v>9641390</v>
      </c>
      <c r="M4135">
        <v>-20123590</v>
      </c>
      <c r="N4135">
        <v>-7547237</v>
      </c>
      <c r="P4135">
        <v>396</v>
      </c>
      <c r="Q4135" t="s">
        <v>8313</v>
      </c>
    </row>
    <row r="4136" spans="1:17" x14ac:dyDescent="0.3">
      <c r="A4136" t="s">
        <v>4382</v>
      </c>
      <c r="B4136" t="str">
        <f>"300380"</f>
        <v>300380</v>
      </c>
      <c r="C4136" t="s">
        <v>8314</v>
      </c>
      <c r="D4136" t="s">
        <v>212</v>
      </c>
      <c r="F4136">
        <v>-302585532</v>
      </c>
      <c r="G4136">
        <v>-115702633</v>
      </c>
      <c r="H4136">
        <v>-141122894</v>
      </c>
      <c r="I4136">
        <v>-145238497</v>
      </c>
      <c r="J4136">
        <v>-158735441</v>
      </c>
      <c r="K4136">
        <v>-151731569</v>
      </c>
      <c r="L4136">
        <v>-56392145</v>
      </c>
      <c r="M4136">
        <v>-38768816</v>
      </c>
      <c r="N4136">
        <v>-26325276</v>
      </c>
      <c r="O4136">
        <v>-8092804</v>
      </c>
      <c r="P4136">
        <v>85</v>
      </c>
      <c r="Q4136" t="s">
        <v>8315</v>
      </c>
    </row>
    <row r="4137" spans="1:17" x14ac:dyDescent="0.3">
      <c r="A4137" t="s">
        <v>4382</v>
      </c>
      <c r="B4137" t="str">
        <f>"300381"</f>
        <v>300381</v>
      </c>
      <c r="C4137" t="s">
        <v>8316</v>
      </c>
      <c r="D4137" t="s">
        <v>113</v>
      </c>
      <c r="F4137">
        <v>-15457545</v>
      </c>
      <c r="G4137">
        <v>34204249</v>
      </c>
      <c r="H4137">
        <v>-9327899</v>
      </c>
      <c r="I4137">
        <v>24077623</v>
      </c>
      <c r="J4137">
        <v>-165004185</v>
      </c>
      <c r="K4137">
        <v>-203692802</v>
      </c>
      <c r="L4137">
        <v>-62379433</v>
      </c>
      <c r="M4137">
        <v>-27247349</v>
      </c>
      <c r="N4137">
        <v>-27267155</v>
      </c>
      <c r="P4137">
        <v>160</v>
      </c>
      <c r="Q4137" t="s">
        <v>8317</v>
      </c>
    </row>
    <row r="4138" spans="1:17" x14ac:dyDescent="0.3">
      <c r="A4138" t="s">
        <v>4382</v>
      </c>
      <c r="B4138" t="str">
        <f>"300382"</f>
        <v>300382</v>
      </c>
      <c r="C4138" t="s">
        <v>8318</v>
      </c>
      <c r="D4138" t="s">
        <v>78</v>
      </c>
      <c r="F4138">
        <v>-21860963</v>
      </c>
      <c r="G4138">
        <v>-140029371</v>
      </c>
      <c r="H4138">
        <v>22540900</v>
      </c>
      <c r="I4138">
        <v>-181575519</v>
      </c>
      <c r="J4138">
        <v>-28331113</v>
      </c>
      <c r="K4138">
        <v>-37543744</v>
      </c>
      <c r="L4138">
        <v>-115888744</v>
      </c>
      <c r="M4138">
        <v>83226684</v>
      </c>
      <c r="N4138">
        <v>21316308</v>
      </c>
      <c r="P4138">
        <v>183</v>
      </c>
      <c r="Q4138" t="s">
        <v>8319</v>
      </c>
    </row>
    <row r="4139" spans="1:17" x14ac:dyDescent="0.3">
      <c r="A4139" t="s">
        <v>4382</v>
      </c>
      <c r="B4139" t="str">
        <f>"300383"</f>
        <v>300383</v>
      </c>
      <c r="C4139" t="s">
        <v>8320</v>
      </c>
      <c r="D4139" t="s">
        <v>212</v>
      </c>
      <c r="F4139">
        <v>-481994996</v>
      </c>
      <c r="G4139">
        <v>245420352</v>
      </c>
      <c r="H4139">
        <v>-205788353</v>
      </c>
      <c r="I4139">
        <v>-663160096</v>
      </c>
      <c r="J4139">
        <v>-408232287</v>
      </c>
      <c r="K4139">
        <v>-268938109</v>
      </c>
      <c r="L4139">
        <v>-52881618</v>
      </c>
      <c r="M4139">
        <v>-68557665</v>
      </c>
      <c r="N4139">
        <v>-39375355</v>
      </c>
      <c r="P4139">
        <v>2115</v>
      </c>
      <c r="Q4139" t="s">
        <v>8321</v>
      </c>
    </row>
    <row r="4140" spans="1:17" x14ac:dyDescent="0.3">
      <c r="A4140" t="s">
        <v>4382</v>
      </c>
      <c r="B4140" t="str">
        <f>"300384"</f>
        <v>300384</v>
      </c>
      <c r="C4140" t="s">
        <v>8322</v>
      </c>
      <c r="D4140" t="s">
        <v>95</v>
      </c>
      <c r="F4140">
        <v>98578790</v>
      </c>
      <c r="G4140">
        <v>162788264</v>
      </c>
      <c r="H4140">
        <v>117850694</v>
      </c>
      <c r="I4140">
        <v>62728179</v>
      </c>
      <c r="J4140">
        <v>-39818468</v>
      </c>
      <c r="K4140">
        <v>-58003316</v>
      </c>
      <c r="L4140">
        <v>-125778074</v>
      </c>
      <c r="M4140">
        <v>91458558</v>
      </c>
      <c r="N4140">
        <v>3126685</v>
      </c>
      <c r="P4140">
        <v>165</v>
      </c>
      <c r="Q4140" t="s">
        <v>8323</v>
      </c>
    </row>
    <row r="4141" spans="1:17" x14ac:dyDescent="0.3">
      <c r="A4141" t="s">
        <v>4382</v>
      </c>
      <c r="B4141" t="str">
        <f>"300385"</f>
        <v>300385</v>
      </c>
      <c r="C4141" t="s">
        <v>8324</v>
      </c>
      <c r="D4141" t="s">
        <v>33</v>
      </c>
      <c r="F4141">
        <v>-110465627</v>
      </c>
      <c r="G4141">
        <v>-80266067</v>
      </c>
      <c r="H4141">
        <v>-124807497</v>
      </c>
      <c r="I4141">
        <v>-18704228</v>
      </c>
      <c r="J4141">
        <v>-33172462</v>
      </c>
      <c r="K4141">
        <v>-136031211</v>
      </c>
      <c r="L4141">
        <v>-16501129</v>
      </c>
      <c r="M4141">
        <v>-103552018</v>
      </c>
      <c r="N4141">
        <v>24836971</v>
      </c>
      <c r="P4141">
        <v>92</v>
      </c>
      <c r="Q4141" t="s">
        <v>8325</v>
      </c>
    </row>
    <row r="4142" spans="1:17" x14ac:dyDescent="0.3">
      <c r="A4142" t="s">
        <v>4382</v>
      </c>
      <c r="B4142" t="str">
        <f>"300386"</f>
        <v>300386</v>
      </c>
      <c r="C4142" t="s">
        <v>8326</v>
      </c>
      <c r="D4142" t="s">
        <v>212</v>
      </c>
      <c r="F4142">
        <v>-165281491</v>
      </c>
      <c r="G4142">
        <v>-164329171</v>
      </c>
      <c r="H4142">
        <v>-85530916</v>
      </c>
      <c r="I4142">
        <v>-246418841</v>
      </c>
      <c r="J4142">
        <v>-187776975</v>
      </c>
      <c r="K4142">
        <v>-152213927</v>
      </c>
      <c r="L4142">
        <v>-88908295</v>
      </c>
      <c r="M4142">
        <v>-51252036</v>
      </c>
      <c r="N4142">
        <v>-8699755</v>
      </c>
      <c r="P4142">
        <v>188</v>
      </c>
      <c r="Q4142" t="s">
        <v>8327</v>
      </c>
    </row>
    <row r="4143" spans="1:17" x14ac:dyDescent="0.3">
      <c r="A4143" t="s">
        <v>4382</v>
      </c>
      <c r="B4143" t="str">
        <f>"300387"</f>
        <v>300387</v>
      </c>
      <c r="C4143" t="s">
        <v>8328</v>
      </c>
      <c r="D4143" t="s">
        <v>133</v>
      </c>
      <c r="F4143">
        <v>38213950</v>
      </c>
      <c r="G4143">
        <v>-10863315</v>
      </c>
      <c r="H4143">
        <v>-28291833</v>
      </c>
      <c r="I4143">
        <v>60307035</v>
      </c>
      <c r="J4143">
        <v>18484181</v>
      </c>
      <c r="K4143">
        <v>69478825</v>
      </c>
      <c r="L4143">
        <v>24007398</v>
      </c>
      <c r="M4143">
        <v>-34587536</v>
      </c>
      <c r="N4143">
        <v>-43115530</v>
      </c>
      <c r="P4143">
        <v>89</v>
      </c>
      <c r="Q4143" t="s">
        <v>8329</v>
      </c>
    </row>
    <row r="4144" spans="1:17" x14ac:dyDescent="0.3">
      <c r="A4144" t="s">
        <v>4382</v>
      </c>
      <c r="B4144" t="str">
        <f>"300388"</f>
        <v>300388</v>
      </c>
      <c r="C4144" t="s">
        <v>8330</v>
      </c>
      <c r="D4144" t="s">
        <v>33</v>
      </c>
      <c r="F4144">
        <v>-119999961</v>
      </c>
      <c r="G4144">
        <v>-286154561</v>
      </c>
      <c r="H4144">
        <v>-2024636560</v>
      </c>
      <c r="I4144">
        <v>-639204196</v>
      </c>
      <c r="J4144">
        <v>-549837081</v>
      </c>
      <c r="K4144">
        <v>-660108026</v>
      </c>
      <c r="L4144">
        <v>-297480433</v>
      </c>
      <c r="M4144">
        <v>36815756</v>
      </c>
      <c r="N4144">
        <v>-199157698</v>
      </c>
      <c r="P4144">
        <v>225</v>
      </c>
      <c r="Q4144" t="s">
        <v>8331</v>
      </c>
    </row>
    <row r="4145" spans="1:17" x14ac:dyDescent="0.3">
      <c r="A4145" t="s">
        <v>4382</v>
      </c>
      <c r="B4145" t="str">
        <f>"300389"</f>
        <v>300389</v>
      </c>
      <c r="C4145" t="s">
        <v>8332</v>
      </c>
      <c r="D4145" t="s">
        <v>150</v>
      </c>
      <c r="F4145">
        <v>99884028</v>
      </c>
      <c r="G4145">
        <v>-135724813</v>
      </c>
      <c r="H4145">
        <v>100777018</v>
      </c>
      <c r="I4145">
        <v>39906965</v>
      </c>
      <c r="J4145">
        <v>122883502</v>
      </c>
      <c r="K4145">
        <v>-125045799</v>
      </c>
      <c r="L4145">
        <v>-114619917</v>
      </c>
      <c r="M4145">
        <v>55525266</v>
      </c>
      <c r="N4145">
        <v>56418910</v>
      </c>
      <c r="P4145">
        <v>198</v>
      </c>
      <c r="Q4145" t="s">
        <v>8333</v>
      </c>
    </row>
    <row r="4146" spans="1:17" x14ac:dyDescent="0.3">
      <c r="A4146" t="s">
        <v>4382</v>
      </c>
      <c r="B4146" t="str">
        <f>"300390"</f>
        <v>300390</v>
      </c>
      <c r="C4146" t="s">
        <v>8334</v>
      </c>
      <c r="D4146" t="s">
        <v>150</v>
      </c>
      <c r="F4146">
        <v>-822233006</v>
      </c>
      <c r="G4146">
        <v>293690347</v>
      </c>
      <c r="H4146">
        <v>70143762</v>
      </c>
      <c r="I4146">
        <v>42958264</v>
      </c>
      <c r="J4146">
        <v>-11826566</v>
      </c>
      <c r="K4146">
        <v>-36165993</v>
      </c>
      <c r="L4146">
        <v>-53897267</v>
      </c>
      <c r="M4146">
        <v>-20266825</v>
      </c>
      <c r="N4146">
        <v>8989073</v>
      </c>
      <c r="P4146">
        <v>460</v>
      </c>
      <c r="Q4146" t="s">
        <v>8335</v>
      </c>
    </row>
    <row r="4147" spans="1:17" x14ac:dyDescent="0.3">
      <c r="A4147" t="s">
        <v>4382</v>
      </c>
      <c r="B4147" t="str">
        <f>"300391"</f>
        <v>300391</v>
      </c>
      <c r="C4147" t="s">
        <v>8336</v>
      </c>
      <c r="D4147" t="s">
        <v>27</v>
      </c>
      <c r="F4147">
        <v>143803969</v>
      </c>
      <c r="G4147">
        <v>-15169982</v>
      </c>
      <c r="H4147">
        <v>58706985</v>
      </c>
      <c r="I4147">
        <v>100863510</v>
      </c>
      <c r="J4147">
        <v>10846348</v>
      </c>
      <c r="K4147">
        <v>-13550602</v>
      </c>
      <c r="L4147">
        <v>-11924690</v>
      </c>
      <c r="M4147">
        <v>-63472142</v>
      </c>
      <c r="N4147">
        <v>-43017597</v>
      </c>
      <c r="P4147">
        <v>80</v>
      </c>
      <c r="Q4147" t="s">
        <v>8337</v>
      </c>
    </row>
    <row r="4148" spans="1:17" x14ac:dyDescent="0.3">
      <c r="A4148" t="s">
        <v>4382</v>
      </c>
      <c r="B4148" t="str">
        <f>"300392"</f>
        <v>300392</v>
      </c>
      <c r="C4148" t="s">
        <v>8338</v>
      </c>
      <c r="D4148" t="s">
        <v>89</v>
      </c>
      <c r="F4148">
        <v>-320432674</v>
      </c>
      <c r="G4148">
        <v>91614549</v>
      </c>
      <c r="H4148">
        <v>-237899800</v>
      </c>
      <c r="I4148">
        <v>-86157959</v>
      </c>
      <c r="J4148">
        <v>-48693751</v>
      </c>
      <c r="K4148">
        <v>166530124</v>
      </c>
      <c r="L4148">
        <v>-133133036</v>
      </c>
      <c r="M4148">
        <v>-78329358</v>
      </c>
      <c r="N4148">
        <v>7699187</v>
      </c>
      <c r="P4148">
        <v>66</v>
      </c>
      <c r="Q4148" t="s">
        <v>8339</v>
      </c>
    </row>
    <row r="4149" spans="1:17" x14ac:dyDescent="0.3">
      <c r="A4149" t="s">
        <v>4382</v>
      </c>
      <c r="B4149" t="str">
        <f>"300393"</f>
        <v>300393</v>
      </c>
      <c r="C4149" t="s">
        <v>8340</v>
      </c>
      <c r="D4149" t="s">
        <v>188</v>
      </c>
      <c r="F4149">
        <v>-92080892</v>
      </c>
      <c r="G4149">
        <v>-302787234</v>
      </c>
      <c r="H4149">
        <v>-472482222</v>
      </c>
      <c r="I4149">
        <v>-194985918</v>
      </c>
      <c r="J4149">
        <v>-1054934464</v>
      </c>
      <c r="K4149">
        <v>-291302463</v>
      </c>
      <c r="L4149">
        <v>-261438555</v>
      </c>
      <c r="M4149">
        <v>-24430906</v>
      </c>
      <c r="N4149">
        <v>13763337</v>
      </c>
      <c r="P4149">
        <v>304</v>
      </c>
      <c r="Q4149" t="s">
        <v>8341</v>
      </c>
    </row>
    <row r="4150" spans="1:17" x14ac:dyDescent="0.3">
      <c r="A4150" t="s">
        <v>4382</v>
      </c>
      <c r="B4150" t="str">
        <f>"300394"</f>
        <v>300394</v>
      </c>
      <c r="C4150" t="s">
        <v>8342</v>
      </c>
      <c r="D4150" t="s">
        <v>100</v>
      </c>
      <c r="F4150">
        <v>190723319</v>
      </c>
      <c r="G4150">
        <v>96428559</v>
      </c>
      <c r="H4150">
        <v>32016044</v>
      </c>
      <c r="I4150">
        <v>59770669</v>
      </c>
      <c r="J4150">
        <v>1602704</v>
      </c>
      <c r="K4150">
        <v>38506072</v>
      </c>
      <c r="L4150">
        <v>22377456</v>
      </c>
      <c r="M4150">
        <v>28335871</v>
      </c>
      <c r="P4150">
        <v>804</v>
      </c>
      <c r="Q4150" t="s">
        <v>8343</v>
      </c>
    </row>
    <row r="4151" spans="1:17" x14ac:dyDescent="0.3">
      <c r="A4151" t="s">
        <v>4382</v>
      </c>
      <c r="B4151" t="str">
        <f>"300395"</f>
        <v>300395</v>
      </c>
      <c r="C4151" t="s">
        <v>8344</v>
      </c>
      <c r="D4151" t="s">
        <v>92</v>
      </c>
      <c r="F4151">
        <v>-62688528</v>
      </c>
      <c r="G4151">
        <v>-65758199</v>
      </c>
      <c r="H4151">
        <v>6551386</v>
      </c>
      <c r="I4151">
        <v>-55022813</v>
      </c>
      <c r="J4151">
        <v>1317634</v>
      </c>
      <c r="K4151">
        <v>-67138984</v>
      </c>
      <c r="L4151">
        <v>-3714179</v>
      </c>
      <c r="M4151">
        <v>8351634</v>
      </c>
      <c r="N4151">
        <v>19565326</v>
      </c>
      <c r="P4151">
        <v>553</v>
      </c>
      <c r="Q4151" t="s">
        <v>8345</v>
      </c>
    </row>
    <row r="4152" spans="1:17" x14ac:dyDescent="0.3">
      <c r="A4152" t="s">
        <v>4382</v>
      </c>
      <c r="B4152" t="str">
        <f>"300396"</f>
        <v>300396</v>
      </c>
      <c r="C4152" t="s">
        <v>8346</v>
      </c>
      <c r="D4152" t="s">
        <v>113</v>
      </c>
      <c r="F4152">
        <v>38486793</v>
      </c>
      <c r="G4152">
        <v>149109360</v>
      </c>
      <c r="H4152">
        <v>194671211</v>
      </c>
      <c r="I4152">
        <v>144898942</v>
      </c>
      <c r="J4152">
        <v>151113376</v>
      </c>
      <c r="K4152">
        <v>82248449</v>
      </c>
      <c r="L4152">
        <v>55952095</v>
      </c>
      <c r="M4152">
        <v>42818826</v>
      </c>
      <c r="N4152">
        <v>52594721</v>
      </c>
      <c r="P4152">
        <v>360</v>
      </c>
      <c r="Q4152" t="s">
        <v>8347</v>
      </c>
    </row>
    <row r="4153" spans="1:17" x14ac:dyDescent="0.3">
      <c r="A4153" t="s">
        <v>4382</v>
      </c>
      <c r="B4153" t="str">
        <f>"300397"</f>
        <v>300397</v>
      </c>
      <c r="C4153" t="s">
        <v>8348</v>
      </c>
      <c r="D4153" t="s">
        <v>92</v>
      </c>
      <c r="F4153">
        <v>-53899753</v>
      </c>
      <c r="G4153">
        <v>172310771</v>
      </c>
      <c r="H4153">
        <v>-98153284</v>
      </c>
      <c r="I4153">
        <v>-307449571</v>
      </c>
      <c r="J4153">
        <v>-40674315</v>
      </c>
      <c r="K4153">
        <v>-154327690</v>
      </c>
      <c r="L4153">
        <v>-155022207</v>
      </c>
      <c r="M4153">
        <v>-33391352</v>
      </c>
      <c r="N4153">
        <v>-7959669</v>
      </c>
      <c r="P4153">
        <v>232</v>
      </c>
      <c r="Q4153" t="s">
        <v>8349</v>
      </c>
    </row>
    <row r="4154" spans="1:17" x14ac:dyDescent="0.3">
      <c r="A4154" t="s">
        <v>4382</v>
      </c>
      <c r="B4154" t="str">
        <f>"300398"</f>
        <v>300398</v>
      </c>
      <c r="C4154" t="s">
        <v>8350</v>
      </c>
      <c r="D4154" t="s">
        <v>150</v>
      </c>
      <c r="F4154">
        <v>119199546</v>
      </c>
      <c r="G4154">
        <v>-174473169</v>
      </c>
      <c r="H4154">
        <v>-64893600</v>
      </c>
      <c r="I4154">
        <v>-58074225</v>
      </c>
      <c r="J4154">
        <v>-78800210</v>
      </c>
      <c r="K4154">
        <v>-90666869</v>
      </c>
      <c r="L4154">
        <v>-52522737</v>
      </c>
      <c r="M4154">
        <v>-1466194</v>
      </c>
      <c r="N4154">
        <v>-15216128</v>
      </c>
      <c r="P4154">
        <v>244</v>
      </c>
      <c r="Q4154" t="s">
        <v>8351</v>
      </c>
    </row>
    <row r="4155" spans="1:17" x14ac:dyDescent="0.3">
      <c r="A4155" t="s">
        <v>4382</v>
      </c>
      <c r="B4155" t="str">
        <f>"300399"</f>
        <v>300399</v>
      </c>
      <c r="C4155" t="s">
        <v>8352</v>
      </c>
      <c r="D4155" t="s">
        <v>212</v>
      </c>
      <c r="F4155">
        <v>-73526476</v>
      </c>
      <c r="G4155">
        <v>-18089924</v>
      </c>
      <c r="H4155">
        <v>-27240067</v>
      </c>
      <c r="I4155">
        <v>-49232119</v>
      </c>
      <c r="J4155">
        <v>-17042107</v>
      </c>
      <c r="K4155">
        <v>3083816</v>
      </c>
      <c r="L4155">
        <v>-20988291</v>
      </c>
      <c r="M4155">
        <v>-13579071</v>
      </c>
      <c r="N4155">
        <v>-13400110</v>
      </c>
      <c r="P4155">
        <v>80</v>
      </c>
      <c r="Q4155" t="s">
        <v>8353</v>
      </c>
    </row>
    <row r="4156" spans="1:17" x14ac:dyDescent="0.3">
      <c r="A4156" t="s">
        <v>4382</v>
      </c>
      <c r="B4156" t="str">
        <f>"300400"</f>
        <v>300400</v>
      </c>
      <c r="C4156" t="s">
        <v>8354</v>
      </c>
      <c r="D4156" t="s">
        <v>78</v>
      </c>
      <c r="F4156">
        <v>73099695</v>
      </c>
      <c r="G4156">
        <v>183085312</v>
      </c>
      <c r="H4156">
        <v>-61950191</v>
      </c>
      <c r="I4156">
        <v>-52574663</v>
      </c>
      <c r="J4156">
        <v>3331135</v>
      </c>
      <c r="K4156">
        <v>-766586</v>
      </c>
      <c r="L4156">
        <v>24544281</v>
      </c>
      <c r="M4156">
        <v>15160192</v>
      </c>
      <c r="N4156">
        <v>26318490</v>
      </c>
      <c r="P4156">
        <v>273</v>
      </c>
      <c r="Q4156" t="s">
        <v>8355</v>
      </c>
    </row>
    <row r="4157" spans="1:17" x14ac:dyDescent="0.3">
      <c r="A4157" t="s">
        <v>4382</v>
      </c>
      <c r="B4157" t="str">
        <f>"300401"</f>
        <v>300401</v>
      </c>
      <c r="C4157" t="s">
        <v>8356</v>
      </c>
      <c r="D4157" t="s">
        <v>113</v>
      </c>
      <c r="F4157">
        <v>-209404459</v>
      </c>
      <c r="G4157">
        <v>-62071988</v>
      </c>
      <c r="H4157">
        <v>97785966</v>
      </c>
      <c r="I4157">
        <v>35436253</v>
      </c>
      <c r="J4157">
        <v>63131231</v>
      </c>
      <c r="K4157">
        <v>17568091</v>
      </c>
      <c r="L4157">
        <v>-45771407</v>
      </c>
      <c r="M4157">
        <v>-69610680</v>
      </c>
      <c r="N4157">
        <v>40042120</v>
      </c>
      <c r="P4157">
        <v>476</v>
      </c>
      <c r="Q4157" t="s">
        <v>8357</v>
      </c>
    </row>
    <row r="4158" spans="1:17" x14ac:dyDescent="0.3">
      <c r="A4158" t="s">
        <v>4382</v>
      </c>
      <c r="B4158" t="str">
        <f>"300402"</f>
        <v>300402</v>
      </c>
      <c r="C4158" t="s">
        <v>8358</v>
      </c>
      <c r="D4158" t="s">
        <v>78</v>
      </c>
      <c r="F4158">
        <v>174033318</v>
      </c>
      <c r="G4158">
        <v>161995587</v>
      </c>
      <c r="H4158">
        <v>217395123</v>
      </c>
      <c r="I4158">
        <v>-66983832</v>
      </c>
      <c r="J4158">
        <v>34844448</v>
      </c>
      <c r="K4158">
        <v>-76078364</v>
      </c>
      <c r="L4158">
        <v>-41507728</v>
      </c>
      <c r="M4158">
        <v>42372239</v>
      </c>
      <c r="N4158">
        <v>-19885847</v>
      </c>
      <c r="P4158">
        <v>101</v>
      </c>
      <c r="Q4158" t="s">
        <v>8359</v>
      </c>
    </row>
    <row r="4159" spans="1:17" x14ac:dyDescent="0.3">
      <c r="A4159" t="s">
        <v>4382</v>
      </c>
      <c r="B4159" t="str">
        <f>"300403"</f>
        <v>300403</v>
      </c>
      <c r="C4159" t="s">
        <v>8360</v>
      </c>
      <c r="D4159" t="s">
        <v>126</v>
      </c>
      <c r="F4159">
        <v>-17332135</v>
      </c>
      <c r="G4159">
        <v>63930983</v>
      </c>
      <c r="H4159">
        <v>36522383</v>
      </c>
      <c r="I4159">
        <v>-64480680</v>
      </c>
      <c r="J4159">
        <v>36854774</v>
      </c>
      <c r="K4159">
        <v>55493259</v>
      </c>
      <c r="L4159">
        <v>13789035</v>
      </c>
      <c r="M4159">
        <v>28391501</v>
      </c>
      <c r="N4159">
        <v>10662182</v>
      </c>
      <c r="P4159">
        <v>253</v>
      </c>
      <c r="Q4159" t="s">
        <v>8361</v>
      </c>
    </row>
    <row r="4160" spans="1:17" x14ac:dyDescent="0.3">
      <c r="A4160" t="s">
        <v>4382</v>
      </c>
      <c r="B4160" t="str">
        <f>"300404"</f>
        <v>300404</v>
      </c>
      <c r="C4160" t="s">
        <v>8362</v>
      </c>
      <c r="D4160" t="s">
        <v>113</v>
      </c>
      <c r="F4160">
        <v>-24026488</v>
      </c>
      <c r="G4160">
        <v>30308766</v>
      </c>
      <c r="H4160">
        <v>-16882077</v>
      </c>
      <c r="I4160">
        <v>-29231983</v>
      </c>
      <c r="J4160">
        <v>-43316029</v>
      </c>
      <c r="K4160">
        <v>-94453492</v>
      </c>
      <c r="L4160">
        <v>-11131560</v>
      </c>
      <c r="M4160">
        <v>-38047422</v>
      </c>
      <c r="P4160">
        <v>150</v>
      </c>
      <c r="Q4160" t="s">
        <v>8363</v>
      </c>
    </row>
    <row r="4161" spans="1:17" x14ac:dyDescent="0.3">
      <c r="A4161" t="s">
        <v>4382</v>
      </c>
      <c r="B4161" t="str">
        <f>"300405"</f>
        <v>300405</v>
      </c>
      <c r="C4161" t="s">
        <v>8364</v>
      </c>
      <c r="D4161" t="s">
        <v>133</v>
      </c>
      <c r="F4161">
        <v>39502821</v>
      </c>
      <c r="G4161">
        <v>-44553158</v>
      </c>
      <c r="H4161">
        <v>-33702847</v>
      </c>
      <c r="I4161">
        <v>-39194042</v>
      </c>
      <c r="J4161">
        <v>-33690978</v>
      </c>
      <c r="K4161">
        <v>6219795</v>
      </c>
      <c r="L4161">
        <v>-44335919</v>
      </c>
      <c r="M4161">
        <v>-45977800</v>
      </c>
      <c r="N4161">
        <v>3373979</v>
      </c>
      <c r="P4161">
        <v>59</v>
      </c>
      <c r="Q4161" t="s">
        <v>8365</v>
      </c>
    </row>
    <row r="4162" spans="1:17" x14ac:dyDescent="0.3">
      <c r="A4162" t="s">
        <v>4382</v>
      </c>
      <c r="B4162" t="str">
        <f>"300406"</f>
        <v>300406</v>
      </c>
      <c r="C4162" t="s">
        <v>8366</v>
      </c>
      <c r="D4162" t="s">
        <v>113</v>
      </c>
      <c r="F4162">
        <v>145146892</v>
      </c>
      <c r="G4162">
        <v>6468683</v>
      </c>
      <c r="H4162">
        <v>53333407</v>
      </c>
      <c r="I4162">
        <v>102619203</v>
      </c>
      <c r="J4162">
        <v>100242010</v>
      </c>
      <c r="K4162">
        <v>98759731</v>
      </c>
      <c r="L4162">
        <v>45267925</v>
      </c>
      <c r="M4162">
        <v>86325453</v>
      </c>
      <c r="N4162">
        <v>59281161</v>
      </c>
      <c r="P4162">
        <v>14631</v>
      </c>
      <c r="Q4162" t="s">
        <v>8367</v>
      </c>
    </row>
    <row r="4163" spans="1:17" x14ac:dyDescent="0.3">
      <c r="A4163" t="s">
        <v>4382</v>
      </c>
      <c r="B4163" t="str">
        <f>"300407"</f>
        <v>300407</v>
      </c>
      <c r="C4163" t="s">
        <v>8368</v>
      </c>
      <c r="D4163" t="s">
        <v>188</v>
      </c>
      <c r="F4163">
        <v>-152321449</v>
      </c>
      <c r="G4163">
        <v>26707886</v>
      </c>
      <c r="H4163">
        <v>-39061458</v>
      </c>
      <c r="I4163">
        <v>-217983398</v>
      </c>
      <c r="J4163">
        <v>-230202380</v>
      </c>
      <c r="K4163">
        <v>-278313333</v>
      </c>
      <c r="L4163">
        <v>-93937090</v>
      </c>
      <c r="M4163">
        <v>-10370233</v>
      </c>
      <c r="N4163">
        <v>-63308073</v>
      </c>
      <c r="P4163">
        <v>132</v>
      </c>
      <c r="Q4163" t="s">
        <v>8369</v>
      </c>
    </row>
    <row r="4164" spans="1:17" x14ac:dyDescent="0.3">
      <c r="A4164" t="s">
        <v>4382</v>
      </c>
      <c r="B4164" t="str">
        <f>"300408"</f>
        <v>300408</v>
      </c>
      <c r="C4164" t="s">
        <v>8370</v>
      </c>
      <c r="D4164" t="s">
        <v>150</v>
      </c>
      <c r="F4164">
        <v>-628813423</v>
      </c>
      <c r="G4164">
        <v>25296206</v>
      </c>
      <c r="H4164">
        <v>1044701739</v>
      </c>
      <c r="I4164">
        <v>371204047</v>
      </c>
      <c r="J4164">
        <v>190061902</v>
      </c>
      <c r="K4164">
        <v>331384083</v>
      </c>
      <c r="L4164">
        <v>155635288</v>
      </c>
      <c r="M4164">
        <v>326105475</v>
      </c>
      <c r="P4164">
        <v>1510</v>
      </c>
      <c r="Q4164" t="s">
        <v>8371</v>
      </c>
    </row>
    <row r="4165" spans="1:17" x14ac:dyDescent="0.3">
      <c r="A4165" t="s">
        <v>4382</v>
      </c>
      <c r="B4165" t="str">
        <f>"300409"</f>
        <v>300409</v>
      </c>
      <c r="C4165" t="s">
        <v>8372</v>
      </c>
      <c r="D4165" t="s">
        <v>188</v>
      </c>
      <c r="F4165">
        <v>-248025137</v>
      </c>
      <c r="G4165">
        <v>171506719</v>
      </c>
      <c r="H4165">
        <v>409954304</v>
      </c>
      <c r="I4165">
        <v>-176361515</v>
      </c>
      <c r="J4165">
        <v>-348316840</v>
      </c>
      <c r="K4165">
        <v>-76721344</v>
      </c>
      <c r="L4165">
        <v>-172100717</v>
      </c>
      <c r="M4165">
        <v>-3892856</v>
      </c>
      <c r="P4165">
        <v>241</v>
      </c>
      <c r="Q4165" t="s">
        <v>8373</v>
      </c>
    </row>
    <row r="4166" spans="1:17" x14ac:dyDescent="0.3">
      <c r="A4166" t="s">
        <v>4382</v>
      </c>
      <c r="B4166" t="str">
        <f>"300410"</f>
        <v>300410</v>
      </c>
      <c r="C4166" t="s">
        <v>8374</v>
      </c>
      <c r="D4166" t="s">
        <v>78</v>
      </c>
      <c r="F4166">
        <v>26046036</v>
      </c>
      <c r="G4166">
        <v>-69816294</v>
      </c>
      <c r="H4166">
        <v>-142833400</v>
      </c>
      <c r="I4166">
        <v>-85242973</v>
      </c>
      <c r="J4166">
        <v>-95977187</v>
      </c>
      <c r="K4166">
        <v>46869463</v>
      </c>
      <c r="L4166">
        <v>-59668874</v>
      </c>
      <c r="M4166">
        <v>-17951185</v>
      </c>
      <c r="N4166">
        <v>3135951</v>
      </c>
      <c r="P4166">
        <v>215</v>
      </c>
      <c r="Q4166" t="s">
        <v>8375</v>
      </c>
    </row>
    <row r="4167" spans="1:17" x14ac:dyDescent="0.3">
      <c r="A4167" t="s">
        <v>4382</v>
      </c>
      <c r="B4167" t="str">
        <f>"300411"</f>
        <v>300411</v>
      </c>
      <c r="C4167" t="s">
        <v>8376</v>
      </c>
      <c r="D4167" t="s">
        <v>78</v>
      </c>
      <c r="F4167">
        <v>-142403232</v>
      </c>
      <c r="G4167">
        <v>42374334</v>
      </c>
      <c r="H4167">
        <v>-158312409</v>
      </c>
      <c r="I4167">
        <v>-266339369</v>
      </c>
      <c r="J4167">
        <v>-98217029</v>
      </c>
      <c r="K4167">
        <v>-25717139</v>
      </c>
      <c r="L4167">
        <v>-122175170</v>
      </c>
      <c r="M4167">
        <v>-49358122</v>
      </c>
      <c r="P4167">
        <v>73</v>
      </c>
      <c r="Q4167" t="s">
        <v>8377</v>
      </c>
    </row>
    <row r="4168" spans="1:17" x14ac:dyDescent="0.3">
      <c r="A4168" t="s">
        <v>4382</v>
      </c>
      <c r="B4168" t="str">
        <f>"300412"</f>
        <v>300412</v>
      </c>
      <c r="C4168" t="s">
        <v>8378</v>
      </c>
      <c r="D4168" t="s">
        <v>78</v>
      </c>
      <c r="F4168">
        <v>-126455267</v>
      </c>
      <c r="G4168">
        <v>-46806889</v>
      </c>
      <c r="H4168">
        <v>-5173398</v>
      </c>
      <c r="I4168">
        <v>-44310620</v>
      </c>
      <c r="J4168">
        <v>-79086557</v>
      </c>
      <c r="K4168">
        <v>-23602577</v>
      </c>
      <c r="L4168">
        <v>8476520</v>
      </c>
      <c r="M4168">
        <v>14347729</v>
      </c>
      <c r="N4168">
        <v>1552190</v>
      </c>
      <c r="P4168">
        <v>96</v>
      </c>
      <c r="Q4168" t="s">
        <v>8379</v>
      </c>
    </row>
    <row r="4169" spans="1:17" x14ac:dyDescent="0.3">
      <c r="A4169" t="s">
        <v>4382</v>
      </c>
      <c r="B4169" t="str">
        <f>"300413"</f>
        <v>300413</v>
      </c>
      <c r="C4169" t="s">
        <v>8380</v>
      </c>
      <c r="D4169" t="s">
        <v>89</v>
      </c>
      <c r="F4169">
        <v>182206927</v>
      </c>
      <c r="G4169">
        <v>308284106</v>
      </c>
      <c r="H4169">
        <v>-478471829</v>
      </c>
      <c r="I4169">
        <v>-968888423</v>
      </c>
      <c r="J4169">
        <v>-161532869</v>
      </c>
      <c r="K4169">
        <v>137289219</v>
      </c>
      <c r="L4169">
        <v>-52965487</v>
      </c>
      <c r="M4169">
        <v>36022524</v>
      </c>
      <c r="P4169">
        <v>1145</v>
      </c>
      <c r="Q4169" t="s">
        <v>8381</v>
      </c>
    </row>
    <row r="4170" spans="1:17" x14ac:dyDescent="0.3">
      <c r="A4170" t="s">
        <v>4382</v>
      </c>
      <c r="B4170" t="str">
        <f>"300414"</f>
        <v>300414</v>
      </c>
      <c r="C4170" t="s">
        <v>8382</v>
      </c>
      <c r="D4170" t="s">
        <v>100</v>
      </c>
      <c r="F4170">
        <v>-82332706</v>
      </c>
      <c r="G4170">
        <v>-25557741</v>
      </c>
      <c r="H4170">
        <v>-1282342</v>
      </c>
      <c r="I4170">
        <v>10463392</v>
      </c>
      <c r="J4170">
        <v>-35443183</v>
      </c>
      <c r="K4170">
        <v>37945966</v>
      </c>
      <c r="L4170">
        <v>42688760</v>
      </c>
      <c r="M4170">
        <v>64102263</v>
      </c>
      <c r="P4170">
        <v>219</v>
      </c>
      <c r="Q4170" t="s">
        <v>8383</v>
      </c>
    </row>
    <row r="4171" spans="1:17" x14ac:dyDescent="0.3">
      <c r="A4171" t="s">
        <v>4382</v>
      </c>
      <c r="B4171" t="str">
        <f>"300415"</f>
        <v>300415</v>
      </c>
      <c r="C4171" t="s">
        <v>8384</v>
      </c>
      <c r="D4171" t="s">
        <v>78</v>
      </c>
      <c r="F4171">
        <v>75294334</v>
      </c>
      <c r="G4171">
        <v>-10955558</v>
      </c>
      <c r="H4171">
        <v>-24624458</v>
      </c>
      <c r="I4171">
        <v>-69971919</v>
      </c>
      <c r="J4171">
        <v>-20764811</v>
      </c>
      <c r="K4171">
        <v>39712602</v>
      </c>
      <c r="L4171">
        <v>-38233864</v>
      </c>
      <c r="M4171">
        <v>-192108059</v>
      </c>
      <c r="P4171">
        <v>549</v>
      </c>
      <c r="Q4171" t="s">
        <v>8385</v>
      </c>
    </row>
    <row r="4172" spans="1:17" x14ac:dyDescent="0.3">
      <c r="A4172" t="s">
        <v>4382</v>
      </c>
      <c r="B4172" t="str">
        <f>"300416"</f>
        <v>300416</v>
      </c>
      <c r="C4172" t="s">
        <v>8386</v>
      </c>
      <c r="D4172" t="s">
        <v>78</v>
      </c>
      <c r="F4172">
        <v>-148050484</v>
      </c>
      <c r="G4172">
        <v>-131286836</v>
      </c>
      <c r="H4172">
        <v>-158702386</v>
      </c>
      <c r="I4172">
        <v>-85272267</v>
      </c>
      <c r="J4172">
        <v>-93477392</v>
      </c>
      <c r="K4172">
        <v>-73735092</v>
      </c>
      <c r="L4172">
        <v>-89983861</v>
      </c>
      <c r="M4172">
        <v>-49825137</v>
      </c>
      <c r="P4172">
        <v>306</v>
      </c>
      <c r="Q4172" t="s">
        <v>8387</v>
      </c>
    </row>
    <row r="4173" spans="1:17" x14ac:dyDescent="0.3">
      <c r="A4173" t="s">
        <v>4382</v>
      </c>
      <c r="B4173" t="str">
        <f>"300417"</f>
        <v>300417</v>
      </c>
      <c r="C4173" t="s">
        <v>8388</v>
      </c>
      <c r="D4173" t="s">
        <v>78</v>
      </c>
      <c r="F4173">
        <v>-20238002</v>
      </c>
      <c r="G4173">
        <v>-25430110</v>
      </c>
      <c r="H4173">
        <v>221919695</v>
      </c>
      <c r="I4173">
        <v>-19851093</v>
      </c>
      <c r="J4173">
        <v>-15897053</v>
      </c>
      <c r="K4173">
        <v>8429739</v>
      </c>
      <c r="L4173">
        <v>-5463938</v>
      </c>
      <c r="M4173">
        <v>-10905335</v>
      </c>
      <c r="P4173">
        <v>196</v>
      </c>
      <c r="Q4173" t="s">
        <v>8389</v>
      </c>
    </row>
    <row r="4174" spans="1:17" x14ac:dyDescent="0.3">
      <c r="A4174" t="s">
        <v>4382</v>
      </c>
      <c r="B4174" t="str">
        <f>"300418"</f>
        <v>300418</v>
      </c>
      <c r="C4174" t="s">
        <v>8390</v>
      </c>
      <c r="D4174" t="s">
        <v>89</v>
      </c>
      <c r="F4174">
        <v>580093136</v>
      </c>
      <c r="G4174">
        <v>504126982</v>
      </c>
      <c r="H4174">
        <v>819236124</v>
      </c>
      <c r="I4174">
        <v>1053326106</v>
      </c>
      <c r="J4174">
        <v>741974634</v>
      </c>
      <c r="K4174">
        <v>128987863</v>
      </c>
      <c r="L4174">
        <v>11349170</v>
      </c>
      <c r="M4174">
        <v>305082743</v>
      </c>
      <c r="P4174">
        <v>17523</v>
      </c>
      <c r="Q4174" t="s">
        <v>8391</v>
      </c>
    </row>
    <row r="4175" spans="1:17" x14ac:dyDescent="0.3">
      <c r="A4175" t="s">
        <v>4382</v>
      </c>
      <c r="B4175" t="str">
        <f>"300419"</f>
        <v>300419</v>
      </c>
      <c r="C4175" t="s">
        <v>8392</v>
      </c>
      <c r="D4175" t="s">
        <v>212</v>
      </c>
      <c r="F4175">
        <v>-153846036</v>
      </c>
      <c r="G4175">
        <v>-68629617</v>
      </c>
      <c r="H4175">
        <v>20056951</v>
      </c>
      <c r="I4175">
        <v>-68018771</v>
      </c>
      <c r="J4175">
        <v>10540826</v>
      </c>
      <c r="K4175">
        <v>-92222351</v>
      </c>
      <c r="L4175">
        <v>-34924649</v>
      </c>
      <c r="M4175">
        <v>-22678268</v>
      </c>
      <c r="P4175">
        <v>89</v>
      </c>
      <c r="Q4175" t="s">
        <v>8393</v>
      </c>
    </row>
    <row r="4176" spans="1:17" x14ac:dyDescent="0.3">
      <c r="A4176" t="s">
        <v>4382</v>
      </c>
      <c r="B4176" t="str">
        <f>"300420"</f>
        <v>300420</v>
      </c>
      <c r="C4176" t="s">
        <v>8394</v>
      </c>
      <c r="D4176" t="s">
        <v>78</v>
      </c>
      <c r="F4176">
        <v>-213717672</v>
      </c>
      <c r="G4176">
        <v>-118919235</v>
      </c>
      <c r="H4176">
        <v>-48565864</v>
      </c>
      <c r="I4176">
        <v>-116492444</v>
      </c>
      <c r="J4176">
        <v>-47824683</v>
      </c>
      <c r="K4176">
        <v>-6817475</v>
      </c>
      <c r="L4176">
        <v>6385571</v>
      </c>
      <c r="M4176">
        <v>-1888882</v>
      </c>
      <c r="P4176">
        <v>146</v>
      </c>
      <c r="Q4176" t="s">
        <v>8395</v>
      </c>
    </row>
    <row r="4177" spans="1:17" x14ac:dyDescent="0.3">
      <c r="A4177" t="s">
        <v>4382</v>
      </c>
      <c r="B4177" t="str">
        <f>"300421"</f>
        <v>300421</v>
      </c>
      <c r="C4177" t="s">
        <v>8396</v>
      </c>
      <c r="D4177" t="s">
        <v>78</v>
      </c>
      <c r="F4177">
        <v>4791231</v>
      </c>
      <c r="G4177">
        <v>3336323</v>
      </c>
      <c r="H4177">
        <v>-35840747</v>
      </c>
      <c r="I4177">
        <v>-1469991</v>
      </c>
      <c r="J4177">
        <v>-15444081</v>
      </c>
      <c r="K4177">
        <v>-4296443</v>
      </c>
      <c r="L4177">
        <v>-7155799</v>
      </c>
      <c r="M4177">
        <v>-25023712</v>
      </c>
      <c r="P4177">
        <v>108</v>
      </c>
      <c r="Q4177" t="s">
        <v>8397</v>
      </c>
    </row>
    <row r="4178" spans="1:17" x14ac:dyDescent="0.3">
      <c r="A4178" t="s">
        <v>4382</v>
      </c>
      <c r="B4178" t="str">
        <f>"300422"</f>
        <v>300422</v>
      </c>
      <c r="C4178" t="s">
        <v>8398</v>
      </c>
      <c r="D4178" t="s">
        <v>33</v>
      </c>
      <c r="F4178">
        <v>-1123812232</v>
      </c>
      <c r="G4178">
        <v>-1104524420</v>
      </c>
      <c r="H4178">
        <v>-1042575137</v>
      </c>
      <c r="I4178">
        <v>-822090387</v>
      </c>
      <c r="J4178">
        <v>-625023086</v>
      </c>
      <c r="K4178">
        <v>-334175864</v>
      </c>
      <c r="L4178">
        <v>-126696250</v>
      </c>
      <c r="M4178">
        <v>-74495540</v>
      </c>
      <c r="P4178">
        <v>331</v>
      </c>
      <c r="Q4178" t="s">
        <v>8399</v>
      </c>
    </row>
    <row r="4179" spans="1:17" x14ac:dyDescent="0.3">
      <c r="A4179" t="s">
        <v>4382</v>
      </c>
      <c r="B4179" t="str">
        <f>"300423"</f>
        <v>300423</v>
      </c>
      <c r="C4179" t="s">
        <v>8400</v>
      </c>
      <c r="D4179" t="s">
        <v>188</v>
      </c>
      <c r="F4179">
        <v>140094319</v>
      </c>
      <c r="G4179">
        <v>398205885</v>
      </c>
      <c r="H4179">
        <v>-812918145</v>
      </c>
      <c r="I4179">
        <v>-174686105</v>
      </c>
      <c r="J4179">
        <v>-47769037</v>
      </c>
      <c r="K4179">
        <v>-45154799</v>
      </c>
      <c r="L4179">
        <v>-36877270</v>
      </c>
      <c r="M4179">
        <v>-62258651</v>
      </c>
      <c r="P4179">
        <v>156</v>
      </c>
      <c r="Q4179" t="s">
        <v>8401</v>
      </c>
    </row>
    <row r="4180" spans="1:17" x14ac:dyDescent="0.3">
      <c r="A4180" t="s">
        <v>4382</v>
      </c>
      <c r="B4180" t="str">
        <f>"300424"</f>
        <v>300424</v>
      </c>
      <c r="C4180" t="s">
        <v>8402</v>
      </c>
      <c r="D4180" t="s">
        <v>92</v>
      </c>
      <c r="F4180">
        <v>-73666268</v>
      </c>
      <c r="G4180">
        <v>-150072310</v>
      </c>
      <c r="H4180">
        <v>-59909952</v>
      </c>
      <c r="I4180">
        <v>-43889926</v>
      </c>
      <c r="J4180">
        <v>-125093671</v>
      </c>
      <c r="K4180">
        <v>-137506221</v>
      </c>
      <c r="L4180">
        <v>-99920066</v>
      </c>
      <c r="M4180">
        <v>-97026508</v>
      </c>
      <c r="P4180">
        <v>133</v>
      </c>
      <c r="Q4180" t="s">
        <v>8403</v>
      </c>
    </row>
    <row r="4181" spans="1:17" x14ac:dyDescent="0.3">
      <c r="A4181" t="s">
        <v>4382</v>
      </c>
      <c r="B4181" t="str">
        <f>"300425"</f>
        <v>300425</v>
      </c>
      <c r="C4181" t="s">
        <v>8404</v>
      </c>
      <c r="D4181" t="s">
        <v>33</v>
      </c>
      <c r="F4181">
        <v>-84235839</v>
      </c>
      <c r="G4181">
        <v>-8273658</v>
      </c>
      <c r="H4181">
        <v>332363</v>
      </c>
      <c r="I4181">
        <v>-234134917</v>
      </c>
      <c r="J4181">
        <v>-68927038</v>
      </c>
      <c r="K4181">
        <v>-32775088</v>
      </c>
      <c r="L4181">
        <v>-53838116</v>
      </c>
      <c r="M4181">
        <v>-52055642</v>
      </c>
      <c r="P4181">
        <v>121</v>
      </c>
      <c r="Q4181" t="s">
        <v>8405</v>
      </c>
    </row>
    <row r="4182" spans="1:17" x14ac:dyDescent="0.3">
      <c r="A4182" t="s">
        <v>4382</v>
      </c>
      <c r="B4182" t="str">
        <f>"300426"</f>
        <v>300426</v>
      </c>
      <c r="C4182" t="s">
        <v>8406</v>
      </c>
      <c r="D4182" t="s">
        <v>89</v>
      </c>
      <c r="F4182">
        <v>-128690932</v>
      </c>
      <c r="G4182">
        <v>-92975799</v>
      </c>
      <c r="H4182">
        <v>-28580177</v>
      </c>
      <c r="I4182">
        <v>-168197328</v>
      </c>
      <c r="J4182">
        <v>-258698203</v>
      </c>
      <c r="K4182">
        <v>-170640443</v>
      </c>
      <c r="L4182">
        <v>-51207537</v>
      </c>
      <c r="M4182">
        <v>-101478216</v>
      </c>
      <c r="P4182">
        <v>130</v>
      </c>
      <c r="Q4182" t="s">
        <v>8407</v>
      </c>
    </row>
    <row r="4183" spans="1:17" x14ac:dyDescent="0.3">
      <c r="A4183" t="s">
        <v>4382</v>
      </c>
      <c r="B4183" t="str">
        <f>"300427"</f>
        <v>300427</v>
      </c>
      <c r="C4183" t="s">
        <v>8408</v>
      </c>
      <c r="D4183" t="s">
        <v>188</v>
      </c>
      <c r="F4183">
        <v>14883307</v>
      </c>
      <c r="G4183">
        <v>10576512</v>
      </c>
      <c r="H4183">
        <v>-277112557</v>
      </c>
      <c r="I4183">
        <v>-204451379</v>
      </c>
      <c r="J4183">
        <v>56382015</v>
      </c>
      <c r="K4183">
        <v>-15150925</v>
      </c>
      <c r="L4183">
        <v>-50168274</v>
      </c>
      <c r="M4183">
        <v>-43609198</v>
      </c>
      <c r="P4183">
        <v>249</v>
      </c>
      <c r="Q4183" t="s">
        <v>8409</v>
      </c>
    </row>
    <row r="4184" spans="1:17" x14ac:dyDescent="0.3">
      <c r="A4184" t="s">
        <v>4382</v>
      </c>
      <c r="B4184" t="str">
        <f>"300428"</f>
        <v>300428</v>
      </c>
      <c r="C4184" t="s">
        <v>8410</v>
      </c>
      <c r="D4184" t="s">
        <v>27</v>
      </c>
      <c r="F4184">
        <v>-1314064554</v>
      </c>
      <c r="G4184">
        <v>-214423151</v>
      </c>
      <c r="H4184">
        <v>281354030</v>
      </c>
      <c r="I4184">
        <v>6603791</v>
      </c>
      <c r="J4184">
        <v>31358842</v>
      </c>
      <c r="K4184">
        <v>-21853864</v>
      </c>
      <c r="L4184">
        <v>-68582233</v>
      </c>
      <c r="M4184">
        <v>-31432028</v>
      </c>
      <c r="P4184">
        <v>172</v>
      </c>
      <c r="Q4184" t="s">
        <v>8411</v>
      </c>
    </row>
    <row r="4185" spans="1:17" x14ac:dyDescent="0.3">
      <c r="A4185" t="s">
        <v>4382</v>
      </c>
      <c r="B4185" t="str">
        <f>"300429"</f>
        <v>300429</v>
      </c>
      <c r="C4185" t="s">
        <v>8412</v>
      </c>
      <c r="D4185" t="s">
        <v>150</v>
      </c>
      <c r="F4185">
        <v>-174491913</v>
      </c>
      <c r="G4185">
        <v>35274214</v>
      </c>
      <c r="H4185">
        <v>-60526527</v>
      </c>
      <c r="I4185">
        <v>-90090288</v>
      </c>
      <c r="J4185">
        <v>29218463</v>
      </c>
      <c r="K4185">
        <v>17075144</v>
      </c>
      <c r="L4185">
        <v>-31142326</v>
      </c>
      <c r="M4185">
        <v>-5925484</v>
      </c>
      <c r="P4185">
        <v>261</v>
      </c>
      <c r="Q4185" t="s">
        <v>8413</v>
      </c>
    </row>
    <row r="4186" spans="1:17" x14ac:dyDescent="0.3">
      <c r="A4186" t="s">
        <v>4382</v>
      </c>
      <c r="B4186" t="str">
        <f>"300430"</f>
        <v>300430</v>
      </c>
      <c r="C4186" t="s">
        <v>8414</v>
      </c>
      <c r="D4186" t="s">
        <v>78</v>
      </c>
      <c r="F4186">
        <v>-79321747</v>
      </c>
      <c r="G4186">
        <v>-36978211</v>
      </c>
      <c r="H4186">
        <v>-116037714</v>
      </c>
      <c r="I4186">
        <v>-127119144</v>
      </c>
      <c r="J4186">
        <v>-77171807</v>
      </c>
      <c r="K4186">
        <v>-86451417</v>
      </c>
      <c r="L4186">
        <v>-105305292</v>
      </c>
      <c r="M4186">
        <v>-23226313</v>
      </c>
      <c r="P4186">
        <v>95</v>
      </c>
      <c r="Q4186" t="s">
        <v>8415</v>
      </c>
    </row>
    <row r="4187" spans="1:17" x14ac:dyDescent="0.3">
      <c r="A4187" t="s">
        <v>4382</v>
      </c>
      <c r="B4187" t="str">
        <f>"300431"</f>
        <v>300431</v>
      </c>
      <c r="C4187" t="s">
        <v>8416</v>
      </c>
      <c r="H4187">
        <v>-3223827</v>
      </c>
      <c r="I4187">
        <v>68326201</v>
      </c>
      <c r="J4187">
        <v>-205288937</v>
      </c>
      <c r="K4187">
        <v>-84980700</v>
      </c>
      <c r="L4187">
        <v>16398695</v>
      </c>
      <c r="M4187">
        <v>12579489</v>
      </c>
      <c r="P4187">
        <v>145</v>
      </c>
      <c r="Q4187" t="s">
        <v>8417</v>
      </c>
    </row>
    <row r="4188" spans="1:17" x14ac:dyDescent="0.3">
      <c r="A4188" t="s">
        <v>4382</v>
      </c>
      <c r="B4188" t="str">
        <f>"300432"</f>
        <v>300432</v>
      </c>
      <c r="C4188" t="s">
        <v>8418</v>
      </c>
      <c r="D4188" t="s">
        <v>27</v>
      </c>
      <c r="F4188">
        <v>-696454955</v>
      </c>
      <c r="G4188">
        <v>282189719</v>
      </c>
      <c r="H4188">
        <v>13223539</v>
      </c>
      <c r="I4188">
        <v>-124153286</v>
      </c>
      <c r="J4188">
        <v>-123169543</v>
      </c>
      <c r="K4188">
        <v>81956478</v>
      </c>
      <c r="L4188">
        <v>-7227331</v>
      </c>
      <c r="M4188">
        <v>46396092</v>
      </c>
      <c r="P4188">
        <v>305</v>
      </c>
      <c r="Q4188" t="s">
        <v>8419</v>
      </c>
    </row>
    <row r="4189" spans="1:17" x14ac:dyDescent="0.3">
      <c r="A4189" t="s">
        <v>4382</v>
      </c>
      <c r="B4189" t="str">
        <f>"300433"</f>
        <v>300433</v>
      </c>
      <c r="C4189" t="s">
        <v>8420</v>
      </c>
      <c r="D4189" t="s">
        <v>150</v>
      </c>
      <c r="F4189">
        <v>-1077308178</v>
      </c>
      <c r="G4189">
        <v>-84640686</v>
      </c>
      <c r="H4189">
        <v>212481956</v>
      </c>
      <c r="I4189">
        <v>-3647411524</v>
      </c>
      <c r="J4189">
        <v>-2403080437</v>
      </c>
      <c r="K4189">
        <v>-651339456</v>
      </c>
      <c r="L4189">
        <v>-387057630</v>
      </c>
      <c r="M4189">
        <v>-2499852175</v>
      </c>
      <c r="P4189">
        <v>1652</v>
      </c>
      <c r="Q4189" t="s">
        <v>8421</v>
      </c>
    </row>
    <row r="4190" spans="1:17" x14ac:dyDescent="0.3">
      <c r="A4190" t="s">
        <v>4382</v>
      </c>
      <c r="B4190" t="str">
        <f>"300434"</f>
        <v>300434</v>
      </c>
      <c r="C4190" t="s">
        <v>8422</v>
      </c>
      <c r="D4190" t="s">
        <v>113</v>
      </c>
      <c r="F4190">
        <v>59853815</v>
      </c>
      <c r="G4190">
        <v>51692686</v>
      </c>
      <c r="H4190">
        <v>84274734</v>
      </c>
      <c r="I4190">
        <v>146506285</v>
      </c>
      <c r="J4190">
        <v>56215547</v>
      </c>
      <c r="K4190">
        <v>-10829120</v>
      </c>
      <c r="L4190">
        <v>-571908</v>
      </c>
      <c r="M4190">
        <v>2102014</v>
      </c>
      <c r="P4190">
        <v>96</v>
      </c>
      <c r="Q4190" t="s">
        <v>8423</v>
      </c>
    </row>
    <row r="4191" spans="1:17" x14ac:dyDescent="0.3">
      <c r="A4191" t="s">
        <v>4382</v>
      </c>
      <c r="B4191" t="str">
        <f>"300435"</f>
        <v>300435</v>
      </c>
      <c r="C4191" t="s">
        <v>8424</v>
      </c>
      <c r="D4191" t="s">
        <v>41</v>
      </c>
      <c r="F4191">
        <v>71020952</v>
      </c>
      <c r="G4191">
        <v>19482667</v>
      </c>
      <c r="H4191">
        <v>63262772</v>
      </c>
      <c r="I4191">
        <v>14998359</v>
      </c>
      <c r="J4191">
        <v>12520746</v>
      </c>
      <c r="K4191">
        <v>70205809</v>
      </c>
      <c r="L4191">
        <v>-41679897</v>
      </c>
      <c r="M4191">
        <v>65948366</v>
      </c>
      <c r="P4191">
        <v>111</v>
      </c>
      <c r="Q4191" t="s">
        <v>8425</v>
      </c>
    </row>
    <row r="4192" spans="1:17" x14ac:dyDescent="0.3">
      <c r="A4192" t="s">
        <v>4382</v>
      </c>
      <c r="B4192" t="str">
        <f>"300436"</f>
        <v>300436</v>
      </c>
      <c r="C4192" t="s">
        <v>8426</v>
      </c>
      <c r="D4192" t="s">
        <v>113</v>
      </c>
      <c r="F4192">
        <v>-122138936</v>
      </c>
      <c r="G4192">
        <v>-22629905</v>
      </c>
      <c r="H4192">
        <v>-25626589</v>
      </c>
      <c r="I4192">
        <v>-192194218</v>
      </c>
      <c r="J4192">
        <v>45702789</v>
      </c>
      <c r="K4192">
        <v>-12331198</v>
      </c>
      <c r="L4192">
        <v>57064384</v>
      </c>
      <c r="M4192">
        <v>55600037</v>
      </c>
      <c r="P4192">
        <v>135</v>
      </c>
      <c r="Q4192" t="s">
        <v>8427</v>
      </c>
    </row>
    <row r="4193" spans="1:17" x14ac:dyDescent="0.3">
      <c r="A4193" t="s">
        <v>4382</v>
      </c>
      <c r="B4193" t="str">
        <f>"300437"</f>
        <v>300437</v>
      </c>
      <c r="C4193" t="s">
        <v>8428</v>
      </c>
      <c r="D4193" t="s">
        <v>33</v>
      </c>
      <c r="F4193">
        <v>62689542</v>
      </c>
      <c r="G4193">
        <v>610297</v>
      </c>
      <c r="H4193">
        <v>-324829608</v>
      </c>
      <c r="I4193">
        <v>-186648024</v>
      </c>
      <c r="J4193">
        <v>-174946347</v>
      </c>
      <c r="K4193">
        <v>-34758556</v>
      </c>
      <c r="L4193">
        <v>-14119738</v>
      </c>
      <c r="M4193">
        <v>21846355</v>
      </c>
      <c r="P4193">
        <v>143</v>
      </c>
      <c r="Q4193" t="s">
        <v>8429</v>
      </c>
    </row>
    <row r="4194" spans="1:17" x14ac:dyDescent="0.3">
      <c r="A4194" t="s">
        <v>4382</v>
      </c>
      <c r="B4194" t="str">
        <f>"300438"</f>
        <v>300438</v>
      </c>
      <c r="C4194" t="s">
        <v>8430</v>
      </c>
      <c r="D4194" t="s">
        <v>188</v>
      </c>
      <c r="F4194">
        <v>-575599017</v>
      </c>
      <c r="G4194">
        <v>45548900</v>
      </c>
      <c r="H4194">
        <v>-212372927</v>
      </c>
      <c r="I4194">
        <v>-470441454</v>
      </c>
      <c r="J4194">
        <v>-279141138</v>
      </c>
      <c r="K4194">
        <v>-294816037</v>
      </c>
      <c r="L4194">
        <v>-55538260</v>
      </c>
      <c r="M4194">
        <v>-27564286</v>
      </c>
      <c r="P4194">
        <v>394</v>
      </c>
      <c r="Q4194" t="s">
        <v>8431</v>
      </c>
    </row>
    <row r="4195" spans="1:17" x14ac:dyDescent="0.3">
      <c r="A4195" t="s">
        <v>4382</v>
      </c>
      <c r="B4195" t="str">
        <f>"300439"</f>
        <v>300439</v>
      </c>
      <c r="C4195" t="s">
        <v>8432</v>
      </c>
      <c r="D4195" t="s">
        <v>113</v>
      </c>
      <c r="F4195">
        <v>130861856</v>
      </c>
      <c r="G4195">
        <v>365840894</v>
      </c>
      <c r="H4195">
        <v>53206074</v>
      </c>
      <c r="I4195">
        <v>-196093498</v>
      </c>
      <c r="J4195">
        <v>-125262483</v>
      </c>
      <c r="K4195">
        <v>-137343757</v>
      </c>
      <c r="L4195">
        <v>22461390</v>
      </c>
      <c r="M4195">
        <v>-38551559</v>
      </c>
      <c r="P4195">
        <v>209</v>
      </c>
      <c r="Q4195" t="s">
        <v>8433</v>
      </c>
    </row>
    <row r="4196" spans="1:17" x14ac:dyDescent="0.3">
      <c r="A4196" t="s">
        <v>4382</v>
      </c>
      <c r="B4196" t="str">
        <f>"300440"</f>
        <v>300440</v>
      </c>
      <c r="C4196" t="s">
        <v>8434</v>
      </c>
      <c r="D4196" t="s">
        <v>212</v>
      </c>
      <c r="F4196">
        <v>-149594160</v>
      </c>
      <c r="G4196">
        <v>-56574245</v>
      </c>
      <c r="H4196">
        <v>-505314</v>
      </c>
      <c r="I4196">
        <v>-86880220</v>
      </c>
      <c r="J4196">
        <v>105055667</v>
      </c>
      <c r="K4196">
        <v>-81644501</v>
      </c>
      <c r="L4196">
        <v>-53928866</v>
      </c>
      <c r="M4196">
        <v>-18477576</v>
      </c>
      <c r="P4196">
        <v>151</v>
      </c>
      <c r="Q4196" t="s">
        <v>8435</v>
      </c>
    </row>
    <row r="4197" spans="1:17" x14ac:dyDescent="0.3">
      <c r="A4197" t="s">
        <v>4382</v>
      </c>
      <c r="B4197" t="str">
        <f>"300441"</f>
        <v>300441</v>
      </c>
      <c r="C4197" t="s">
        <v>8436</v>
      </c>
      <c r="D4197" t="s">
        <v>78</v>
      </c>
      <c r="F4197">
        <v>-36977100</v>
      </c>
      <c r="G4197">
        <v>162836697</v>
      </c>
      <c r="H4197">
        <v>20617452</v>
      </c>
      <c r="I4197">
        <v>-13104513</v>
      </c>
      <c r="J4197">
        <v>-80287670</v>
      </c>
      <c r="K4197">
        <v>2552274</v>
      </c>
      <c r="L4197">
        <v>-20656828</v>
      </c>
      <c r="M4197">
        <v>2702680</v>
      </c>
      <c r="P4197">
        <v>96</v>
      </c>
      <c r="Q4197" t="s">
        <v>8437</v>
      </c>
    </row>
    <row r="4198" spans="1:17" x14ac:dyDescent="0.3">
      <c r="A4198" t="s">
        <v>4382</v>
      </c>
      <c r="B4198" t="str">
        <f>"300442"</f>
        <v>300442</v>
      </c>
      <c r="C4198" t="s">
        <v>8438</v>
      </c>
      <c r="D4198" t="s">
        <v>78</v>
      </c>
      <c r="F4198">
        <v>12237211</v>
      </c>
      <c r="G4198">
        <v>-59822333</v>
      </c>
      <c r="H4198">
        <v>-36836808</v>
      </c>
      <c r="I4198">
        <v>-41032936</v>
      </c>
      <c r="J4198">
        <v>-28679984</v>
      </c>
      <c r="K4198">
        <v>-121209751</v>
      </c>
      <c r="L4198">
        <v>-127339807</v>
      </c>
      <c r="M4198">
        <v>-67369910</v>
      </c>
      <c r="P4198">
        <v>66</v>
      </c>
      <c r="Q4198" t="s">
        <v>8439</v>
      </c>
    </row>
    <row r="4199" spans="1:17" x14ac:dyDescent="0.3">
      <c r="A4199" t="s">
        <v>4382</v>
      </c>
      <c r="B4199" t="str">
        <f>"300443"</f>
        <v>300443</v>
      </c>
      <c r="C4199" t="s">
        <v>8440</v>
      </c>
      <c r="D4199" t="s">
        <v>188</v>
      </c>
      <c r="F4199">
        <v>28843129</v>
      </c>
      <c r="G4199">
        <v>-58517200</v>
      </c>
      <c r="H4199">
        <v>150908603</v>
      </c>
      <c r="I4199">
        <v>-260344138</v>
      </c>
      <c r="J4199">
        <v>137032929</v>
      </c>
      <c r="K4199">
        <v>-28726312</v>
      </c>
      <c r="L4199">
        <v>-75515014</v>
      </c>
      <c r="M4199">
        <v>16955489</v>
      </c>
      <c r="P4199">
        <v>357</v>
      </c>
      <c r="Q4199" t="s">
        <v>8441</v>
      </c>
    </row>
    <row r="4200" spans="1:17" x14ac:dyDescent="0.3">
      <c r="A4200" t="s">
        <v>4382</v>
      </c>
      <c r="B4200" t="str">
        <f>"300444"</f>
        <v>300444</v>
      </c>
      <c r="C4200" t="s">
        <v>8442</v>
      </c>
      <c r="D4200" t="s">
        <v>188</v>
      </c>
      <c r="F4200">
        <v>-643482415</v>
      </c>
      <c r="G4200">
        <v>-240551941</v>
      </c>
      <c r="H4200">
        <v>-5889686</v>
      </c>
      <c r="I4200">
        <v>-263532771</v>
      </c>
      <c r="J4200">
        <v>-122317642</v>
      </c>
      <c r="K4200">
        <v>-6828201</v>
      </c>
      <c r="L4200">
        <v>-33651740</v>
      </c>
      <c r="M4200">
        <v>-3569771</v>
      </c>
      <c r="P4200">
        <v>101</v>
      </c>
      <c r="Q4200" t="s">
        <v>8443</v>
      </c>
    </row>
    <row r="4201" spans="1:17" x14ac:dyDescent="0.3">
      <c r="A4201" t="s">
        <v>4382</v>
      </c>
      <c r="B4201" t="str">
        <f>"300445"</f>
        <v>300445</v>
      </c>
      <c r="C4201" t="s">
        <v>8444</v>
      </c>
      <c r="D4201" t="s">
        <v>78</v>
      </c>
      <c r="F4201">
        <v>-67284966</v>
      </c>
      <c r="G4201">
        <v>-39024350</v>
      </c>
      <c r="H4201">
        <v>11871197</v>
      </c>
      <c r="I4201">
        <v>-5114824</v>
      </c>
      <c r="J4201">
        <v>12629028</v>
      </c>
      <c r="K4201">
        <v>-955303</v>
      </c>
      <c r="L4201">
        <v>220469</v>
      </c>
      <c r="M4201">
        <v>-1161707</v>
      </c>
      <c r="P4201">
        <v>169</v>
      </c>
      <c r="Q4201" t="s">
        <v>8445</v>
      </c>
    </row>
    <row r="4202" spans="1:17" x14ac:dyDescent="0.3">
      <c r="A4202" t="s">
        <v>4382</v>
      </c>
      <c r="B4202" t="str">
        <f>"300446"</f>
        <v>300446</v>
      </c>
      <c r="C4202" t="s">
        <v>8446</v>
      </c>
      <c r="D4202" t="s">
        <v>150</v>
      </c>
      <c r="F4202">
        <v>-62936225</v>
      </c>
      <c r="G4202">
        <v>12155467</v>
      </c>
      <c r="H4202">
        <v>3307172</v>
      </c>
      <c r="I4202">
        <v>41326142</v>
      </c>
      <c r="J4202">
        <v>67804856</v>
      </c>
      <c r="K4202">
        <v>60858795</v>
      </c>
      <c r="L4202">
        <v>50034323</v>
      </c>
      <c r="M4202">
        <v>47115163</v>
      </c>
      <c r="P4202">
        <v>980</v>
      </c>
      <c r="Q4202" t="s">
        <v>8447</v>
      </c>
    </row>
    <row r="4203" spans="1:17" x14ac:dyDescent="0.3">
      <c r="A4203" t="s">
        <v>4382</v>
      </c>
      <c r="B4203" t="str">
        <f>"300447"</f>
        <v>300447</v>
      </c>
      <c r="C4203" t="s">
        <v>8448</v>
      </c>
      <c r="D4203" t="s">
        <v>92</v>
      </c>
      <c r="F4203">
        <v>-192873640</v>
      </c>
      <c r="G4203">
        <v>-133197127</v>
      </c>
      <c r="H4203">
        <v>-31916559</v>
      </c>
      <c r="I4203">
        <v>-89819147</v>
      </c>
      <c r="J4203">
        <v>-61916968</v>
      </c>
      <c r="K4203">
        <v>-222604513</v>
      </c>
      <c r="L4203">
        <v>-10683685</v>
      </c>
      <c r="M4203">
        <v>3810778</v>
      </c>
      <c r="P4203">
        <v>120</v>
      </c>
      <c r="Q4203" t="s">
        <v>8449</v>
      </c>
    </row>
    <row r="4204" spans="1:17" x14ac:dyDescent="0.3">
      <c r="A4204" t="s">
        <v>4382</v>
      </c>
      <c r="B4204" t="str">
        <f>"300448"</f>
        <v>300448</v>
      </c>
      <c r="C4204" t="s">
        <v>8450</v>
      </c>
      <c r="D4204" t="s">
        <v>212</v>
      </c>
      <c r="F4204">
        <v>-61448994</v>
      </c>
      <c r="G4204">
        <v>-83494684</v>
      </c>
      <c r="H4204">
        <v>-137211273</v>
      </c>
      <c r="I4204">
        <v>-57244284</v>
      </c>
      <c r="J4204">
        <v>-242129330</v>
      </c>
      <c r="K4204">
        <v>-223719600</v>
      </c>
      <c r="L4204">
        <v>-126546551</v>
      </c>
      <c r="M4204">
        <v>-77359776</v>
      </c>
      <c r="P4204">
        <v>157</v>
      </c>
      <c r="Q4204" t="s">
        <v>8451</v>
      </c>
    </row>
    <row r="4205" spans="1:17" x14ac:dyDescent="0.3">
      <c r="A4205" t="s">
        <v>4382</v>
      </c>
      <c r="B4205" t="str">
        <f>"300449"</f>
        <v>300449</v>
      </c>
      <c r="C4205" t="s">
        <v>8452</v>
      </c>
      <c r="D4205" t="s">
        <v>212</v>
      </c>
      <c r="F4205">
        <v>42315400</v>
      </c>
      <c r="G4205">
        <v>46732821</v>
      </c>
      <c r="H4205">
        <v>-52188775</v>
      </c>
      <c r="I4205">
        <v>-61620246</v>
      </c>
      <c r="J4205">
        <v>-235632308</v>
      </c>
      <c r="K4205">
        <v>-223862275</v>
      </c>
      <c r="L4205">
        <v>-309523037</v>
      </c>
      <c r="M4205">
        <v>-178230673</v>
      </c>
      <c r="P4205">
        <v>85</v>
      </c>
      <c r="Q4205" t="s">
        <v>8453</v>
      </c>
    </row>
    <row r="4206" spans="1:17" x14ac:dyDescent="0.3">
      <c r="A4206" t="s">
        <v>4382</v>
      </c>
      <c r="B4206" t="str">
        <f>"300450"</f>
        <v>300450</v>
      </c>
      <c r="C4206" t="s">
        <v>8454</v>
      </c>
      <c r="D4206" t="s">
        <v>188</v>
      </c>
      <c r="F4206">
        <v>429491955</v>
      </c>
      <c r="G4206">
        <v>122389416</v>
      </c>
      <c r="H4206">
        <v>228579337</v>
      </c>
      <c r="I4206">
        <v>-549532048</v>
      </c>
      <c r="J4206">
        <v>-24835382</v>
      </c>
      <c r="K4206">
        <v>-202739106</v>
      </c>
      <c r="L4206">
        <v>27420221</v>
      </c>
      <c r="M4206">
        <v>13491829</v>
      </c>
      <c r="P4206">
        <v>9754</v>
      </c>
      <c r="Q4206" t="s">
        <v>8455</v>
      </c>
    </row>
    <row r="4207" spans="1:17" x14ac:dyDescent="0.3">
      <c r="A4207" t="s">
        <v>4382</v>
      </c>
      <c r="B4207" t="str">
        <f>"300451"</f>
        <v>300451</v>
      </c>
      <c r="C4207" t="s">
        <v>8456</v>
      </c>
      <c r="D4207" t="s">
        <v>212</v>
      </c>
      <c r="F4207">
        <v>-373678927</v>
      </c>
      <c r="G4207">
        <v>-322667446</v>
      </c>
      <c r="H4207">
        <v>-340077093</v>
      </c>
      <c r="I4207">
        <v>-261338929</v>
      </c>
      <c r="J4207">
        <v>-181242232</v>
      </c>
      <c r="K4207">
        <v>-128199952</v>
      </c>
      <c r="L4207">
        <v>-147804338</v>
      </c>
      <c r="M4207">
        <v>-82690021</v>
      </c>
      <c r="P4207">
        <v>352</v>
      </c>
      <c r="Q4207" t="s">
        <v>8457</v>
      </c>
    </row>
    <row r="4208" spans="1:17" x14ac:dyDescent="0.3">
      <c r="A4208" t="s">
        <v>4382</v>
      </c>
      <c r="B4208" t="str">
        <f>"300452"</f>
        <v>300452</v>
      </c>
      <c r="C4208" t="s">
        <v>8458</v>
      </c>
      <c r="D4208" t="s">
        <v>113</v>
      </c>
      <c r="F4208">
        <v>9503388</v>
      </c>
      <c r="G4208">
        <v>-2273136</v>
      </c>
      <c r="H4208">
        <v>-17804291</v>
      </c>
      <c r="I4208">
        <v>-18184840</v>
      </c>
      <c r="J4208">
        <v>-51526</v>
      </c>
      <c r="K4208">
        <v>26009781</v>
      </c>
      <c r="L4208">
        <v>15363276</v>
      </c>
      <c r="M4208">
        <v>6472757</v>
      </c>
      <c r="P4208">
        <v>300</v>
      </c>
      <c r="Q4208" t="s">
        <v>8459</v>
      </c>
    </row>
    <row r="4209" spans="1:17" x14ac:dyDescent="0.3">
      <c r="A4209" t="s">
        <v>4382</v>
      </c>
      <c r="B4209" t="str">
        <f>"300453"</f>
        <v>300453</v>
      </c>
      <c r="C4209" t="s">
        <v>8460</v>
      </c>
      <c r="D4209" t="s">
        <v>113</v>
      </c>
      <c r="F4209">
        <v>74015864</v>
      </c>
      <c r="G4209">
        <v>100398694</v>
      </c>
      <c r="H4209">
        <v>-45852901</v>
      </c>
      <c r="I4209">
        <v>-72975884</v>
      </c>
      <c r="J4209">
        <v>-45477757</v>
      </c>
      <c r="K4209">
        <v>-68883570</v>
      </c>
      <c r="L4209">
        <v>-28291354</v>
      </c>
      <c r="M4209">
        <v>-9690356</v>
      </c>
      <c r="P4209">
        <v>228</v>
      </c>
      <c r="Q4209" t="s">
        <v>8461</v>
      </c>
    </row>
    <row r="4210" spans="1:17" x14ac:dyDescent="0.3">
      <c r="A4210" t="s">
        <v>4382</v>
      </c>
      <c r="B4210" t="str">
        <f>"300454"</f>
        <v>300454</v>
      </c>
      <c r="C4210" t="s">
        <v>8462</v>
      </c>
      <c r="D4210" t="s">
        <v>212</v>
      </c>
      <c r="F4210">
        <v>-314756426</v>
      </c>
      <c r="G4210">
        <v>91404447</v>
      </c>
      <c r="H4210">
        <v>29244265</v>
      </c>
      <c r="I4210">
        <v>44983454</v>
      </c>
      <c r="J4210">
        <v>245906923</v>
      </c>
      <c r="P4210">
        <v>799</v>
      </c>
      <c r="Q4210" t="s">
        <v>8463</v>
      </c>
    </row>
    <row r="4211" spans="1:17" x14ac:dyDescent="0.3">
      <c r="A4211" t="s">
        <v>4382</v>
      </c>
      <c r="B4211" t="str">
        <f>"300455"</f>
        <v>300455</v>
      </c>
      <c r="C4211" t="s">
        <v>8464</v>
      </c>
      <c r="D4211" t="s">
        <v>212</v>
      </c>
      <c r="F4211">
        <v>-325398287</v>
      </c>
      <c r="G4211">
        <v>-180676693</v>
      </c>
      <c r="H4211">
        <v>4475013</v>
      </c>
      <c r="I4211">
        <v>-61836742</v>
      </c>
      <c r="J4211">
        <v>49364033</v>
      </c>
      <c r="K4211">
        <v>-64862809</v>
      </c>
      <c r="L4211">
        <v>-19956177</v>
      </c>
      <c r="M4211">
        <v>-19868070</v>
      </c>
      <c r="P4211">
        <v>137</v>
      </c>
      <c r="Q4211" t="s">
        <v>8465</v>
      </c>
    </row>
    <row r="4212" spans="1:17" x14ac:dyDescent="0.3">
      <c r="A4212" t="s">
        <v>4382</v>
      </c>
      <c r="B4212" t="str">
        <f>"300456"</f>
        <v>300456</v>
      </c>
      <c r="C4212" t="s">
        <v>8466</v>
      </c>
      <c r="D4212" t="s">
        <v>150</v>
      </c>
      <c r="F4212">
        <v>-676986515</v>
      </c>
      <c r="G4212">
        <v>-74631528</v>
      </c>
      <c r="H4212">
        <v>-310359649</v>
      </c>
      <c r="I4212">
        <v>-354760682</v>
      </c>
      <c r="J4212">
        <v>-88297881</v>
      </c>
      <c r="K4212">
        <v>-74373571</v>
      </c>
      <c r="L4212">
        <v>-64379610</v>
      </c>
      <c r="M4212">
        <v>-34157809</v>
      </c>
      <c r="P4212">
        <v>376</v>
      </c>
      <c r="Q4212" t="s">
        <v>8467</v>
      </c>
    </row>
    <row r="4213" spans="1:17" x14ac:dyDescent="0.3">
      <c r="A4213" t="s">
        <v>4382</v>
      </c>
      <c r="B4213" t="str">
        <f>"300457"</f>
        <v>300457</v>
      </c>
      <c r="C4213" t="s">
        <v>8468</v>
      </c>
      <c r="D4213" t="s">
        <v>188</v>
      </c>
      <c r="F4213">
        <v>140047873</v>
      </c>
      <c r="G4213">
        <v>-251722205</v>
      </c>
      <c r="H4213">
        <v>-241909535</v>
      </c>
      <c r="I4213">
        <v>-500727091</v>
      </c>
      <c r="J4213">
        <v>-214296670</v>
      </c>
      <c r="K4213">
        <v>-27518941</v>
      </c>
      <c r="L4213">
        <v>-163345506</v>
      </c>
      <c r="M4213">
        <v>-90035597</v>
      </c>
      <c r="P4213">
        <v>359</v>
      </c>
      <c r="Q4213" t="s">
        <v>8469</v>
      </c>
    </row>
    <row r="4214" spans="1:17" x14ac:dyDescent="0.3">
      <c r="A4214" t="s">
        <v>4382</v>
      </c>
      <c r="B4214" t="str">
        <f>"300458"</f>
        <v>300458</v>
      </c>
      <c r="C4214" t="s">
        <v>8470</v>
      </c>
      <c r="D4214" t="s">
        <v>150</v>
      </c>
      <c r="F4214">
        <v>234020928</v>
      </c>
      <c r="G4214">
        <v>138521347</v>
      </c>
      <c r="H4214">
        <v>213693023</v>
      </c>
      <c r="I4214">
        <v>1279665</v>
      </c>
      <c r="J4214">
        <v>-245201368</v>
      </c>
      <c r="K4214">
        <v>9714509</v>
      </c>
      <c r="L4214">
        <v>128325224</v>
      </c>
      <c r="M4214">
        <v>143616007</v>
      </c>
      <c r="P4214">
        <v>561</v>
      </c>
      <c r="Q4214" t="s">
        <v>8471</v>
      </c>
    </row>
    <row r="4215" spans="1:17" x14ac:dyDescent="0.3">
      <c r="A4215" t="s">
        <v>4382</v>
      </c>
      <c r="B4215" t="str">
        <f>"300459"</f>
        <v>300459</v>
      </c>
      <c r="C4215" t="s">
        <v>8472</v>
      </c>
      <c r="D4215" t="s">
        <v>89</v>
      </c>
      <c r="F4215">
        <v>673725447</v>
      </c>
      <c r="G4215">
        <v>-394876576</v>
      </c>
      <c r="H4215">
        <v>145141998</v>
      </c>
      <c r="I4215">
        <v>306841176</v>
      </c>
      <c r="J4215">
        <v>-90453321</v>
      </c>
      <c r="K4215">
        <v>4051634</v>
      </c>
      <c r="L4215">
        <v>70859892</v>
      </c>
      <c r="M4215">
        <v>55820741</v>
      </c>
      <c r="P4215">
        <v>288</v>
      </c>
      <c r="Q4215" t="s">
        <v>8473</v>
      </c>
    </row>
    <row r="4216" spans="1:17" x14ac:dyDescent="0.3">
      <c r="A4216" t="s">
        <v>4382</v>
      </c>
      <c r="B4216" t="str">
        <f>"300460"</f>
        <v>300460</v>
      </c>
      <c r="C4216" t="s">
        <v>8474</v>
      </c>
      <c r="D4216" t="s">
        <v>150</v>
      </c>
      <c r="F4216">
        <v>-523624176</v>
      </c>
      <c r="G4216">
        <v>-177141368</v>
      </c>
      <c r="H4216">
        <v>6396439</v>
      </c>
      <c r="I4216">
        <v>21116609</v>
      </c>
      <c r="J4216">
        <v>-24133486</v>
      </c>
      <c r="K4216">
        <v>-46693816</v>
      </c>
      <c r="L4216">
        <v>-39209506</v>
      </c>
      <c r="M4216">
        <v>50048559</v>
      </c>
      <c r="P4216">
        <v>154</v>
      </c>
      <c r="Q4216" t="s">
        <v>8475</v>
      </c>
    </row>
    <row r="4217" spans="1:17" x14ac:dyDescent="0.3">
      <c r="A4217" t="s">
        <v>4382</v>
      </c>
      <c r="B4217" t="str">
        <f>"300461"</f>
        <v>300461</v>
      </c>
      <c r="C4217" t="s">
        <v>8476</v>
      </c>
      <c r="D4217" t="s">
        <v>78</v>
      </c>
      <c r="F4217">
        <v>10176333</v>
      </c>
      <c r="G4217">
        <v>135780901</v>
      </c>
      <c r="H4217">
        <v>14620370</v>
      </c>
      <c r="I4217">
        <v>53369836</v>
      </c>
      <c r="J4217">
        <v>-110724294</v>
      </c>
      <c r="K4217">
        <v>-14544379</v>
      </c>
      <c r="L4217">
        <v>10016110</v>
      </c>
      <c r="M4217">
        <v>33115974</v>
      </c>
      <c r="P4217">
        <v>153</v>
      </c>
      <c r="Q4217" t="s">
        <v>8477</v>
      </c>
    </row>
    <row r="4218" spans="1:17" x14ac:dyDescent="0.3">
      <c r="A4218" t="s">
        <v>4382</v>
      </c>
      <c r="B4218" t="str">
        <f>"300462"</f>
        <v>300462</v>
      </c>
      <c r="C4218" t="s">
        <v>8478</v>
      </c>
      <c r="D4218" t="s">
        <v>212</v>
      </c>
      <c r="F4218">
        <v>138240931</v>
      </c>
      <c r="G4218">
        <v>-172318481</v>
      </c>
      <c r="H4218">
        <v>63113795</v>
      </c>
      <c r="I4218">
        <v>12716049</v>
      </c>
      <c r="J4218">
        <v>-37987881</v>
      </c>
      <c r="K4218">
        <v>2605441</v>
      </c>
      <c r="L4218">
        <v>-30299830</v>
      </c>
      <c r="M4218">
        <v>40111060</v>
      </c>
      <c r="P4218">
        <v>176</v>
      </c>
      <c r="Q4218" t="s">
        <v>8479</v>
      </c>
    </row>
    <row r="4219" spans="1:17" x14ac:dyDescent="0.3">
      <c r="A4219" t="s">
        <v>4382</v>
      </c>
      <c r="B4219" t="str">
        <f>"300463"</f>
        <v>300463</v>
      </c>
      <c r="C4219" t="s">
        <v>8480</v>
      </c>
      <c r="D4219" t="s">
        <v>113</v>
      </c>
      <c r="F4219">
        <v>476790650</v>
      </c>
      <c r="G4219">
        <v>182850102</v>
      </c>
      <c r="H4219">
        <v>-250244527</v>
      </c>
      <c r="I4219">
        <v>-341531035</v>
      </c>
      <c r="J4219">
        <v>-332717371</v>
      </c>
      <c r="K4219">
        <v>-229117329</v>
      </c>
      <c r="L4219">
        <v>-152528683</v>
      </c>
      <c r="M4219">
        <v>-99256250</v>
      </c>
      <c r="P4219">
        <v>1102</v>
      </c>
      <c r="Q4219" t="s">
        <v>8481</v>
      </c>
    </row>
    <row r="4220" spans="1:17" x14ac:dyDescent="0.3">
      <c r="A4220" t="s">
        <v>4382</v>
      </c>
      <c r="B4220" t="str">
        <f>"300464"</f>
        <v>300464</v>
      </c>
      <c r="C4220" t="s">
        <v>8482</v>
      </c>
      <c r="D4220" t="s">
        <v>120</v>
      </c>
      <c r="F4220">
        <v>56082635</v>
      </c>
      <c r="G4220">
        <v>-240045134</v>
      </c>
      <c r="H4220">
        <v>-76610371</v>
      </c>
      <c r="I4220">
        <v>-49537571</v>
      </c>
      <c r="J4220">
        <v>-148091947</v>
      </c>
      <c r="K4220">
        <v>-83994792</v>
      </c>
      <c r="L4220">
        <v>-60341601</v>
      </c>
      <c r="M4220">
        <v>-28705605</v>
      </c>
      <c r="P4220">
        <v>121</v>
      </c>
      <c r="Q4220" t="s">
        <v>8483</v>
      </c>
    </row>
    <row r="4221" spans="1:17" x14ac:dyDescent="0.3">
      <c r="A4221" t="s">
        <v>4382</v>
      </c>
      <c r="B4221" t="str">
        <f>"300465"</f>
        <v>300465</v>
      </c>
      <c r="C4221" t="s">
        <v>8484</v>
      </c>
      <c r="D4221" t="s">
        <v>212</v>
      </c>
      <c r="F4221">
        <v>-273860151</v>
      </c>
      <c r="G4221">
        <v>-167301548</v>
      </c>
      <c r="H4221">
        <v>-200079874</v>
      </c>
      <c r="I4221">
        <v>-43986021</v>
      </c>
      <c r="J4221">
        <v>-249145614</v>
      </c>
      <c r="K4221">
        <v>-247720118</v>
      </c>
      <c r="L4221">
        <v>-199496669</v>
      </c>
      <c r="M4221">
        <v>-173433730</v>
      </c>
      <c r="P4221">
        <v>252</v>
      </c>
      <c r="Q4221" t="s">
        <v>8485</v>
      </c>
    </row>
    <row r="4222" spans="1:17" x14ac:dyDescent="0.3">
      <c r="A4222" t="s">
        <v>4382</v>
      </c>
      <c r="B4222" t="str">
        <f>"300466"</f>
        <v>300466</v>
      </c>
      <c r="C4222" t="s">
        <v>8486</v>
      </c>
      <c r="D4222" t="s">
        <v>188</v>
      </c>
      <c r="F4222">
        <v>-50616485</v>
      </c>
      <c r="G4222">
        <v>-29469660</v>
      </c>
      <c r="H4222">
        <v>-17796183</v>
      </c>
      <c r="I4222">
        <v>-55799273</v>
      </c>
      <c r="J4222">
        <v>-38371219</v>
      </c>
      <c r="K4222">
        <v>-99261685</v>
      </c>
      <c r="L4222">
        <v>-38299636</v>
      </c>
      <c r="M4222">
        <v>-10142638</v>
      </c>
      <c r="P4222">
        <v>121</v>
      </c>
      <c r="Q4222" t="s">
        <v>8487</v>
      </c>
    </row>
    <row r="4223" spans="1:17" x14ac:dyDescent="0.3">
      <c r="A4223" t="s">
        <v>4382</v>
      </c>
      <c r="B4223" t="str">
        <f>"300467"</f>
        <v>300467</v>
      </c>
      <c r="C4223" t="s">
        <v>8488</v>
      </c>
      <c r="D4223" t="s">
        <v>89</v>
      </c>
      <c r="F4223">
        <v>106834184</v>
      </c>
      <c r="G4223">
        <v>107122941</v>
      </c>
      <c r="H4223">
        <v>129769794</v>
      </c>
      <c r="I4223">
        <v>85251803</v>
      </c>
      <c r="J4223">
        <v>25210612</v>
      </c>
      <c r="K4223">
        <v>6533976</v>
      </c>
      <c r="L4223">
        <v>36183534</v>
      </c>
      <c r="M4223">
        <v>39882501</v>
      </c>
      <c r="P4223">
        <v>187</v>
      </c>
      <c r="Q4223" t="s">
        <v>8489</v>
      </c>
    </row>
    <row r="4224" spans="1:17" x14ac:dyDescent="0.3">
      <c r="A4224" t="s">
        <v>4382</v>
      </c>
      <c r="B4224" t="str">
        <f>"300468"</f>
        <v>300468</v>
      </c>
      <c r="C4224" t="s">
        <v>8490</v>
      </c>
      <c r="D4224" t="s">
        <v>212</v>
      </c>
      <c r="F4224">
        <v>-122124864</v>
      </c>
      <c r="G4224">
        <v>-154448958</v>
      </c>
      <c r="H4224">
        <v>8120737</v>
      </c>
      <c r="I4224">
        <v>-20508055</v>
      </c>
      <c r="J4224">
        <v>-76629972</v>
      </c>
      <c r="K4224">
        <v>-126312713</v>
      </c>
      <c r="L4224">
        <v>-100877616</v>
      </c>
      <c r="M4224">
        <v>-39874885</v>
      </c>
      <c r="P4224">
        <v>213</v>
      </c>
      <c r="Q4224" t="s">
        <v>8491</v>
      </c>
    </row>
    <row r="4225" spans="1:17" x14ac:dyDescent="0.3">
      <c r="A4225" t="s">
        <v>4382</v>
      </c>
      <c r="B4225" t="str">
        <f>"300469"</f>
        <v>300469</v>
      </c>
      <c r="C4225" t="s">
        <v>8492</v>
      </c>
      <c r="D4225" t="s">
        <v>212</v>
      </c>
      <c r="F4225">
        <v>-89446220</v>
      </c>
      <c r="G4225">
        <v>-193332365</v>
      </c>
      <c r="H4225">
        <v>-189162699</v>
      </c>
      <c r="I4225">
        <v>-229531606</v>
      </c>
      <c r="J4225">
        <v>-249774729</v>
      </c>
      <c r="K4225">
        <v>-255415318</v>
      </c>
      <c r="L4225">
        <v>-206912387</v>
      </c>
      <c r="M4225">
        <v>-167378410</v>
      </c>
      <c r="P4225">
        <v>96</v>
      </c>
      <c r="Q4225" t="s">
        <v>8493</v>
      </c>
    </row>
    <row r="4226" spans="1:17" x14ac:dyDescent="0.3">
      <c r="A4226" t="s">
        <v>4382</v>
      </c>
      <c r="B4226" t="str">
        <f>"300470"</f>
        <v>300470</v>
      </c>
      <c r="C4226" t="s">
        <v>8494</v>
      </c>
      <c r="D4226" t="s">
        <v>78</v>
      </c>
      <c r="F4226">
        <v>139681547</v>
      </c>
      <c r="G4226">
        <v>153045094</v>
      </c>
      <c r="H4226">
        <v>56795209</v>
      </c>
      <c r="I4226">
        <v>8410099</v>
      </c>
      <c r="J4226">
        <v>24097402</v>
      </c>
      <c r="K4226">
        <v>30540782</v>
      </c>
      <c r="L4226">
        <v>-4192742</v>
      </c>
      <c r="M4226">
        <v>18526206</v>
      </c>
      <c r="P4226">
        <v>348</v>
      </c>
      <c r="Q4226" t="s">
        <v>8495</v>
      </c>
    </row>
    <row r="4227" spans="1:17" x14ac:dyDescent="0.3">
      <c r="A4227" t="s">
        <v>4382</v>
      </c>
      <c r="B4227" t="str">
        <f>"300471"</f>
        <v>300471</v>
      </c>
      <c r="C4227" t="s">
        <v>8496</v>
      </c>
      <c r="D4227" t="s">
        <v>78</v>
      </c>
      <c r="F4227">
        <v>-134931311</v>
      </c>
      <c r="G4227">
        <v>-73115466</v>
      </c>
      <c r="H4227">
        <v>114801141</v>
      </c>
      <c r="I4227">
        <v>-339587432</v>
      </c>
      <c r="J4227">
        <v>-299514560</v>
      </c>
      <c r="K4227">
        <v>-333669185</v>
      </c>
      <c r="L4227">
        <v>-274974236</v>
      </c>
      <c r="M4227">
        <v>-91671052</v>
      </c>
      <c r="P4227">
        <v>166</v>
      </c>
      <c r="Q4227" t="s">
        <v>8497</v>
      </c>
    </row>
    <row r="4228" spans="1:17" x14ac:dyDescent="0.3">
      <c r="A4228" t="s">
        <v>4382</v>
      </c>
      <c r="B4228" t="str">
        <f>"300472"</f>
        <v>300472</v>
      </c>
      <c r="C4228" t="s">
        <v>8498</v>
      </c>
      <c r="D4228" t="s">
        <v>78</v>
      </c>
      <c r="F4228">
        <v>-299545066</v>
      </c>
      <c r="G4228">
        <v>-66341339</v>
      </c>
      <c r="H4228">
        <v>10495377</v>
      </c>
      <c r="I4228">
        <v>1895172</v>
      </c>
      <c r="J4228">
        <v>-22911413</v>
      </c>
      <c r="K4228">
        <v>-108269516</v>
      </c>
      <c r="L4228">
        <v>-58961242</v>
      </c>
      <c r="M4228">
        <v>-18698816</v>
      </c>
      <c r="P4228">
        <v>78</v>
      </c>
      <c r="Q4228" t="s">
        <v>8499</v>
      </c>
    </row>
    <row r="4229" spans="1:17" x14ac:dyDescent="0.3">
      <c r="A4229" t="s">
        <v>4382</v>
      </c>
      <c r="B4229" t="str">
        <f>"300473"</f>
        <v>300473</v>
      </c>
      <c r="C4229" t="s">
        <v>8500</v>
      </c>
      <c r="D4229" t="s">
        <v>27</v>
      </c>
      <c r="F4229">
        <v>-234354252</v>
      </c>
      <c r="G4229">
        <v>34842026</v>
      </c>
      <c r="H4229">
        <v>-34443547</v>
      </c>
      <c r="I4229">
        <v>-181100951</v>
      </c>
      <c r="J4229">
        <v>-157302057</v>
      </c>
      <c r="K4229">
        <v>101185552</v>
      </c>
      <c r="L4229">
        <v>125769024</v>
      </c>
      <c r="M4229">
        <v>68480090</v>
      </c>
      <c r="P4229">
        <v>142</v>
      </c>
      <c r="Q4229" t="s">
        <v>8501</v>
      </c>
    </row>
    <row r="4230" spans="1:17" x14ac:dyDescent="0.3">
      <c r="A4230" t="s">
        <v>4382</v>
      </c>
      <c r="B4230" t="str">
        <f>"300474"</f>
        <v>300474</v>
      </c>
      <c r="C4230" t="s">
        <v>8502</v>
      </c>
      <c r="D4230" t="s">
        <v>92</v>
      </c>
      <c r="F4230">
        <v>-17501848</v>
      </c>
      <c r="G4230">
        <v>-94536520</v>
      </c>
      <c r="H4230">
        <v>-129016257</v>
      </c>
      <c r="I4230">
        <v>-40486199</v>
      </c>
      <c r="J4230">
        <v>-122526933</v>
      </c>
      <c r="K4230">
        <v>-55388808</v>
      </c>
      <c r="L4230">
        <v>-86559122</v>
      </c>
      <c r="P4230">
        <v>513</v>
      </c>
      <c r="Q4230" t="s">
        <v>8503</v>
      </c>
    </row>
    <row r="4231" spans="1:17" x14ac:dyDescent="0.3">
      <c r="A4231" t="s">
        <v>4382</v>
      </c>
      <c r="B4231" t="str">
        <f>"300475"</f>
        <v>300475</v>
      </c>
      <c r="C4231" t="s">
        <v>8504</v>
      </c>
      <c r="D4231" t="s">
        <v>126</v>
      </c>
      <c r="F4231">
        <v>253199429</v>
      </c>
      <c r="G4231">
        <v>90786601</v>
      </c>
      <c r="H4231">
        <v>35643450</v>
      </c>
      <c r="I4231">
        <v>-23733233</v>
      </c>
      <c r="J4231">
        <v>35347157</v>
      </c>
      <c r="K4231">
        <v>45183446</v>
      </c>
      <c r="L4231">
        <v>133240651</v>
      </c>
      <c r="M4231">
        <v>81140214</v>
      </c>
      <c r="P4231">
        <v>92</v>
      </c>
      <c r="Q4231" t="s">
        <v>8505</v>
      </c>
    </row>
    <row r="4232" spans="1:17" x14ac:dyDescent="0.3">
      <c r="A4232" t="s">
        <v>4382</v>
      </c>
      <c r="B4232" t="str">
        <f>"300476"</f>
        <v>300476</v>
      </c>
      <c r="C4232" t="s">
        <v>8506</v>
      </c>
      <c r="D4232" t="s">
        <v>150</v>
      </c>
      <c r="F4232">
        <v>-670326870</v>
      </c>
      <c r="G4232">
        <v>-918975226</v>
      </c>
      <c r="H4232">
        <v>-566420748</v>
      </c>
      <c r="I4232">
        <v>-558738075</v>
      </c>
      <c r="J4232">
        <v>-298715160</v>
      </c>
      <c r="K4232">
        <v>-108032008</v>
      </c>
      <c r="L4232">
        <v>-171078274</v>
      </c>
      <c r="M4232">
        <v>53207505</v>
      </c>
      <c r="P4232">
        <v>633</v>
      </c>
      <c r="Q4232" t="s">
        <v>8507</v>
      </c>
    </row>
    <row r="4233" spans="1:17" x14ac:dyDescent="0.3">
      <c r="A4233" t="s">
        <v>4382</v>
      </c>
      <c r="B4233" t="str">
        <f>"300477"</f>
        <v>300477</v>
      </c>
      <c r="C4233" t="s">
        <v>8508</v>
      </c>
      <c r="D4233" t="s">
        <v>188</v>
      </c>
      <c r="F4233">
        <v>-516704691</v>
      </c>
      <c r="G4233">
        <v>-90757931</v>
      </c>
      <c r="H4233">
        <v>-69006611</v>
      </c>
      <c r="I4233">
        <v>-403021497</v>
      </c>
      <c r="J4233">
        <v>-181400274</v>
      </c>
      <c r="K4233">
        <v>-123301932</v>
      </c>
      <c r="L4233">
        <v>-233604497</v>
      </c>
      <c r="M4233">
        <v>-106478927</v>
      </c>
      <c r="P4233">
        <v>100</v>
      </c>
      <c r="Q4233" t="s">
        <v>8509</v>
      </c>
    </row>
    <row r="4234" spans="1:17" x14ac:dyDescent="0.3">
      <c r="A4234" t="s">
        <v>4382</v>
      </c>
      <c r="B4234" t="str">
        <f>"300478"</f>
        <v>300478</v>
      </c>
      <c r="C4234" t="s">
        <v>8510</v>
      </c>
      <c r="D4234" t="s">
        <v>133</v>
      </c>
      <c r="F4234">
        <v>-67630786</v>
      </c>
      <c r="G4234">
        <v>37660257</v>
      </c>
      <c r="H4234">
        <v>58526841</v>
      </c>
      <c r="I4234">
        <v>-292502819</v>
      </c>
      <c r="J4234">
        <v>-113290722</v>
      </c>
      <c r="K4234">
        <v>-34149486</v>
      </c>
      <c r="L4234">
        <v>-14134538</v>
      </c>
      <c r="M4234">
        <v>-75364056</v>
      </c>
      <c r="P4234">
        <v>58</v>
      </c>
      <c r="Q4234" t="s">
        <v>8511</v>
      </c>
    </row>
    <row r="4235" spans="1:17" x14ac:dyDescent="0.3">
      <c r="A4235" t="s">
        <v>4382</v>
      </c>
      <c r="B4235" t="str">
        <f>"300479"</f>
        <v>300479</v>
      </c>
      <c r="C4235" t="s">
        <v>8512</v>
      </c>
      <c r="D4235" t="s">
        <v>212</v>
      </c>
      <c r="F4235">
        <v>-34483715</v>
      </c>
      <c r="G4235">
        <v>-47413434</v>
      </c>
      <c r="H4235">
        <v>-80966970</v>
      </c>
      <c r="I4235">
        <v>-57947684</v>
      </c>
      <c r="J4235">
        <v>-89899346</v>
      </c>
      <c r="K4235">
        <v>-92405696</v>
      </c>
      <c r="L4235">
        <v>-38689907</v>
      </c>
      <c r="M4235">
        <v>-26333919</v>
      </c>
      <c r="P4235">
        <v>167</v>
      </c>
      <c r="Q4235" t="s">
        <v>8513</v>
      </c>
    </row>
    <row r="4236" spans="1:17" x14ac:dyDescent="0.3">
      <c r="A4236" t="s">
        <v>4382</v>
      </c>
      <c r="B4236" t="str">
        <f>"300480"</f>
        <v>300480</v>
      </c>
      <c r="C4236" t="s">
        <v>8514</v>
      </c>
      <c r="D4236" t="s">
        <v>78</v>
      </c>
      <c r="F4236">
        <v>32465242</v>
      </c>
      <c r="G4236">
        <v>21314779</v>
      </c>
      <c r="H4236">
        <v>6196144</v>
      </c>
      <c r="I4236">
        <v>-32254976</v>
      </c>
      <c r="J4236">
        <v>-34934810</v>
      </c>
      <c r="K4236">
        <v>-16296874</v>
      </c>
      <c r="L4236">
        <v>-220462</v>
      </c>
      <c r="M4236">
        <v>8842882</v>
      </c>
      <c r="P4236">
        <v>85</v>
      </c>
      <c r="Q4236" t="s">
        <v>8515</v>
      </c>
    </row>
    <row r="4237" spans="1:17" x14ac:dyDescent="0.3">
      <c r="A4237" t="s">
        <v>4382</v>
      </c>
      <c r="B4237" t="str">
        <f>"300481"</f>
        <v>300481</v>
      </c>
      <c r="C4237" t="s">
        <v>8516</v>
      </c>
      <c r="D4237" t="s">
        <v>150</v>
      </c>
      <c r="F4237">
        <v>-104674105</v>
      </c>
      <c r="G4237">
        <v>5578707</v>
      </c>
      <c r="H4237">
        <v>99875830</v>
      </c>
      <c r="I4237">
        <v>39692850</v>
      </c>
      <c r="J4237">
        <v>-28650532</v>
      </c>
      <c r="K4237">
        <v>32212057</v>
      </c>
      <c r="L4237">
        <v>21002950</v>
      </c>
      <c r="M4237">
        <v>-5934667</v>
      </c>
      <c r="P4237">
        <v>354</v>
      </c>
      <c r="Q4237" t="s">
        <v>8517</v>
      </c>
    </row>
    <row r="4238" spans="1:17" x14ac:dyDescent="0.3">
      <c r="A4238" t="s">
        <v>4382</v>
      </c>
      <c r="B4238" t="str">
        <f>"300482"</f>
        <v>300482</v>
      </c>
      <c r="C4238" t="s">
        <v>8518</v>
      </c>
      <c r="D4238" t="s">
        <v>113</v>
      </c>
      <c r="F4238">
        <v>-44067114</v>
      </c>
      <c r="G4238">
        <v>580004907</v>
      </c>
      <c r="H4238">
        <v>52990076</v>
      </c>
      <c r="I4238">
        <v>-5668582</v>
      </c>
      <c r="J4238">
        <v>-18027005</v>
      </c>
      <c r="K4238">
        <v>52406716</v>
      </c>
      <c r="L4238">
        <v>52095127</v>
      </c>
      <c r="M4238">
        <v>47368568</v>
      </c>
      <c r="P4238">
        <v>17075</v>
      </c>
      <c r="Q4238" t="s">
        <v>8519</v>
      </c>
    </row>
    <row r="4239" spans="1:17" x14ac:dyDescent="0.3">
      <c r="A4239" t="s">
        <v>4382</v>
      </c>
      <c r="B4239" t="str">
        <f>"300483"</f>
        <v>300483</v>
      </c>
      <c r="C4239" t="s">
        <v>8520</v>
      </c>
      <c r="D4239" t="s">
        <v>41</v>
      </c>
      <c r="F4239">
        <v>250934553</v>
      </c>
      <c r="G4239">
        <v>-31715727</v>
      </c>
      <c r="H4239">
        <v>129176139</v>
      </c>
      <c r="I4239">
        <v>-53955731</v>
      </c>
      <c r="J4239">
        <v>21010576</v>
      </c>
      <c r="K4239">
        <v>8370535</v>
      </c>
      <c r="L4239">
        <v>21730763</v>
      </c>
      <c r="M4239">
        <v>724825</v>
      </c>
      <c r="P4239">
        <v>140</v>
      </c>
      <c r="Q4239" t="s">
        <v>8521</v>
      </c>
    </row>
    <row r="4240" spans="1:17" x14ac:dyDescent="0.3">
      <c r="A4240" t="s">
        <v>4382</v>
      </c>
      <c r="B4240" t="str">
        <f>"300484"</f>
        <v>300484</v>
      </c>
      <c r="C4240" t="s">
        <v>8522</v>
      </c>
      <c r="D4240" t="s">
        <v>78</v>
      </c>
      <c r="F4240">
        <v>88857584</v>
      </c>
      <c r="G4240">
        <v>93512833</v>
      </c>
      <c r="H4240">
        <v>-53861183</v>
      </c>
      <c r="I4240">
        <v>-100166759</v>
      </c>
      <c r="J4240">
        <v>80799778</v>
      </c>
      <c r="K4240">
        <v>-20032384</v>
      </c>
      <c r="L4240">
        <v>-34814693</v>
      </c>
      <c r="P4240">
        <v>219</v>
      </c>
      <c r="Q4240" t="s">
        <v>8523</v>
      </c>
    </row>
    <row r="4241" spans="1:17" x14ac:dyDescent="0.3">
      <c r="A4241" t="s">
        <v>4382</v>
      </c>
      <c r="B4241" t="str">
        <f>"300485"</f>
        <v>300485</v>
      </c>
      <c r="C4241" t="s">
        <v>8524</v>
      </c>
      <c r="D4241" t="s">
        <v>113</v>
      </c>
      <c r="F4241">
        <v>114721383</v>
      </c>
      <c r="G4241">
        <v>147357359</v>
      </c>
      <c r="H4241">
        <v>27594994</v>
      </c>
      <c r="I4241">
        <v>-5240865</v>
      </c>
      <c r="J4241">
        <v>-11165686</v>
      </c>
      <c r="K4241">
        <v>71106736</v>
      </c>
      <c r="L4241">
        <v>122409792</v>
      </c>
      <c r="M4241">
        <v>124394513</v>
      </c>
      <c r="P4241">
        <v>196</v>
      </c>
      <c r="Q4241" t="s">
        <v>8525</v>
      </c>
    </row>
    <row r="4242" spans="1:17" x14ac:dyDescent="0.3">
      <c r="A4242" t="s">
        <v>4382</v>
      </c>
      <c r="B4242" t="str">
        <f>"300486"</f>
        <v>300486</v>
      </c>
      <c r="C4242" t="s">
        <v>8526</v>
      </c>
      <c r="D4242" t="s">
        <v>78</v>
      </c>
      <c r="F4242">
        <v>-19094317</v>
      </c>
      <c r="G4242">
        <v>-25207647</v>
      </c>
      <c r="H4242">
        <v>-80767362</v>
      </c>
      <c r="I4242">
        <v>-90399430</v>
      </c>
      <c r="J4242">
        <v>-40367704</v>
      </c>
      <c r="K4242">
        <v>-23723203</v>
      </c>
      <c r="L4242">
        <v>-152642613</v>
      </c>
      <c r="M4242">
        <v>-46990523</v>
      </c>
      <c r="P4242">
        <v>75</v>
      </c>
      <c r="Q4242" t="s">
        <v>8527</v>
      </c>
    </row>
    <row r="4243" spans="1:17" x14ac:dyDescent="0.3">
      <c r="A4243" t="s">
        <v>4382</v>
      </c>
      <c r="B4243" t="str">
        <f>"300487"</f>
        <v>300487</v>
      </c>
      <c r="C4243" t="s">
        <v>8528</v>
      </c>
      <c r="D4243" t="s">
        <v>133</v>
      </c>
      <c r="F4243">
        <v>84857837</v>
      </c>
      <c r="G4243">
        <v>91747735</v>
      </c>
      <c r="H4243">
        <v>-261918356</v>
      </c>
      <c r="I4243">
        <v>-102155244</v>
      </c>
      <c r="J4243">
        <v>41266498</v>
      </c>
      <c r="K4243">
        <v>-53318223</v>
      </c>
      <c r="L4243">
        <v>-74211241</v>
      </c>
      <c r="M4243">
        <v>-24960377</v>
      </c>
      <c r="P4243">
        <v>374</v>
      </c>
      <c r="Q4243" t="s">
        <v>8529</v>
      </c>
    </row>
    <row r="4244" spans="1:17" x14ac:dyDescent="0.3">
      <c r="A4244" t="s">
        <v>4382</v>
      </c>
      <c r="B4244" t="str">
        <f>"300488"</f>
        <v>300488</v>
      </c>
      <c r="C4244" t="s">
        <v>8530</v>
      </c>
      <c r="D4244" t="s">
        <v>78</v>
      </c>
      <c r="F4244">
        <v>36110713</v>
      </c>
      <c r="G4244">
        <v>-26075775</v>
      </c>
      <c r="H4244">
        <v>13253625</v>
      </c>
      <c r="I4244">
        <v>-2431601</v>
      </c>
      <c r="J4244">
        <v>-38813422</v>
      </c>
      <c r="K4244">
        <v>12880752</v>
      </c>
      <c r="L4244">
        <v>9050252</v>
      </c>
      <c r="M4244">
        <v>36226967</v>
      </c>
      <c r="P4244">
        <v>120</v>
      </c>
      <c r="Q4244" t="s">
        <v>8531</v>
      </c>
    </row>
    <row r="4245" spans="1:17" x14ac:dyDescent="0.3">
      <c r="A4245" t="s">
        <v>4382</v>
      </c>
      <c r="B4245" t="str">
        <f>"300489"</f>
        <v>300489</v>
      </c>
      <c r="C4245" t="s">
        <v>8532</v>
      </c>
      <c r="D4245" t="s">
        <v>234</v>
      </c>
      <c r="F4245">
        <v>-680584515</v>
      </c>
      <c r="G4245">
        <v>-943463165</v>
      </c>
      <c r="H4245">
        <v>30987404</v>
      </c>
      <c r="I4245">
        <v>-8579711</v>
      </c>
      <c r="J4245">
        <v>-46771141</v>
      </c>
      <c r="K4245">
        <v>-36694272</v>
      </c>
      <c r="L4245">
        <v>-60469571</v>
      </c>
      <c r="M4245">
        <v>-57113098</v>
      </c>
      <c r="P4245">
        <v>71</v>
      </c>
      <c r="Q4245" t="s">
        <v>8533</v>
      </c>
    </row>
    <row r="4246" spans="1:17" x14ac:dyDescent="0.3">
      <c r="A4246" t="s">
        <v>4382</v>
      </c>
      <c r="B4246" t="str">
        <f>"300490"</f>
        <v>300490</v>
      </c>
      <c r="C4246" t="s">
        <v>8534</v>
      </c>
      <c r="D4246" t="s">
        <v>188</v>
      </c>
      <c r="F4246">
        <v>-272432586</v>
      </c>
      <c r="G4246">
        <v>-125688452</v>
      </c>
      <c r="H4246">
        <v>-155248147</v>
      </c>
      <c r="I4246">
        <v>-182416206</v>
      </c>
      <c r="J4246">
        <v>-79751569</v>
      </c>
      <c r="K4246">
        <v>-110956355</v>
      </c>
      <c r="L4246">
        <v>-1564085</v>
      </c>
      <c r="M4246">
        <v>11766659</v>
      </c>
      <c r="P4246">
        <v>161</v>
      </c>
      <c r="Q4246" t="s">
        <v>8535</v>
      </c>
    </row>
    <row r="4247" spans="1:17" x14ac:dyDescent="0.3">
      <c r="A4247" t="s">
        <v>4382</v>
      </c>
      <c r="B4247" t="str">
        <f>"300491"</f>
        <v>300491</v>
      </c>
      <c r="C4247" t="s">
        <v>8536</v>
      </c>
      <c r="D4247" t="s">
        <v>188</v>
      </c>
      <c r="F4247">
        <v>-33801663</v>
      </c>
      <c r="G4247">
        <v>-28038549</v>
      </c>
      <c r="H4247">
        <v>-16917667</v>
      </c>
      <c r="I4247">
        <v>-58720227</v>
      </c>
      <c r="J4247">
        <v>-14703129</v>
      </c>
      <c r="K4247">
        <v>-51779380</v>
      </c>
      <c r="L4247">
        <v>-22359264</v>
      </c>
      <c r="M4247">
        <v>-23148141</v>
      </c>
      <c r="P4247">
        <v>94</v>
      </c>
      <c r="Q4247" t="s">
        <v>8537</v>
      </c>
    </row>
    <row r="4248" spans="1:17" x14ac:dyDescent="0.3">
      <c r="A4248" t="s">
        <v>4382</v>
      </c>
      <c r="B4248" t="str">
        <f>"300492"</f>
        <v>300492</v>
      </c>
      <c r="C4248" t="s">
        <v>8538</v>
      </c>
      <c r="D4248" t="s">
        <v>95</v>
      </c>
      <c r="F4248">
        <v>-162056</v>
      </c>
      <c r="G4248">
        <v>-4674193</v>
      </c>
      <c r="H4248">
        <v>30045521</v>
      </c>
      <c r="I4248">
        <v>58011969</v>
      </c>
      <c r="J4248">
        <v>-14260653</v>
      </c>
      <c r="K4248">
        <v>-19150733</v>
      </c>
      <c r="L4248">
        <v>-2436810</v>
      </c>
      <c r="M4248">
        <v>-32255525</v>
      </c>
      <c r="P4248">
        <v>94</v>
      </c>
      <c r="Q4248" t="s">
        <v>8539</v>
      </c>
    </row>
    <row r="4249" spans="1:17" x14ac:dyDescent="0.3">
      <c r="A4249" t="s">
        <v>4382</v>
      </c>
      <c r="B4249" t="str">
        <f>"300493"</f>
        <v>300493</v>
      </c>
      <c r="C4249" t="s">
        <v>8540</v>
      </c>
      <c r="D4249" t="s">
        <v>150</v>
      </c>
      <c r="F4249">
        <v>-135693623</v>
      </c>
      <c r="G4249">
        <v>82510055</v>
      </c>
      <c r="H4249">
        <v>228299288</v>
      </c>
      <c r="I4249">
        <v>-99978034</v>
      </c>
      <c r="J4249">
        <v>45675249</v>
      </c>
      <c r="K4249">
        <v>-125041653</v>
      </c>
      <c r="L4249">
        <v>-18713919</v>
      </c>
      <c r="M4249">
        <v>-28248604</v>
      </c>
      <c r="P4249">
        <v>187</v>
      </c>
      <c r="Q4249" t="s">
        <v>8541</v>
      </c>
    </row>
    <row r="4250" spans="1:17" x14ac:dyDescent="0.3">
      <c r="A4250" t="s">
        <v>4382</v>
      </c>
      <c r="B4250" t="str">
        <f>"300494"</f>
        <v>300494</v>
      </c>
      <c r="C4250" t="s">
        <v>8542</v>
      </c>
      <c r="D4250" t="s">
        <v>89</v>
      </c>
      <c r="F4250">
        <v>79571712</v>
      </c>
      <c r="G4250">
        <v>14753678</v>
      </c>
      <c r="H4250">
        <v>2043883</v>
      </c>
      <c r="I4250">
        <v>-8529020</v>
      </c>
      <c r="J4250">
        <v>50509992</v>
      </c>
      <c r="K4250">
        <v>54175346</v>
      </c>
      <c r="L4250">
        <v>53861757</v>
      </c>
      <c r="M4250">
        <v>64152756</v>
      </c>
      <c r="P4250">
        <v>134</v>
      </c>
      <c r="Q4250" t="s">
        <v>8543</v>
      </c>
    </row>
    <row r="4251" spans="1:17" x14ac:dyDescent="0.3">
      <c r="A4251" t="s">
        <v>4382</v>
      </c>
      <c r="B4251" t="str">
        <f>"300495"</f>
        <v>300495</v>
      </c>
      <c r="C4251" t="s">
        <v>8544</v>
      </c>
      <c r="D4251" t="s">
        <v>95</v>
      </c>
      <c r="F4251">
        <v>64228646</v>
      </c>
      <c r="G4251">
        <v>83250936</v>
      </c>
      <c r="H4251">
        <v>-237697698</v>
      </c>
      <c r="I4251">
        <v>-61706589</v>
      </c>
      <c r="J4251">
        <v>-312403767</v>
      </c>
      <c r="K4251">
        <v>-266431794</v>
      </c>
      <c r="L4251">
        <v>-155619300</v>
      </c>
      <c r="M4251">
        <v>-16720700</v>
      </c>
      <c r="P4251">
        <v>103</v>
      </c>
      <c r="Q4251" t="s">
        <v>8545</v>
      </c>
    </row>
    <row r="4252" spans="1:17" x14ac:dyDescent="0.3">
      <c r="A4252" t="s">
        <v>4382</v>
      </c>
      <c r="B4252" t="str">
        <f>"300496"</f>
        <v>300496</v>
      </c>
      <c r="C4252" t="s">
        <v>8546</v>
      </c>
      <c r="D4252" t="s">
        <v>212</v>
      </c>
      <c r="F4252">
        <v>-313236454</v>
      </c>
      <c r="G4252">
        <v>241528476</v>
      </c>
      <c r="H4252">
        <v>-67031224</v>
      </c>
      <c r="I4252">
        <v>57420704</v>
      </c>
      <c r="J4252">
        <v>72733201</v>
      </c>
      <c r="K4252">
        <v>26478764</v>
      </c>
      <c r="L4252">
        <v>28893923</v>
      </c>
      <c r="M4252">
        <v>-3078151</v>
      </c>
      <c r="P4252">
        <v>1141</v>
      </c>
      <c r="Q4252" t="s">
        <v>8547</v>
      </c>
    </row>
    <row r="4253" spans="1:17" x14ac:dyDescent="0.3">
      <c r="A4253" t="s">
        <v>4382</v>
      </c>
      <c r="B4253" t="str">
        <f>"300497"</f>
        <v>300497</v>
      </c>
      <c r="C4253" t="s">
        <v>8548</v>
      </c>
      <c r="D4253" t="s">
        <v>113</v>
      </c>
      <c r="F4253">
        <v>-352895468</v>
      </c>
      <c r="G4253">
        <v>-13250995</v>
      </c>
      <c r="H4253">
        <v>-59343654</v>
      </c>
      <c r="I4253">
        <v>14028745</v>
      </c>
      <c r="J4253">
        <v>74053689</v>
      </c>
      <c r="K4253">
        <v>83280932</v>
      </c>
      <c r="L4253">
        <v>-275755</v>
      </c>
      <c r="M4253">
        <v>-25553723</v>
      </c>
      <c r="P4253">
        <v>4722</v>
      </c>
      <c r="Q4253" t="s">
        <v>8549</v>
      </c>
    </row>
    <row r="4254" spans="1:17" x14ac:dyDescent="0.3">
      <c r="A4254" t="s">
        <v>4382</v>
      </c>
      <c r="B4254" t="str">
        <f>"300498"</f>
        <v>300498</v>
      </c>
      <c r="C4254" t="s">
        <v>8550</v>
      </c>
      <c r="D4254" t="s">
        <v>205</v>
      </c>
      <c r="F4254">
        <v>-10321681996</v>
      </c>
      <c r="G4254">
        <v>-8658152225</v>
      </c>
      <c r="H4254">
        <v>2851427455</v>
      </c>
      <c r="I4254">
        <v>-1347586879</v>
      </c>
      <c r="J4254">
        <v>-1994356157</v>
      </c>
      <c r="K4254">
        <v>7949205545</v>
      </c>
      <c r="L4254">
        <v>3777781366</v>
      </c>
      <c r="M4254">
        <v>2321426000</v>
      </c>
      <c r="P4254">
        <v>2457</v>
      </c>
      <c r="Q4254" t="s">
        <v>8551</v>
      </c>
    </row>
    <row r="4255" spans="1:17" x14ac:dyDescent="0.3">
      <c r="A4255" t="s">
        <v>4382</v>
      </c>
      <c r="B4255" t="str">
        <f>"300499"</f>
        <v>300499</v>
      </c>
      <c r="C4255" t="s">
        <v>8552</v>
      </c>
      <c r="D4255" t="s">
        <v>78</v>
      </c>
      <c r="F4255">
        <v>-132718090</v>
      </c>
      <c r="G4255">
        <v>-202217143</v>
      </c>
      <c r="H4255">
        <v>-164387081</v>
      </c>
      <c r="I4255">
        <v>-36103571</v>
      </c>
      <c r="J4255">
        <v>-90231418</v>
      </c>
      <c r="K4255">
        <v>-175719382</v>
      </c>
      <c r="L4255">
        <v>-101013461</v>
      </c>
      <c r="M4255">
        <v>-51878349</v>
      </c>
      <c r="P4255">
        <v>136</v>
      </c>
      <c r="Q4255" t="s">
        <v>8553</v>
      </c>
    </row>
    <row r="4256" spans="1:17" x14ac:dyDescent="0.3">
      <c r="A4256" t="s">
        <v>4382</v>
      </c>
      <c r="B4256" t="str">
        <f>"300500"</f>
        <v>300500</v>
      </c>
      <c r="C4256" t="s">
        <v>8554</v>
      </c>
      <c r="D4256" t="s">
        <v>95</v>
      </c>
      <c r="F4256">
        <v>-82640143</v>
      </c>
      <c r="G4256">
        <v>70587302</v>
      </c>
      <c r="H4256">
        <v>-117718045</v>
      </c>
      <c r="I4256">
        <v>-97645042</v>
      </c>
      <c r="J4256">
        <v>-17879467</v>
      </c>
      <c r="K4256">
        <v>2233720</v>
      </c>
      <c r="L4256">
        <v>-11598900</v>
      </c>
      <c r="M4256">
        <v>-3489300</v>
      </c>
      <c r="P4256">
        <v>100</v>
      </c>
      <c r="Q4256" t="s">
        <v>8555</v>
      </c>
    </row>
    <row r="4257" spans="1:17" x14ac:dyDescent="0.3">
      <c r="A4257" t="s">
        <v>4382</v>
      </c>
      <c r="B4257" t="str">
        <f>"300501"</f>
        <v>300501</v>
      </c>
      <c r="C4257" t="s">
        <v>8556</v>
      </c>
      <c r="D4257" t="s">
        <v>161</v>
      </c>
      <c r="F4257">
        <v>-29962831</v>
      </c>
      <c r="G4257">
        <v>35622968</v>
      </c>
      <c r="H4257">
        <v>98722950</v>
      </c>
      <c r="I4257">
        <v>-19751219</v>
      </c>
      <c r="J4257">
        <v>-19778079</v>
      </c>
      <c r="K4257">
        <v>-17667978</v>
      </c>
      <c r="L4257">
        <v>21706366</v>
      </c>
      <c r="P4257">
        <v>132</v>
      </c>
      <c r="Q4257" t="s">
        <v>8557</v>
      </c>
    </row>
    <row r="4258" spans="1:17" x14ac:dyDescent="0.3">
      <c r="A4258" t="s">
        <v>4382</v>
      </c>
      <c r="B4258" t="str">
        <f>"300502"</f>
        <v>300502</v>
      </c>
      <c r="C4258" t="s">
        <v>8558</v>
      </c>
      <c r="D4258" t="s">
        <v>100</v>
      </c>
      <c r="F4258">
        <v>36773781</v>
      </c>
      <c r="G4258">
        <v>-307636930</v>
      </c>
      <c r="H4258">
        <v>42650394</v>
      </c>
      <c r="I4258">
        <v>256272474</v>
      </c>
      <c r="J4258">
        <v>-149236729</v>
      </c>
      <c r="K4258">
        <v>-78188593</v>
      </c>
      <c r="L4258">
        <v>-31471943</v>
      </c>
      <c r="P4258">
        <v>637</v>
      </c>
      <c r="Q4258" t="s">
        <v>8559</v>
      </c>
    </row>
    <row r="4259" spans="1:17" x14ac:dyDescent="0.3">
      <c r="A4259" t="s">
        <v>4382</v>
      </c>
      <c r="B4259" t="str">
        <f>"300503"</f>
        <v>300503</v>
      </c>
      <c r="C4259" t="s">
        <v>8560</v>
      </c>
      <c r="D4259" t="s">
        <v>78</v>
      </c>
      <c r="F4259">
        <v>-81194082</v>
      </c>
      <c r="G4259">
        <v>44984580</v>
      </c>
      <c r="H4259">
        <v>-173692299</v>
      </c>
      <c r="I4259">
        <v>-104187394</v>
      </c>
      <c r="J4259">
        <v>-48700453</v>
      </c>
      <c r="K4259">
        <v>-137889953</v>
      </c>
      <c r="L4259">
        <v>-17492287</v>
      </c>
      <c r="P4259">
        <v>136</v>
      </c>
      <c r="Q4259" t="s">
        <v>8561</v>
      </c>
    </row>
    <row r="4260" spans="1:17" x14ac:dyDescent="0.3">
      <c r="A4260" t="s">
        <v>4382</v>
      </c>
      <c r="B4260" t="str">
        <f>"300504"</f>
        <v>300504</v>
      </c>
      <c r="C4260" t="s">
        <v>8562</v>
      </c>
      <c r="D4260" t="s">
        <v>100</v>
      </c>
      <c r="F4260">
        <v>-479880166</v>
      </c>
      <c r="G4260">
        <v>-130476397</v>
      </c>
      <c r="H4260">
        <v>-54877539</v>
      </c>
      <c r="I4260">
        <v>-373297050</v>
      </c>
      <c r="J4260">
        <v>-190641196</v>
      </c>
      <c r="P4260">
        <v>177</v>
      </c>
      <c r="Q4260" t="s">
        <v>8563</v>
      </c>
    </row>
    <row r="4261" spans="1:17" x14ac:dyDescent="0.3">
      <c r="A4261" t="s">
        <v>4382</v>
      </c>
      <c r="B4261" t="str">
        <f>"300505"</f>
        <v>300505</v>
      </c>
      <c r="C4261" t="s">
        <v>8564</v>
      </c>
      <c r="D4261" t="s">
        <v>133</v>
      </c>
      <c r="F4261">
        <v>-246802958</v>
      </c>
      <c r="G4261">
        <v>-190660172</v>
      </c>
      <c r="H4261">
        <v>-158015801</v>
      </c>
      <c r="I4261">
        <v>-70920457</v>
      </c>
      <c r="J4261">
        <v>-68697234</v>
      </c>
      <c r="K4261">
        <v>21932983</v>
      </c>
      <c r="L4261">
        <v>-23092337</v>
      </c>
      <c r="P4261">
        <v>98</v>
      </c>
      <c r="Q4261" t="s">
        <v>8565</v>
      </c>
    </row>
    <row r="4262" spans="1:17" x14ac:dyDescent="0.3">
      <c r="A4262" t="s">
        <v>4382</v>
      </c>
      <c r="B4262" t="str">
        <f>"300506"</f>
        <v>300506</v>
      </c>
      <c r="C4262" t="s">
        <v>8566</v>
      </c>
      <c r="D4262" t="s">
        <v>95</v>
      </c>
      <c r="F4262">
        <v>-154052264</v>
      </c>
      <c r="G4262">
        <v>-342939102</v>
      </c>
      <c r="H4262">
        <v>-71033264</v>
      </c>
      <c r="I4262">
        <v>-253163319</v>
      </c>
      <c r="J4262">
        <v>-152204600</v>
      </c>
      <c r="K4262">
        <v>-90927064</v>
      </c>
      <c r="L4262">
        <v>-29108744</v>
      </c>
      <c r="P4262">
        <v>294</v>
      </c>
      <c r="Q4262" t="s">
        <v>8567</v>
      </c>
    </row>
    <row r="4263" spans="1:17" x14ac:dyDescent="0.3">
      <c r="A4263" t="s">
        <v>4382</v>
      </c>
      <c r="B4263" t="str">
        <f>"300507"</f>
        <v>300507</v>
      </c>
      <c r="C4263" t="s">
        <v>8568</v>
      </c>
      <c r="D4263" t="s">
        <v>27</v>
      </c>
      <c r="F4263">
        <v>30103026</v>
      </c>
      <c r="G4263">
        <v>41887950</v>
      </c>
      <c r="H4263">
        <v>11268309</v>
      </c>
      <c r="I4263">
        <v>-38753030</v>
      </c>
      <c r="J4263">
        <v>29838347</v>
      </c>
      <c r="K4263">
        <v>12048718</v>
      </c>
      <c r="L4263">
        <v>36638290</v>
      </c>
      <c r="P4263">
        <v>137</v>
      </c>
      <c r="Q4263" t="s">
        <v>8569</v>
      </c>
    </row>
    <row r="4264" spans="1:17" x14ac:dyDescent="0.3">
      <c r="A4264" t="s">
        <v>4382</v>
      </c>
      <c r="B4264" t="str">
        <f>"300508"</f>
        <v>300508</v>
      </c>
      <c r="C4264" t="s">
        <v>8570</v>
      </c>
      <c r="D4264" t="s">
        <v>212</v>
      </c>
      <c r="F4264">
        <v>-21485874</v>
      </c>
      <c r="G4264">
        <v>-45250123</v>
      </c>
      <c r="H4264">
        <v>-36824349</v>
      </c>
      <c r="I4264">
        <v>15085316</v>
      </c>
      <c r="J4264">
        <v>18605850</v>
      </c>
      <c r="K4264">
        <v>1933525</v>
      </c>
      <c r="L4264">
        <v>16798693</v>
      </c>
      <c r="P4264">
        <v>131</v>
      </c>
      <c r="Q4264" t="s">
        <v>8571</v>
      </c>
    </row>
    <row r="4265" spans="1:17" x14ac:dyDescent="0.3">
      <c r="A4265" t="s">
        <v>4382</v>
      </c>
      <c r="B4265" t="str">
        <f>"300509"</f>
        <v>300509</v>
      </c>
      <c r="C4265" t="s">
        <v>8572</v>
      </c>
      <c r="D4265" t="s">
        <v>78</v>
      </c>
      <c r="F4265">
        <v>-2605130</v>
      </c>
      <c r="G4265">
        <v>82838065</v>
      </c>
      <c r="H4265">
        <v>-47314078</v>
      </c>
      <c r="I4265">
        <v>-119121932</v>
      </c>
      <c r="J4265">
        <v>-118299159</v>
      </c>
      <c r="K4265">
        <v>-15712333</v>
      </c>
      <c r="L4265">
        <v>30125913</v>
      </c>
      <c r="P4265">
        <v>64</v>
      </c>
      <c r="Q4265" t="s">
        <v>8573</v>
      </c>
    </row>
    <row r="4266" spans="1:17" x14ac:dyDescent="0.3">
      <c r="A4266" t="s">
        <v>4382</v>
      </c>
      <c r="B4266" t="str">
        <f>"300510"</f>
        <v>300510</v>
      </c>
      <c r="C4266" t="s">
        <v>8574</v>
      </c>
      <c r="D4266" t="s">
        <v>188</v>
      </c>
      <c r="F4266">
        <v>-238681336</v>
      </c>
      <c r="G4266">
        <v>-87219550</v>
      </c>
      <c r="H4266">
        <v>-147412564</v>
      </c>
      <c r="I4266">
        <v>-362350600</v>
      </c>
      <c r="J4266">
        <v>-53752423</v>
      </c>
      <c r="K4266">
        <v>-49140375</v>
      </c>
      <c r="L4266">
        <v>-35146207</v>
      </c>
      <c r="P4266">
        <v>115</v>
      </c>
      <c r="Q4266" t="s">
        <v>8575</v>
      </c>
    </row>
    <row r="4267" spans="1:17" x14ac:dyDescent="0.3">
      <c r="A4267" t="s">
        <v>4382</v>
      </c>
      <c r="B4267" t="str">
        <f>"300511"</f>
        <v>300511</v>
      </c>
      <c r="C4267" t="s">
        <v>8576</v>
      </c>
      <c r="D4267" t="s">
        <v>205</v>
      </c>
      <c r="F4267">
        <v>-430088609</v>
      </c>
      <c r="G4267">
        <v>73474154</v>
      </c>
      <c r="H4267">
        <v>192956371</v>
      </c>
      <c r="I4267">
        <v>92799907</v>
      </c>
      <c r="J4267">
        <v>-740162688</v>
      </c>
      <c r="K4267">
        <v>-269133960</v>
      </c>
      <c r="L4267">
        <v>-129110938</v>
      </c>
      <c r="P4267">
        <v>301</v>
      </c>
      <c r="Q4267" t="s">
        <v>8577</v>
      </c>
    </row>
    <row r="4268" spans="1:17" x14ac:dyDescent="0.3">
      <c r="A4268" t="s">
        <v>4382</v>
      </c>
      <c r="B4268" t="str">
        <f>"300512"</f>
        <v>300512</v>
      </c>
      <c r="C4268" t="s">
        <v>8578</v>
      </c>
      <c r="D4268" t="s">
        <v>78</v>
      </c>
      <c r="F4268">
        <v>-138962729</v>
      </c>
      <c r="G4268">
        <v>18138704</v>
      </c>
      <c r="H4268">
        <v>-156888741</v>
      </c>
      <c r="I4268">
        <v>-170082684</v>
      </c>
      <c r="J4268">
        <v>79134176</v>
      </c>
      <c r="K4268">
        <v>56936877</v>
      </c>
      <c r="L4268">
        <v>-61912550</v>
      </c>
      <c r="P4268">
        <v>161</v>
      </c>
      <c r="Q4268" t="s">
        <v>8579</v>
      </c>
    </row>
    <row r="4269" spans="1:17" x14ac:dyDescent="0.3">
      <c r="A4269" t="s">
        <v>4382</v>
      </c>
      <c r="B4269" t="str">
        <f>"300513"</f>
        <v>300513</v>
      </c>
      <c r="C4269" t="s">
        <v>8580</v>
      </c>
      <c r="D4269" t="s">
        <v>100</v>
      </c>
      <c r="F4269">
        <v>-188932053</v>
      </c>
      <c r="G4269">
        <v>-188587026</v>
      </c>
      <c r="H4269">
        <v>-323805521</v>
      </c>
      <c r="I4269">
        <v>-156298236</v>
      </c>
      <c r="J4269">
        <v>-106138477</v>
      </c>
      <c r="K4269">
        <v>-112057668</v>
      </c>
      <c r="L4269">
        <v>-43659289</v>
      </c>
      <c r="P4269">
        <v>160</v>
      </c>
      <c r="Q4269" t="s">
        <v>8581</v>
      </c>
    </row>
    <row r="4270" spans="1:17" x14ac:dyDescent="0.3">
      <c r="A4270" t="s">
        <v>4382</v>
      </c>
      <c r="B4270" t="str">
        <f>"300514"</f>
        <v>300514</v>
      </c>
      <c r="C4270" t="s">
        <v>8582</v>
      </c>
      <c r="D4270" t="s">
        <v>188</v>
      </c>
      <c r="F4270">
        <v>91859066</v>
      </c>
      <c r="G4270">
        <v>38543486</v>
      </c>
      <c r="H4270">
        <v>-112235816</v>
      </c>
      <c r="I4270">
        <v>-64903347</v>
      </c>
      <c r="J4270">
        <v>-35339589</v>
      </c>
      <c r="K4270">
        <v>28411971</v>
      </c>
      <c r="P4270">
        <v>148</v>
      </c>
      <c r="Q4270" t="s">
        <v>8583</v>
      </c>
    </row>
    <row r="4271" spans="1:17" x14ac:dyDescent="0.3">
      <c r="A4271" t="s">
        <v>4382</v>
      </c>
      <c r="B4271" t="str">
        <f>"300515"</f>
        <v>300515</v>
      </c>
      <c r="C4271" t="s">
        <v>8584</v>
      </c>
      <c r="D4271" t="s">
        <v>78</v>
      </c>
      <c r="F4271">
        <v>6946893</v>
      </c>
      <c r="G4271">
        <v>42374040</v>
      </c>
      <c r="H4271">
        <v>43411360</v>
      </c>
      <c r="I4271">
        <v>-14561986</v>
      </c>
      <c r="J4271">
        <v>1089062</v>
      </c>
      <c r="K4271">
        <v>-4515436</v>
      </c>
      <c r="L4271">
        <v>3170390</v>
      </c>
      <c r="P4271">
        <v>80</v>
      </c>
      <c r="Q4271" t="s">
        <v>8585</v>
      </c>
    </row>
    <row r="4272" spans="1:17" x14ac:dyDescent="0.3">
      <c r="A4272" t="s">
        <v>4382</v>
      </c>
      <c r="B4272" t="str">
        <f>"300516"</f>
        <v>300516</v>
      </c>
      <c r="C4272" t="s">
        <v>8586</v>
      </c>
      <c r="D4272" t="s">
        <v>150</v>
      </c>
      <c r="F4272">
        <v>-362222608</v>
      </c>
      <c r="G4272">
        <v>-144117252</v>
      </c>
      <c r="H4272">
        <v>-126800721</v>
      </c>
      <c r="I4272">
        <v>-43101605</v>
      </c>
      <c r="J4272">
        <v>-212097242</v>
      </c>
      <c r="K4272">
        <v>-159595840</v>
      </c>
      <c r="L4272">
        <v>-77893210</v>
      </c>
      <c r="P4272">
        <v>118</v>
      </c>
      <c r="Q4272" t="s">
        <v>8587</v>
      </c>
    </row>
    <row r="4273" spans="1:17" x14ac:dyDescent="0.3">
      <c r="A4273" t="s">
        <v>4382</v>
      </c>
      <c r="B4273" t="str">
        <f>"300517"</f>
        <v>300517</v>
      </c>
      <c r="C4273" t="s">
        <v>8588</v>
      </c>
      <c r="D4273" t="s">
        <v>95</v>
      </c>
      <c r="F4273">
        <v>-127202452</v>
      </c>
      <c r="G4273">
        <v>151977</v>
      </c>
      <c r="H4273">
        <v>83738996</v>
      </c>
      <c r="I4273">
        <v>-53677332</v>
      </c>
      <c r="J4273">
        <v>-12483324</v>
      </c>
      <c r="K4273">
        <v>-45366079</v>
      </c>
      <c r="L4273">
        <v>32349106</v>
      </c>
      <c r="P4273">
        <v>76</v>
      </c>
      <c r="Q4273" t="s">
        <v>8589</v>
      </c>
    </row>
    <row r="4274" spans="1:17" x14ac:dyDescent="0.3">
      <c r="A4274" t="s">
        <v>4382</v>
      </c>
      <c r="B4274" t="str">
        <f>"300518"</f>
        <v>300518</v>
      </c>
      <c r="C4274" t="s">
        <v>8590</v>
      </c>
      <c r="D4274" t="s">
        <v>89</v>
      </c>
      <c r="F4274">
        <v>153907978</v>
      </c>
      <c r="G4274">
        <v>184064983</v>
      </c>
      <c r="H4274">
        <v>177246267</v>
      </c>
      <c r="I4274">
        <v>31879198</v>
      </c>
      <c r="J4274">
        <v>1074358</v>
      </c>
      <c r="K4274">
        <v>-6276837</v>
      </c>
      <c r="L4274">
        <v>-8044114</v>
      </c>
      <c r="P4274">
        <v>91</v>
      </c>
      <c r="Q4274" t="s">
        <v>8591</v>
      </c>
    </row>
    <row r="4275" spans="1:17" x14ac:dyDescent="0.3">
      <c r="A4275" t="s">
        <v>4382</v>
      </c>
      <c r="B4275" t="str">
        <f>"300519"</f>
        <v>300519</v>
      </c>
      <c r="C4275" t="s">
        <v>8592</v>
      </c>
      <c r="D4275" t="s">
        <v>113</v>
      </c>
      <c r="F4275">
        <v>87355029</v>
      </c>
      <c r="G4275">
        <v>77657290</v>
      </c>
      <c r="H4275">
        <v>55570566</v>
      </c>
      <c r="I4275">
        <v>35739001</v>
      </c>
      <c r="J4275">
        <v>59699371</v>
      </c>
      <c r="K4275">
        <v>69937547</v>
      </c>
      <c r="L4275">
        <v>91686220</v>
      </c>
      <c r="P4275">
        <v>251</v>
      </c>
      <c r="Q4275" t="s">
        <v>8593</v>
      </c>
    </row>
    <row r="4276" spans="1:17" x14ac:dyDescent="0.3">
      <c r="A4276" t="s">
        <v>4382</v>
      </c>
      <c r="B4276" t="str">
        <f>"300520"</f>
        <v>300520</v>
      </c>
      <c r="C4276" t="s">
        <v>8594</v>
      </c>
      <c r="D4276" t="s">
        <v>212</v>
      </c>
      <c r="F4276">
        <v>-426132838</v>
      </c>
      <c r="G4276">
        <v>-34464170</v>
      </c>
      <c r="H4276">
        <v>-310070058</v>
      </c>
      <c r="I4276">
        <v>-245346921</v>
      </c>
      <c r="J4276">
        <v>-235974084</v>
      </c>
      <c r="K4276">
        <v>-75681733</v>
      </c>
      <c r="L4276">
        <v>-110949595</v>
      </c>
      <c r="P4276">
        <v>255</v>
      </c>
      <c r="Q4276" t="s">
        <v>8595</v>
      </c>
    </row>
    <row r="4277" spans="1:17" x14ac:dyDescent="0.3">
      <c r="A4277" t="s">
        <v>4382</v>
      </c>
      <c r="B4277" t="str">
        <f>"300521"</f>
        <v>300521</v>
      </c>
      <c r="C4277" t="s">
        <v>8596</v>
      </c>
      <c r="D4277" t="s">
        <v>78</v>
      </c>
      <c r="F4277">
        <v>-1176319</v>
      </c>
      <c r="G4277">
        <v>-6641618</v>
      </c>
      <c r="H4277">
        <v>-64424613</v>
      </c>
      <c r="I4277">
        <v>-33291890</v>
      </c>
      <c r="J4277">
        <v>1762754</v>
      </c>
      <c r="K4277">
        <v>4489356</v>
      </c>
      <c r="L4277">
        <v>10261954</v>
      </c>
      <c r="P4277">
        <v>57</v>
      </c>
      <c r="Q4277" t="s">
        <v>8597</v>
      </c>
    </row>
    <row r="4278" spans="1:17" x14ac:dyDescent="0.3">
      <c r="A4278" t="s">
        <v>4382</v>
      </c>
      <c r="B4278" t="str">
        <f>"300522"</f>
        <v>300522</v>
      </c>
      <c r="C4278" t="s">
        <v>8598</v>
      </c>
      <c r="D4278" t="s">
        <v>133</v>
      </c>
      <c r="F4278">
        <v>-47456194</v>
      </c>
      <c r="G4278">
        <v>-33543093</v>
      </c>
      <c r="H4278">
        <v>-7335048</v>
      </c>
      <c r="I4278">
        <v>12545288</v>
      </c>
      <c r="J4278">
        <v>-7237366</v>
      </c>
      <c r="K4278">
        <v>-15954006</v>
      </c>
      <c r="L4278">
        <v>-12379490</v>
      </c>
      <c r="P4278">
        <v>99</v>
      </c>
      <c r="Q4278" t="s">
        <v>8599</v>
      </c>
    </row>
    <row r="4279" spans="1:17" x14ac:dyDescent="0.3">
      <c r="A4279" t="s">
        <v>4382</v>
      </c>
      <c r="B4279" t="str">
        <f>"300523"</f>
        <v>300523</v>
      </c>
      <c r="C4279" t="s">
        <v>8600</v>
      </c>
      <c r="D4279" t="s">
        <v>212</v>
      </c>
      <c r="F4279">
        <v>-411796533</v>
      </c>
      <c r="G4279">
        <v>-168852042</v>
      </c>
      <c r="H4279">
        <v>-238183030</v>
      </c>
      <c r="I4279">
        <v>-127518373</v>
      </c>
      <c r="J4279">
        <v>-149004518</v>
      </c>
      <c r="K4279">
        <v>-96158984</v>
      </c>
      <c r="L4279">
        <v>-35138752</v>
      </c>
      <c r="P4279">
        <v>135</v>
      </c>
      <c r="Q4279" t="s">
        <v>8601</v>
      </c>
    </row>
    <row r="4280" spans="1:17" x14ac:dyDescent="0.3">
      <c r="A4280" t="s">
        <v>4382</v>
      </c>
      <c r="B4280" t="str">
        <f>"300525"</f>
        <v>300525</v>
      </c>
      <c r="C4280" t="s">
        <v>8602</v>
      </c>
      <c r="D4280" t="s">
        <v>212</v>
      </c>
      <c r="F4280">
        <v>-232322520</v>
      </c>
      <c r="G4280">
        <v>-312202983</v>
      </c>
      <c r="H4280">
        <v>-173571362</v>
      </c>
      <c r="I4280">
        <v>-116354259</v>
      </c>
      <c r="J4280">
        <v>-59445994</v>
      </c>
      <c r="K4280">
        <v>-35959204</v>
      </c>
      <c r="L4280">
        <v>-39305587</v>
      </c>
      <c r="P4280">
        <v>242</v>
      </c>
      <c r="Q4280" t="s">
        <v>8603</v>
      </c>
    </row>
    <row r="4281" spans="1:17" x14ac:dyDescent="0.3">
      <c r="A4281" t="s">
        <v>4382</v>
      </c>
      <c r="B4281" t="str">
        <f>"300526"</f>
        <v>300526</v>
      </c>
      <c r="C4281" t="s">
        <v>8604</v>
      </c>
      <c r="D4281" t="s">
        <v>227</v>
      </c>
      <c r="F4281">
        <v>172501663</v>
      </c>
      <c r="G4281">
        <v>63969528</v>
      </c>
      <c r="H4281">
        <v>-32940911</v>
      </c>
      <c r="I4281">
        <v>-28671719</v>
      </c>
      <c r="J4281">
        <v>-89709655</v>
      </c>
      <c r="K4281">
        <v>-83704994</v>
      </c>
      <c r="L4281">
        <v>30656623</v>
      </c>
      <c r="P4281">
        <v>104</v>
      </c>
      <c r="Q4281" t="s">
        <v>8605</v>
      </c>
    </row>
    <row r="4282" spans="1:17" x14ac:dyDescent="0.3">
      <c r="A4282" t="s">
        <v>4382</v>
      </c>
      <c r="B4282" t="str">
        <f>"300527"</f>
        <v>300527</v>
      </c>
      <c r="C4282" t="s">
        <v>8606</v>
      </c>
      <c r="D4282" t="s">
        <v>92</v>
      </c>
      <c r="F4282">
        <v>-862996357</v>
      </c>
      <c r="G4282">
        <v>-775471454</v>
      </c>
      <c r="H4282">
        <v>-226215124</v>
      </c>
      <c r="I4282">
        <v>-680084536</v>
      </c>
      <c r="J4282">
        <v>-387274327</v>
      </c>
      <c r="K4282">
        <v>-812104153</v>
      </c>
      <c r="L4282">
        <v>-194457019</v>
      </c>
      <c r="P4282">
        <v>144</v>
      </c>
      <c r="Q4282" t="s">
        <v>8607</v>
      </c>
    </row>
    <row r="4283" spans="1:17" x14ac:dyDescent="0.3">
      <c r="A4283" t="s">
        <v>4382</v>
      </c>
      <c r="B4283" t="str">
        <f>"300528"</f>
        <v>300528</v>
      </c>
      <c r="C4283" t="s">
        <v>8608</v>
      </c>
      <c r="D4283" t="s">
        <v>89</v>
      </c>
      <c r="F4283">
        <v>-27436138</v>
      </c>
      <c r="G4283">
        <v>6605280</v>
      </c>
      <c r="H4283">
        <v>80162265</v>
      </c>
      <c r="I4283">
        <v>-312873243</v>
      </c>
      <c r="J4283">
        <v>21320553</v>
      </c>
      <c r="K4283">
        <v>180543185</v>
      </c>
      <c r="L4283">
        <v>172615717</v>
      </c>
      <c r="P4283">
        <v>81</v>
      </c>
      <c r="Q4283" t="s">
        <v>8609</v>
      </c>
    </row>
    <row r="4284" spans="1:17" x14ac:dyDescent="0.3">
      <c r="A4284" t="s">
        <v>4382</v>
      </c>
      <c r="B4284" t="str">
        <f>"300529"</f>
        <v>300529</v>
      </c>
      <c r="C4284" t="s">
        <v>8610</v>
      </c>
      <c r="D4284" t="s">
        <v>113</v>
      </c>
      <c r="F4284">
        <v>231616678</v>
      </c>
      <c r="G4284">
        <v>280776314</v>
      </c>
      <c r="H4284">
        <v>202551198</v>
      </c>
      <c r="I4284">
        <v>94286768</v>
      </c>
      <c r="J4284">
        <v>93457446</v>
      </c>
      <c r="K4284">
        <v>70018861</v>
      </c>
      <c r="L4284">
        <v>69185913</v>
      </c>
      <c r="P4284">
        <v>5956</v>
      </c>
      <c r="Q4284" t="s">
        <v>8611</v>
      </c>
    </row>
    <row r="4285" spans="1:17" x14ac:dyDescent="0.3">
      <c r="A4285" t="s">
        <v>4382</v>
      </c>
      <c r="B4285" t="str">
        <f>"300530"</f>
        <v>300530</v>
      </c>
      <c r="C4285" t="s">
        <v>8612</v>
      </c>
      <c r="D4285" t="s">
        <v>133</v>
      </c>
      <c r="F4285">
        <v>-145254958</v>
      </c>
      <c r="G4285">
        <v>-139498233</v>
      </c>
      <c r="H4285">
        <v>-16076629</v>
      </c>
      <c r="I4285">
        <v>25661571</v>
      </c>
      <c r="J4285">
        <v>9062719</v>
      </c>
      <c r="K4285">
        <v>13783134</v>
      </c>
      <c r="L4285">
        <v>15686994</v>
      </c>
      <c r="P4285">
        <v>64</v>
      </c>
      <c r="Q4285" t="s">
        <v>8613</v>
      </c>
    </row>
    <row r="4286" spans="1:17" x14ac:dyDescent="0.3">
      <c r="A4286" t="s">
        <v>4382</v>
      </c>
      <c r="B4286" t="str">
        <f>"300531"</f>
        <v>300531</v>
      </c>
      <c r="C4286" t="s">
        <v>8614</v>
      </c>
      <c r="D4286" t="s">
        <v>212</v>
      </c>
      <c r="F4286">
        <v>-93683814</v>
      </c>
      <c r="G4286">
        <v>68466420</v>
      </c>
      <c r="H4286">
        <v>28391384</v>
      </c>
      <c r="I4286">
        <v>-192796074</v>
      </c>
      <c r="J4286">
        <v>-38408810</v>
      </c>
      <c r="K4286">
        <v>-13263686</v>
      </c>
      <c r="L4286">
        <v>-3961061</v>
      </c>
      <c r="P4286">
        <v>174</v>
      </c>
      <c r="Q4286" t="s">
        <v>8615</v>
      </c>
    </row>
    <row r="4287" spans="1:17" x14ac:dyDescent="0.3">
      <c r="A4287" t="s">
        <v>4382</v>
      </c>
      <c r="B4287" t="str">
        <f>"300532"</f>
        <v>300532</v>
      </c>
      <c r="C4287" t="s">
        <v>8616</v>
      </c>
      <c r="D4287" t="s">
        <v>212</v>
      </c>
      <c r="F4287">
        <v>-217821948</v>
      </c>
      <c r="G4287">
        <v>-76751134</v>
      </c>
      <c r="H4287">
        <v>-81998445</v>
      </c>
      <c r="I4287">
        <v>58080428</v>
      </c>
      <c r="J4287">
        <v>-93348939</v>
      </c>
      <c r="K4287">
        <v>-55366458</v>
      </c>
      <c r="L4287">
        <v>-39966539</v>
      </c>
      <c r="P4287">
        <v>221</v>
      </c>
      <c r="Q4287" t="s">
        <v>8617</v>
      </c>
    </row>
    <row r="4288" spans="1:17" x14ac:dyDescent="0.3">
      <c r="A4288" t="s">
        <v>4382</v>
      </c>
      <c r="B4288" t="str">
        <f>"300533"</f>
        <v>300533</v>
      </c>
      <c r="C4288" t="s">
        <v>8618</v>
      </c>
      <c r="D4288" t="s">
        <v>89</v>
      </c>
      <c r="F4288">
        <v>-11633958</v>
      </c>
      <c r="G4288">
        <v>45532521</v>
      </c>
      <c r="H4288">
        <v>35641309</v>
      </c>
      <c r="I4288">
        <v>16237489</v>
      </c>
      <c r="J4288">
        <v>-3372496</v>
      </c>
      <c r="K4288">
        <v>78906524</v>
      </c>
      <c r="L4288">
        <v>122945924</v>
      </c>
      <c r="P4288">
        <v>131</v>
      </c>
      <c r="Q4288" t="s">
        <v>8619</v>
      </c>
    </row>
    <row r="4289" spans="1:17" x14ac:dyDescent="0.3">
      <c r="A4289" t="s">
        <v>4382</v>
      </c>
      <c r="B4289" t="str">
        <f>"300534"</f>
        <v>300534</v>
      </c>
      <c r="C4289" t="s">
        <v>8620</v>
      </c>
      <c r="D4289" t="s">
        <v>113</v>
      </c>
      <c r="F4289">
        <v>23391816</v>
      </c>
      <c r="G4289">
        <v>-21010659</v>
      </c>
      <c r="H4289">
        <v>-22089078</v>
      </c>
      <c r="I4289">
        <v>-19657760</v>
      </c>
      <c r="J4289">
        <v>-83961454</v>
      </c>
      <c r="K4289">
        <v>-36455099</v>
      </c>
      <c r="L4289">
        <v>-150859145</v>
      </c>
      <c r="P4289">
        <v>109</v>
      </c>
      <c r="Q4289" t="s">
        <v>8621</v>
      </c>
    </row>
    <row r="4290" spans="1:17" x14ac:dyDescent="0.3">
      <c r="A4290" t="s">
        <v>4382</v>
      </c>
      <c r="B4290" t="str">
        <f>"300535"</f>
        <v>300535</v>
      </c>
      <c r="C4290" t="s">
        <v>8622</v>
      </c>
      <c r="D4290" t="s">
        <v>133</v>
      </c>
      <c r="F4290">
        <v>-44095059</v>
      </c>
      <c r="G4290">
        <v>-71184916</v>
      </c>
      <c r="H4290">
        <v>-51204115</v>
      </c>
      <c r="I4290">
        <v>-56030638</v>
      </c>
      <c r="J4290">
        <v>-37725396</v>
      </c>
      <c r="K4290">
        <v>16798707</v>
      </c>
      <c r="L4290">
        <v>43569537</v>
      </c>
      <c r="P4290">
        <v>73</v>
      </c>
      <c r="Q4290" t="s">
        <v>8623</v>
      </c>
    </row>
    <row r="4291" spans="1:17" x14ac:dyDescent="0.3">
      <c r="A4291" t="s">
        <v>4382</v>
      </c>
      <c r="B4291" t="str">
        <f>"300536"</f>
        <v>300536</v>
      </c>
      <c r="C4291" t="s">
        <v>8624</v>
      </c>
      <c r="D4291" t="s">
        <v>95</v>
      </c>
      <c r="F4291">
        <v>-106421327</v>
      </c>
      <c r="G4291">
        <v>-142161749</v>
      </c>
      <c r="H4291">
        <v>27023266</v>
      </c>
      <c r="I4291">
        <v>65965998</v>
      </c>
      <c r="J4291">
        <v>37502538</v>
      </c>
      <c r="K4291">
        <v>-1642346</v>
      </c>
      <c r="L4291">
        <v>8541056</v>
      </c>
      <c r="P4291">
        <v>63</v>
      </c>
      <c r="Q4291" t="s">
        <v>8625</v>
      </c>
    </row>
    <row r="4292" spans="1:17" x14ac:dyDescent="0.3">
      <c r="A4292" t="s">
        <v>4382</v>
      </c>
      <c r="B4292" t="str">
        <f>"300537"</f>
        <v>300537</v>
      </c>
      <c r="C4292" t="s">
        <v>8626</v>
      </c>
      <c r="D4292" t="s">
        <v>150</v>
      </c>
      <c r="F4292">
        <v>-26502332</v>
      </c>
      <c r="G4292">
        <v>45869449</v>
      </c>
      <c r="H4292">
        <v>-35183410</v>
      </c>
      <c r="I4292">
        <v>-39441409</v>
      </c>
      <c r="J4292">
        <v>7952212</v>
      </c>
      <c r="K4292">
        <v>23002681</v>
      </c>
      <c r="L4292">
        <v>-19090205</v>
      </c>
      <c r="P4292">
        <v>225</v>
      </c>
      <c r="Q4292" t="s">
        <v>8627</v>
      </c>
    </row>
    <row r="4293" spans="1:17" x14ac:dyDescent="0.3">
      <c r="A4293" t="s">
        <v>4382</v>
      </c>
      <c r="B4293" t="str">
        <f>"300538"</f>
        <v>300538</v>
      </c>
      <c r="C4293" t="s">
        <v>8628</v>
      </c>
      <c r="D4293" t="s">
        <v>133</v>
      </c>
      <c r="F4293">
        <v>-341679883</v>
      </c>
      <c r="G4293">
        <v>15418012</v>
      </c>
      <c r="H4293">
        <v>39294216</v>
      </c>
      <c r="I4293">
        <v>19994218</v>
      </c>
      <c r="J4293">
        <v>-84601460</v>
      </c>
      <c r="K4293">
        <v>5943718</v>
      </c>
      <c r="L4293">
        <v>35128056</v>
      </c>
      <c r="P4293">
        <v>186</v>
      </c>
      <c r="Q4293" t="s">
        <v>8629</v>
      </c>
    </row>
    <row r="4294" spans="1:17" x14ac:dyDescent="0.3">
      <c r="A4294" t="s">
        <v>4382</v>
      </c>
      <c r="B4294" t="str">
        <f>"300539"</f>
        <v>300539</v>
      </c>
      <c r="C4294" t="s">
        <v>8630</v>
      </c>
      <c r="D4294" t="s">
        <v>133</v>
      </c>
      <c r="F4294">
        <v>-12592099</v>
      </c>
      <c r="G4294">
        <v>20676325</v>
      </c>
      <c r="H4294">
        <v>-28062759</v>
      </c>
      <c r="I4294">
        <v>-126785113</v>
      </c>
      <c r="J4294">
        <v>-37806424</v>
      </c>
      <c r="K4294">
        <v>6561853</v>
      </c>
      <c r="L4294">
        <v>-13004056</v>
      </c>
      <c r="P4294">
        <v>84</v>
      </c>
      <c r="Q4294" t="s">
        <v>8631</v>
      </c>
    </row>
    <row r="4295" spans="1:17" x14ac:dyDescent="0.3">
      <c r="A4295" t="s">
        <v>4382</v>
      </c>
      <c r="B4295" t="str">
        <f>"300540"</f>
        <v>300540</v>
      </c>
      <c r="C4295" t="s">
        <v>8632</v>
      </c>
      <c r="D4295" t="s">
        <v>78</v>
      </c>
      <c r="F4295">
        <v>-82523661</v>
      </c>
      <c r="G4295">
        <v>-53724706</v>
      </c>
      <c r="H4295">
        <v>-27667927</v>
      </c>
      <c r="I4295">
        <v>-83522659</v>
      </c>
      <c r="J4295">
        <v>-60340613</v>
      </c>
      <c r="K4295">
        <v>-26910637</v>
      </c>
      <c r="L4295">
        <v>-38838243</v>
      </c>
      <c r="P4295">
        <v>65</v>
      </c>
      <c r="Q4295" t="s">
        <v>8633</v>
      </c>
    </row>
    <row r="4296" spans="1:17" x14ac:dyDescent="0.3">
      <c r="A4296" t="s">
        <v>4382</v>
      </c>
      <c r="B4296" t="str">
        <f>"300541"</f>
        <v>300541</v>
      </c>
      <c r="C4296" t="s">
        <v>8634</v>
      </c>
      <c r="D4296" t="s">
        <v>212</v>
      </c>
      <c r="F4296">
        <v>-79921132</v>
      </c>
      <c r="G4296">
        <v>-126872862</v>
      </c>
      <c r="H4296">
        <v>-273400607</v>
      </c>
      <c r="I4296">
        <v>-235154601</v>
      </c>
      <c r="J4296">
        <v>-247488826</v>
      </c>
      <c r="K4296">
        <v>-352679979</v>
      </c>
      <c r="L4296">
        <v>-243202398</v>
      </c>
      <c r="P4296">
        <v>177</v>
      </c>
      <c r="Q4296" t="s">
        <v>8635</v>
      </c>
    </row>
    <row r="4297" spans="1:17" x14ac:dyDescent="0.3">
      <c r="A4297" t="s">
        <v>4382</v>
      </c>
      <c r="B4297" t="str">
        <f>"300542"</f>
        <v>300542</v>
      </c>
      <c r="C4297" t="s">
        <v>8636</v>
      </c>
      <c r="D4297" t="s">
        <v>212</v>
      </c>
      <c r="F4297">
        <v>-103677928</v>
      </c>
      <c r="G4297">
        <v>-43209473</v>
      </c>
      <c r="H4297">
        <v>-42169316</v>
      </c>
      <c r="I4297">
        <v>-162362634</v>
      </c>
      <c r="J4297">
        <v>-139624215</v>
      </c>
      <c r="K4297">
        <v>-110575930</v>
      </c>
      <c r="L4297">
        <v>-115043948</v>
      </c>
      <c r="P4297">
        <v>143</v>
      </c>
      <c r="Q4297" t="s">
        <v>8637</v>
      </c>
    </row>
    <row r="4298" spans="1:17" x14ac:dyDescent="0.3">
      <c r="A4298" t="s">
        <v>4382</v>
      </c>
      <c r="B4298" t="str">
        <f>"300543"</f>
        <v>300543</v>
      </c>
      <c r="C4298" t="s">
        <v>8638</v>
      </c>
      <c r="D4298" t="s">
        <v>150</v>
      </c>
      <c r="F4298">
        <v>-360684740</v>
      </c>
      <c r="G4298">
        <v>43691912</v>
      </c>
      <c r="H4298">
        <v>119774768</v>
      </c>
      <c r="I4298">
        <v>-150419210</v>
      </c>
      <c r="J4298">
        <v>17748819</v>
      </c>
      <c r="K4298">
        <v>-48544491</v>
      </c>
      <c r="L4298">
        <v>-19839715</v>
      </c>
      <c r="P4298">
        <v>152</v>
      </c>
      <c r="Q4298" t="s">
        <v>8639</v>
      </c>
    </row>
    <row r="4299" spans="1:17" x14ac:dyDescent="0.3">
      <c r="A4299" t="s">
        <v>4382</v>
      </c>
      <c r="B4299" t="str">
        <f>"300545"</f>
        <v>300545</v>
      </c>
      <c r="C4299" t="s">
        <v>8640</v>
      </c>
      <c r="D4299" t="s">
        <v>150</v>
      </c>
      <c r="F4299">
        <v>-215585874</v>
      </c>
      <c r="G4299">
        <v>-203786563</v>
      </c>
      <c r="H4299">
        <v>79681818</v>
      </c>
      <c r="I4299">
        <v>-368633235</v>
      </c>
      <c r="J4299">
        <v>104617216</v>
      </c>
      <c r="K4299">
        <v>-37499763</v>
      </c>
      <c r="L4299">
        <v>27739604</v>
      </c>
      <c r="P4299">
        <v>182</v>
      </c>
      <c r="Q4299" t="s">
        <v>8641</v>
      </c>
    </row>
    <row r="4300" spans="1:17" x14ac:dyDescent="0.3">
      <c r="A4300" t="s">
        <v>4382</v>
      </c>
      <c r="B4300" t="str">
        <f>"300546"</f>
        <v>300546</v>
      </c>
      <c r="C4300" t="s">
        <v>8642</v>
      </c>
      <c r="D4300" t="s">
        <v>212</v>
      </c>
      <c r="F4300">
        <v>-95065732</v>
      </c>
      <c r="G4300">
        <v>-124596242</v>
      </c>
      <c r="H4300">
        <v>-106740797</v>
      </c>
      <c r="I4300">
        <v>-164746452</v>
      </c>
      <c r="J4300">
        <v>-74150811</v>
      </c>
      <c r="K4300">
        <v>-31042112</v>
      </c>
      <c r="L4300">
        <v>-21116038</v>
      </c>
      <c r="P4300">
        <v>196</v>
      </c>
      <c r="Q4300" t="s">
        <v>8643</v>
      </c>
    </row>
    <row r="4301" spans="1:17" x14ac:dyDescent="0.3">
      <c r="A4301" t="s">
        <v>4382</v>
      </c>
      <c r="B4301" t="str">
        <f>"300547"</f>
        <v>300547</v>
      </c>
      <c r="C4301" t="s">
        <v>8644</v>
      </c>
      <c r="D4301" t="s">
        <v>27</v>
      </c>
      <c r="F4301">
        <v>49820218</v>
      </c>
      <c r="G4301">
        <v>92210730</v>
      </c>
      <c r="H4301">
        <v>47302329</v>
      </c>
      <c r="I4301">
        <v>5595</v>
      </c>
      <c r="J4301">
        <v>-30347012</v>
      </c>
      <c r="K4301">
        <v>22428691</v>
      </c>
      <c r="L4301">
        <v>87672055</v>
      </c>
      <c r="P4301">
        <v>181</v>
      </c>
      <c r="Q4301" t="s">
        <v>8645</v>
      </c>
    </row>
    <row r="4302" spans="1:17" x14ac:dyDescent="0.3">
      <c r="A4302" t="s">
        <v>4382</v>
      </c>
      <c r="B4302" t="str">
        <f>"300548"</f>
        <v>300548</v>
      </c>
      <c r="C4302" t="s">
        <v>8646</v>
      </c>
      <c r="D4302" t="s">
        <v>100</v>
      </c>
      <c r="F4302">
        <v>-10363749</v>
      </c>
      <c r="G4302">
        <v>-137601758</v>
      </c>
      <c r="H4302">
        <v>-60013141</v>
      </c>
      <c r="I4302">
        <v>69679080</v>
      </c>
      <c r="J4302">
        <v>4380527</v>
      </c>
      <c r="K4302">
        <v>37035057</v>
      </c>
      <c r="L4302">
        <v>-10797203</v>
      </c>
      <c r="P4302">
        <v>290</v>
      </c>
      <c r="Q4302" t="s">
        <v>8647</v>
      </c>
    </row>
    <row r="4303" spans="1:17" x14ac:dyDescent="0.3">
      <c r="A4303" t="s">
        <v>4382</v>
      </c>
      <c r="B4303" t="str">
        <f>"300549"</f>
        <v>300549</v>
      </c>
      <c r="C4303" t="s">
        <v>8648</v>
      </c>
      <c r="D4303" t="s">
        <v>78</v>
      </c>
      <c r="F4303">
        <v>3674514</v>
      </c>
      <c r="G4303">
        <v>32839450</v>
      </c>
      <c r="H4303">
        <v>-34212067</v>
      </c>
      <c r="I4303">
        <v>36042592</v>
      </c>
      <c r="J4303">
        <v>-24502942</v>
      </c>
      <c r="K4303">
        <v>30505986</v>
      </c>
      <c r="L4303">
        <v>17620031</v>
      </c>
      <c r="P4303">
        <v>92</v>
      </c>
      <c r="Q4303" t="s">
        <v>8649</v>
      </c>
    </row>
    <row r="4304" spans="1:17" x14ac:dyDescent="0.3">
      <c r="A4304" t="s">
        <v>4382</v>
      </c>
      <c r="B4304" t="str">
        <f>"300550"</f>
        <v>300550</v>
      </c>
      <c r="C4304" t="s">
        <v>8650</v>
      </c>
      <c r="D4304" t="s">
        <v>212</v>
      </c>
      <c r="F4304">
        <v>-104197193</v>
      </c>
      <c r="G4304">
        <v>-182303637</v>
      </c>
      <c r="H4304">
        <v>-60046141</v>
      </c>
      <c r="I4304">
        <v>-72923600</v>
      </c>
      <c r="J4304">
        <v>-54186745</v>
      </c>
      <c r="K4304">
        <v>-61065505</v>
      </c>
      <c r="L4304">
        <v>-74000731</v>
      </c>
      <c r="P4304">
        <v>123</v>
      </c>
      <c r="Q4304" t="s">
        <v>8651</v>
      </c>
    </row>
    <row r="4305" spans="1:17" x14ac:dyDescent="0.3">
      <c r="A4305" t="s">
        <v>4382</v>
      </c>
      <c r="B4305" t="str">
        <f>"300551"</f>
        <v>300551</v>
      </c>
      <c r="C4305" t="s">
        <v>8652</v>
      </c>
      <c r="D4305" t="s">
        <v>212</v>
      </c>
      <c r="F4305">
        <v>-112947897</v>
      </c>
      <c r="G4305">
        <v>-145392627</v>
      </c>
      <c r="H4305">
        <v>-75831695</v>
      </c>
      <c r="I4305">
        <v>-106442202</v>
      </c>
      <c r="J4305">
        <v>-121488582</v>
      </c>
      <c r="K4305">
        <v>-131880363</v>
      </c>
      <c r="L4305">
        <v>-95764764</v>
      </c>
      <c r="P4305">
        <v>89</v>
      </c>
      <c r="Q4305" t="s">
        <v>8653</v>
      </c>
    </row>
    <row r="4306" spans="1:17" x14ac:dyDescent="0.3">
      <c r="A4306" t="s">
        <v>4382</v>
      </c>
      <c r="B4306" t="str">
        <f>"300552"</f>
        <v>300552</v>
      </c>
      <c r="C4306" t="s">
        <v>8654</v>
      </c>
      <c r="D4306" t="s">
        <v>212</v>
      </c>
      <c r="F4306">
        <v>125620978</v>
      </c>
      <c r="G4306">
        <v>84439463</v>
      </c>
      <c r="H4306">
        <v>23575120</v>
      </c>
      <c r="I4306">
        <v>-212949203</v>
      </c>
      <c r="J4306">
        <v>-241382739</v>
      </c>
      <c r="K4306">
        <v>-192905700</v>
      </c>
      <c r="L4306">
        <v>-147080181</v>
      </c>
      <c r="P4306">
        <v>327</v>
      </c>
      <c r="Q4306" t="s">
        <v>8655</v>
      </c>
    </row>
    <row r="4307" spans="1:17" x14ac:dyDescent="0.3">
      <c r="A4307" t="s">
        <v>4382</v>
      </c>
      <c r="B4307" t="str">
        <f>"300553"</f>
        <v>300553</v>
      </c>
      <c r="C4307" t="s">
        <v>8656</v>
      </c>
      <c r="D4307" t="s">
        <v>78</v>
      </c>
      <c r="F4307">
        <v>-19053249</v>
      </c>
      <c r="G4307">
        <v>-7108343</v>
      </c>
      <c r="H4307">
        <v>5851512</v>
      </c>
      <c r="I4307">
        <v>-6851359</v>
      </c>
      <c r="J4307">
        <v>-20875609</v>
      </c>
      <c r="K4307">
        <v>4882587</v>
      </c>
      <c r="L4307">
        <v>1691505</v>
      </c>
      <c r="P4307">
        <v>72</v>
      </c>
      <c r="Q4307" t="s">
        <v>8657</v>
      </c>
    </row>
    <row r="4308" spans="1:17" x14ac:dyDescent="0.3">
      <c r="A4308" t="s">
        <v>4382</v>
      </c>
      <c r="B4308" t="str">
        <f>"300554"</f>
        <v>300554</v>
      </c>
      <c r="C4308" t="s">
        <v>8658</v>
      </c>
      <c r="D4308" t="s">
        <v>78</v>
      </c>
      <c r="F4308">
        <v>91117884</v>
      </c>
      <c r="G4308">
        <v>-53134119</v>
      </c>
      <c r="H4308">
        <v>17493390</v>
      </c>
      <c r="I4308">
        <v>-70196677</v>
      </c>
      <c r="J4308">
        <v>-5015828</v>
      </c>
      <c r="K4308">
        <v>-29328983</v>
      </c>
      <c r="P4308">
        <v>123</v>
      </c>
      <c r="Q4308" t="s">
        <v>8659</v>
      </c>
    </row>
    <row r="4309" spans="1:17" x14ac:dyDescent="0.3">
      <c r="A4309" t="s">
        <v>4382</v>
      </c>
      <c r="B4309" t="str">
        <f>"300555"</f>
        <v>300555</v>
      </c>
      <c r="C4309" t="s">
        <v>8660</v>
      </c>
      <c r="D4309" t="s">
        <v>100</v>
      </c>
      <c r="F4309">
        <v>3035483</v>
      </c>
      <c r="G4309">
        <v>59297044</v>
      </c>
      <c r="H4309">
        <v>5201688</v>
      </c>
      <c r="I4309">
        <v>-52283009</v>
      </c>
      <c r="J4309">
        <v>-102187005</v>
      </c>
      <c r="K4309">
        <v>-90502504</v>
      </c>
      <c r="L4309">
        <v>-30742041</v>
      </c>
      <c r="P4309">
        <v>72</v>
      </c>
      <c r="Q4309" t="s">
        <v>8661</v>
      </c>
    </row>
    <row r="4310" spans="1:17" x14ac:dyDescent="0.3">
      <c r="A4310" t="s">
        <v>4382</v>
      </c>
      <c r="B4310" t="str">
        <f>"300556"</f>
        <v>300556</v>
      </c>
      <c r="C4310" t="s">
        <v>8662</v>
      </c>
      <c r="D4310" t="s">
        <v>212</v>
      </c>
      <c r="F4310">
        <v>-30255713</v>
      </c>
      <c r="G4310">
        <v>8604872</v>
      </c>
      <c r="H4310">
        <v>-42547803</v>
      </c>
      <c r="I4310">
        <v>-101261849</v>
      </c>
      <c r="J4310">
        <v>-28122268</v>
      </c>
      <c r="K4310">
        <v>-45469889</v>
      </c>
      <c r="L4310">
        <v>-33877497</v>
      </c>
      <c r="P4310">
        <v>112</v>
      </c>
      <c r="Q4310" t="s">
        <v>8663</v>
      </c>
    </row>
    <row r="4311" spans="1:17" x14ac:dyDescent="0.3">
      <c r="A4311" t="s">
        <v>4382</v>
      </c>
      <c r="B4311" t="str">
        <f>"300557"</f>
        <v>300557</v>
      </c>
      <c r="C4311" t="s">
        <v>8664</v>
      </c>
      <c r="D4311" t="s">
        <v>78</v>
      </c>
      <c r="F4311">
        <v>-91936473</v>
      </c>
      <c r="G4311">
        <v>-82356380</v>
      </c>
      <c r="H4311">
        <v>-65078572</v>
      </c>
      <c r="I4311">
        <v>-33623537</v>
      </c>
      <c r="J4311">
        <v>-121448441</v>
      </c>
      <c r="K4311">
        <v>-39564597</v>
      </c>
      <c r="P4311">
        <v>61</v>
      </c>
      <c r="Q4311" t="s">
        <v>8665</v>
      </c>
    </row>
    <row r="4312" spans="1:17" x14ac:dyDescent="0.3">
      <c r="A4312" t="s">
        <v>4382</v>
      </c>
      <c r="B4312" t="str">
        <f>"300558"</f>
        <v>300558</v>
      </c>
      <c r="C4312" t="s">
        <v>8666</v>
      </c>
      <c r="D4312" t="s">
        <v>113</v>
      </c>
      <c r="F4312">
        <v>-103311689</v>
      </c>
      <c r="G4312">
        <v>-46662768</v>
      </c>
      <c r="H4312">
        <v>-90986675</v>
      </c>
      <c r="I4312">
        <v>-242167809</v>
      </c>
      <c r="J4312">
        <v>-228099815</v>
      </c>
      <c r="K4312">
        <v>150341000</v>
      </c>
      <c r="L4312">
        <v>227983113</v>
      </c>
      <c r="P4312">
        <v>757</v>
      </c>
      <c r="Q4312" t="s">
        <v>8667</v>
      </c>
    </row>
    <row r="4313" spans="1:17" x14ac:dyDescent="0.3">
      <c r="A4313" t="s">
        <v>4382</v>
      </c>
      <c r="B4313" t="str">
        <f>"300559"</f>
        <v>300559</v>
      </c>
      <c r="C4313" t="s">
        <v>8668</v>
      </c>
      <c r="D4313" t="s">
        <v>212</v>
      </c>
      <c r="F4313">
        <v>-19743121</v>
      </c>
      <c r="G4313">
        <v>28452352</v>
      </c>
      <c r="H4313">
        <v>124508883</v>
      </c>
      <c r="I4313">
        <v>-14926568</v>
      </c>
      <c r="J4313">
        <v>34422527</v>
      </c>
      <c r="K4313">
        <v>-8028014</v>
      </c>
      <c r="L4313">
        <v>10400961</v>
      </c>
      <c r="P4313">
        <v>369</v>
      </c>
      <c r="Q4313" t="s">
        <v>8669</v>
      </c>
    </row>
    <row r="4314" spans="1:17" x14ac:dyDescent="0.3">
      <c r="A4314" t="s">
        <v>4382</v>
      </c>
      <c r="B4314" t="str">
        <f>"300560"</f>
        <v>300560</v>
      </c>
      <c r="C4314" t="s">
        <v>8670</v>
      </c>
      <c r="D4314" t="s">
        <v>100</v>
      </c>
      <c r="F4314">
        <v>-525071045</v>
      </c>
      <c r="G4314">
        <v>-493919188</v>
      </c>
      <c r="H4314">
        <v>-120203259</v>
      </c>
      <c r="I4314">
        <v>-72557064</v>
      </c>
      <c r="J4314">
        <v>-112368297</v>
      </c>
      <c r="K4314">
        <v>-28872983</v>
      </c>
      <c r="L4314">
        <v>-36730666</v>
      </c>
      <c r="P4314">
        <v>192</v>
      </c>
      <c r="Q4314" t="s">
        <v>8671</v>
      </c>
    </row>
    <row r="4315" spans="1:17" x14ac:dyDescent="0.3">
      <c r="A4315" t="s">
        <v>4382</v>
      </c>
      <c r="B4315" t="str">
        <f>"300561"</f>
        <v>300561</v>
      </c>
      <c r="C4315" t="s">
        <v>8672</v>
      </c>
      <c r="D4315" t="s">
        <v>212</v>
      </c>
      <c r="F4315">
        <v>-77202642</v>
      </c>
      <c r="G4315">
        <v>-105044014</v>
      </c>
      <c r="H4315">
        <v>-150737365</v>
      </c>
      <c r="I4315">
        <v>-136253215</v>
      </c>
      <c r="J4315">
        <v>-47834096</v>
      </c>
      <c r="K4315">
        <v>-23392847</v>
      </c>
      <c r="L4315">
        <v>-28792368</v>
      </c>
      <c r="P4315">
        <v>114</v>
      </c>
      <c r="Q4315" t="s">
        <v>8673</v>
      </c>
    </row>
    <row r="4316" spans="1:17" x14ac:dyDescent="0.3">
      <c r="A4316" t="s">
        <v>4382</v>
      </c>
      <c r="B4316" t="str">
        <f>"300562"</f>
        <v>300562</v>
      </c>
      <c r="C4316" t="s">
        <v>8674</v>
      </c>
      <c r="D4316" t="s">
        <v>113</v>
      </c>
      <c r="F4316">
        <v>-194193651</v>
      </c>
      <c r="G4316">
        <v>-7192402</v>
      </c>
      <c r="H4316">
        <v>-31957901</v>
      </c>
      <c r="I4316">
        <v>73696087</v>
      </c>
      <c r="J4316">
        <v>-67658312</v>
      </c>
      <c r="K4316">
        <v>16939228</v>
      </c>
      <c r="L4316">
        <v>-15549100</v>
      </c>
      <c r="P4316">
        <v>155</v>
      </c>
      <c r="Q4316" t="s">
        <v>8675</v>
      </c>
    </row>
    <row r="4317" spans="1:17" x14ac:dyDescent="0.3">
      <c r="A4317" t="s">
        <v>4382</v>
      </c>
      <c r="B4317" t="str">
        <f>"300563"</f>
        <v>300563</v>
      </c>
      <c r="C4317" t="s">
        <v>8676</v>
      </c>
      <c r="D4317" t="s">
        <v>100</v>
      </c>
      <c r="F4317">
        <v>2405053</v>
      </c>
      <c r="G4317">
        <v>-45005707</v>
      </c>
      <c r="H4317">
        <v>-3294028</v>
      </c>
      <c r="I4317">
        <v>-12311852</v>
      </c>
      <c r="J4317">
        <v>-46966799</v>
      </c>
      <c r="K4317">
        <v>4474589</v>
      </c>
      <c r="L4317">
        <v>4564808</v>
      </c>
      <c r="P4317">
        <v>144</v>
      </c>
      <c r="Q4317" t="s">
        <v>8677</v>
      </c>
    </row>
    <row r="4318" spans="1:17" x14ac:dyDescent="0.3">
      <c r="A4318" t="s">
        <v>4382</v>
      </c>
      <c r="B4318" t="str">
        <f>"300564"</f>
        <v>300564</v>
      </c>
      <c r="C4318" t="s">
        <v>8678</v>
      </c>
      <c r="D4318" t="s">
        <v>95</v>
      </c>
      <c r="F4318">
        <v>-224504476</v>
      </c>
      <c r="G4318">
        <v>-131162423</v>
      </c>
      <c r="H4318">
        <v>-42815346</v>
      </c>
      <c r="I4318">
        <v>23953533</v>
      </c>
      <c r="P4318">
        <v>211</v>
      </c>
      <c r="Q4318" t="s">
        <v>8679</v>
      </c>
    </row>
    <row r="4319" spans="1:17" x14ac:dyDescent="0.3">
      <c r="A4319" t="s">
        <v>4382</v>
      </c>
      <c r="B4319" t="str">
        <f>"300565"</f>
        <v>300565</v>
      </c>
      <c r="C4319" t="s">
        <v>8680</v>
      </c>
      <c r="D4319" t="s">
        <v>100</v>
      </c>
      <c r="F4319">
        <v>-400767779</v>
      </c>
      <c r="G4319">
        <v>-212943234</v>
      </c>
      <c r="H4319">
        <v>-111688474</v>
      </c>
      <c r="I4319">
        <v>-163498161</v>
      </c>
      <c r="J4319">
        <v>-30502330</v>
      </c>
      <c r="K4319">
        <v>-91500945</v>
      </c>
      <c r="L4319">
        <v>-16038669</v>
      </c>
      <c r="P4319">
        <v>113</v>
      </c>
      <c r="Q4319" t="s">
        <v>8681</v>
      </c>
    </row>
    <row r="4320" spans="1:17" x14ac:dyDescent="0.3">
      <c r="A4320" t="s">
        <v>4382</v>
      </c>
      <c r="B4320" t="str">
        <f>"300566"</f>
        <v>300566</v>
      </c>
      <c r="C4320" t="s">
        <v>8682</v>
      </c>
      <c r="D4320" t="s">
        <v>150</v>
      </c>
      <c r="F4320">
        <v>-40201910</v>
      </c>
      <c r="G4320">
        <v>70558062</v>
      </c>
      <c r="H4320">
        <v>-54229643</v>
      </c>
      <c r="I4320">
        <v>-69508807</v>
      </c>
      <c r="J4320">
        <v>-62081868</v>
      </c>
      <c r="K4320">
        <v>-99100844</v>
      </c>
      <c r="L4320">
        <v>-55231509</v>
      </c>
      <c r="P4320">
        <v>198</v>
      </c>
      <c r="Q4320" t="s">
        <v>8683</v>
      </c>
    </row>
    <row r="4321" spans="1:17" x14ac:dyDescent="0.3">
      <c r="A4321" t="s">
        <v>4382</v>
      </c>
      <c r="B4321" t="str">
        <f>"300567"</f>
        <v>300567</v>
      </c>
      <c r="C4321" t="s">
        <v>8684</v>
      </c>
      <c r="D4321" t="s">
        <v>78</v>
      </c>
      <c r="F4321">
        <v>-655087155</v>
      </c>
      <c r="G4321">
        <v>-269915418</v>
      </c>
      <c r="H4321">
        <v>-809074806</v>
      </c>
      <c r="I4321">
        <v>-224403683</v>
      </c>
      <c r="J4321">
        <v>17830419</v>
      </c>
      <c r="K4321">
        <v>8952757</v>
      </c>
      <c r="L4321">
        <v>-29852175</v>
      </c>
      <c r="P4321">
        <v>1242</v>
      </c>
      <c r="Q4321" t="s">
        <v>8685</v>
      </c>
    </row>
    <row r="4322" spans="1:17" x14ac:dyDescent="0.3">
      <c r="A4322" t="s">
        <v>4382</v>
      </c>
      <c r="B4322" t="str">
        <f>"300568"</f>
        <v>300568</v>
      </c>
      <c r="C4322" t="s">
        <v>8686</v>
      </c>
      <c r="D4322" t="s">
        <v>188</v>
      </c>
      <c r="F4322">
        <v>-165416779</v>
      </c>
      <c r="G4322">
        <v>-117326773</v>
      </c>
      <c r="H4322">
        <v>-719994202</v>
      </c>
      <c r="I4322">
        <v>-511652070</v>
      </c>
      <c r="J4322">
        <v>-355397576</v>
      </c>
      <c r="K4322">
        <v>-55997673</v>
      </c>
      <c r="L4322">
        <v>-7076593</v>
      </c>
      <c r="P4322">
        <v>475</v>
      </c>
      <c r="Q4322" t="s">
        <v>8687</v>
      </c>
    </row>
    <row r="4323" spans="1:17" x14ac:dyDescent="0.3">
      <c r="A4323" t="s">
        <v>4382</v>
      </c>
      <c r="B4323" t="str">
        <f>"300569"</f>
        <v>300569</v>
      </c>
      <c r="C4323" t="s">
        <v>8688</v>
      </c>
      <c r="D4323" t="s">
        <v>188</v>
      </c>
      <c r="F4323">
        <v>-887214813</v>
      </c>
      <c r="G4323">
        <v>-253121737</v>
      </c>
      <c r="H4323">
        <v>22202425</v>
      </c>
      <c r="I4323">
        <v>-782388849</v>
      </c>
      <c r="J4323">
        <v>19062641</v>
      </c>
      <c r="K4323">
        <v>-86723027</v>
      </c>
      <c r="L4323">
        <v>26064833</v>
      </c>
      <c r="P4323">
        <v>201</v>
      </c>
      <c r="Q4323" t="s">
        <v>8689</v>
      </c>
    </row>
    <row r="4324" spans="1:17" x14ac:dyDescent="0.3">
      <c r="A4324" t="s">
        <v>4382</v>
      </c>
      <c r="B4324" t="str">
        <f>"300570"</f>
        <v>300570</v>
      </c>
      <c r="C4324" t="s">
        <v>8690</v>
      </c>
      <c r="D4324" t="s">
        <v>100</v>
      </c>
      <c r="F4324">
        <v>67947402</v>
      </c>
      <c r="G4324">
        <v>-41722539</v>
      </c>
      <c r="H4324">
        <v>116185002</v>
      </c>
      <c r="I4324">
        <v>25346527</v>
      </c>
      <c r="J4324">
        <v>40119692</v>
      </c>
      <c r="K4324">
        <v>68965249</v>
      </c>
      <c r="L4324">
        <v>96304445</v>
      </c>
      <c r="P4324">
        <v>229</v>
      </c>
      <c r="Q4324" t="s">
        <v>8691</v>
      </c>
    </row>
    <row r="4325" spans="1:17" x14ac:dyDescent="0.3">
      <c r="A4325" t="s">
        <v>4382</v>
      </c>
      <c r="B4325" t="str">
        <f>"300571"</f>
        <v>300571</v>
      </c>
      <c r="C4325" t="s">
        <v>8692</v>
      </c>
      <c r="D4325" t="s">
        <v>100</v>
      </c>
      <c r="F4325">
        <v>-259433365</v>
      </c>
      <c r="G4325">
        <v>-611542842</v>
      </c>
      <c r="H4325">
        <v>-113451364</v>
      </c>
      <c r="I4325">
        <v>79793030</v>
      </c>
      <c r="J4325">
        <v>38547553</v>
      </c>
      <c r="K4325">
        <v>11358685</v>
      </c>
      <c r="L4325">
        <v>-566985</v>
      </c>
      <c r="P4325">
        <v>2117</v>
      </c>
      <c r="Q4325" t="s">
        <v>8693</v>
      </c>
    </row>
    <row r="4326" spans="1:17" x14ac:dyDescent="0.3">
      <c r="A4326" t="s">
        <v>4382</v>
      </c>
      <c r="B4326" t="str">
        <f>"300572"</f>
        <v>300572</v>
      </c>
      <c r="C4326" t="s">
        <v>8694</v>
      </c>
      <c r="D4326" t="s">
        <v>110</v>
      </c>
      <c r="F4326">
        <v>-141223947</v>
      </c>
      <c r="G4326">
        <v>-89394984</v>
      </c>
      <c r="H4326">
        <v>185703103</v>
      </c>
      <c r="I4326">
        <v>-60808410</v>
      </c>
      <c r="J4326">
        <v>123879012</v>
      </c>
      <c r="K4326">
        <v>79595727</v>
      </c>
      <c r="L4326">
        <v>59137118</v>
      </c>
      <c r="P4326">
        <v>466</v>
      </c>
      <c r="Q4326" t="s">
        <v>8695</v>
      </c>
    </row>
    <row r="4327" spans="1:17" x14ac:dyDescent="0.3">
      <c r="A4327" t="s">
        <v>4382</v>
      </c>
      <c r="B4327" t="str">
        <f>"300573"</f>
        <v>300573</v>
      </c>
      <c r="C4327" t="s">
        <v>8696</v>
      </c>
      <c r="D4327" t="s">
        <v>113</v>
      </c>
      <c r="F4327">
        <v>154795711</v>
      </c>
      <c r="G4327">
        <v>-4125735</v>
      </c>
      <c r="H4327">
        <v>418393</v>
      </c>
      <c r="I4327">
        <v>8333740</v>
      </c>
      <c r="J4327">
        <v>3890838</v>
      </c>
      <c r="K4327">
        <v>34366499</v>
      </c>
      <c r="P4327">
        <v>315</v>
      </c>
      <c r="Q4327" t="s">
        <v>8697</v>
      </c>
    </row>
    <row r="4328" spans="1:17" x14ac:dyDescent="0.3">
      <c r="A4328" t="s">
        <v>4382</v>
      </c>
      <c r="B4328" t="str">
        <f>"300575"</f>
        <v>300575</v>
      </c>
      <c r="C4328" t="s">
        <v>8698</v>
      </c>
      <c r="D4328" t="s">
        <v>133</v>
      </c>
      <c r="F4328">
        <v>-170169160</v>
      </c>
      <c r="G4328">
        <v>-40810462</v>
      </c>
      <c r="H4328">
        <v>24193876</v>
      </c>
      <c r="I4328">
        <v>-281776077</v>
      </c>
      <c r="J4328">
        <v>-56225390</v>
      </c>
      <c r="K4328">
        <v>22101824</v>
      </c>
      <c r="L4328">
        <v>-10536711</v>
      </c>
      <c r="P4328">
        <v>188</v>
      </c>
      <c r="Q4328" t="s">
        <v>8699</v>
      </c>
    </row>
    <row r="4329" spans="1:17" x14ac:dyDescent="0.3">
      <c r="A4329" t="s">
        <v>4382</v>
      </c>
      <c r="B4329" t="str">
        <f>"300576"</f>
        <v>300576</v>
      </c>
      <c r="C4329" t="s">
        <v>8700</v>
      </c>
      <c r="D4329" t="s">
        <v>150</v>
      </c>
      <c r="F4329">
        <v>54127356</v>
      </c>
      <c r="G4329">
        <v>1041454</v>
      </c>
      <c r="H4329">
        <v>1336846</v>
      </c>
      <c r="I4329">
        <v>-41470314</v>
      </c>
      <c r="J4329">
        <v>-5504246</v>
      </c>
      <c r="K4329">
        <v>13983191</v>
      </c>
      <c r="L4329">
        <v>9844831</v>
      </c>
      <c r="P4329">
        <v>189</v>
      </c>
      <c r="Q4329" t="s">
        <v>8701</v>
      </c>
    </row>
    <row r="4330" spans="1:17" x14ac:dyDescent="0.3">
      <c r="A4330" t="s">
        <v>4382</v>
      </c>
      <c r="B4330" t="str">
        <f>"300577"</f>
        <v>300577</v>
      </c>
      <c r="C4330" t="s">
        <v>8702</v>
      </c>
      <c r="D4330" t="s">
        <v>227</v>
      </c>
      <c r="F4330">
        <v>-148148155</v>
      </c>
      <c r="G4330">
        <v>-196386459</v>
      </c>
      <c r="H4330">
        <v>-54941848</v>
      </c>
      <c r="I4330">
        <v>96494188</v>
      </c>
      <c r="J4330">
        <v>45410111</v>
      </c>
      <c r="K4330">
        <v>45208675</v>
      </c>
      <c r="L4330">
        <v>6092139</v>
      </c>
      <c r="P4330">
        <v>487</v>
      </c>
      <c r="Q4330" t="s">
        <v>8703</v>
      </c>
    </row>
    <row r="4331" spans="1:17" x14ac:dyDescent="0.3">
      <c r="A4331" t="s">
        <v>4382</v>
      </c>
      <c r="B4331" t="str">
        <f>"300578"</f>
        <v>300578</v>
      </c>
      <c r="C4331" t="s">
        <v>8704</v>
      </c>
      <c r="D4331" t="s">
        <v>100</v>
      </c>
      <c r="F4331">
        <v>19046080</v>
      </c>
      <c r="G4331">
        <v>93411277</v>
      </c>
      <c r="H4331">
        <v>-32656308</v>
      </c>
      <c r="I4331">
        <v>33465588</v>
      </c>
      <c r="J4331">
        <v>-1731575</v>
      </c>
      <c r="K4331">
        <v>4214762</v>
      </c>
      <c r="P4331">
        <v>305</v>
      </c>
      <c r="Q4331" t="s">
        <v>8705</v>
      </c>
    </row>
    <row r="4332" spans="1:17" x14ac:dyDescent="0.3">
      <c r="A4332" t="s">
        <v>4382</v>
      </c>
      <c r="B4332" t="str">
        <f>"300579"</f>
        <v>300579</v>
      </c>
      <c r="C4332" t="s">
        <v>8706</v>
      </c>
      <c r="D4332" t="s">
        <v>212</v>
      </c>
      <c r="F4332">
        <v>-187128770</v>
      </c>
      <c r="G4332">
        <v>-171669293</v>
      </c>
      <c r="H4332">
        <v>-198448316</v>
      </c>
      <c r="I4332">
        <v>7581004</v>
      </c>
      <c r="J4332">
        <v>-66710339</v>
      </c>
      <c r="K4332">
        <v>-80694664</v>
      </c>
      <c r="L4332">
        <v>-78015982</v>
      </c>
      <c r="P4332">
        <v>335</v>
      </c>
      <c r="Q4332" t="s">
        <v>8707</v>
      </c>
    </row>
    <row r="4333" spans="1:17" x14ac:dyDescent="0.3">
      <c r="A4333" t="s">
        <v>4382</v>
      </c>
      <c r="B4333" t="str">
        <f>"300580"</f>
        <v>300580</v>
      </c>
      <c r="C4333" t="s">
        <v>8708</v>
      </c>
      <c r="D4333" t="s">
        <v>27</v>
      </c>
      <c r="F4333">
        <v>14499804</v>
      </c>
      <c r="G4333">
        <v>90909838</v>
      </c>
      <c r="H4333">
        <v>-19438891</v>
      </c>
      <c r="I4333">
        <v>-168519313</v>
      </c>
      <c r="J4333">
        <v>-600060</v>
      </c>
      <c r="K4333">
        <v>-49349598</v>
      </c>
      <c r="L4333">
        <v>892870</v>
      </c>
      <c r="P4333">
        <v>148</v>
      </c>
      <c r="Q4333" t="s">
        <v>8709</v>
      </c>
    </row>
    <row r="4334" spans="1:17" x14ac:dyDescent="0.3">
      <c r="A4334" t="s">
        <v>4382</v>
      </c>
      <c r="B4334" t="str">
        <f>"300581"</f>
        <v>300581</v>
      </c>
      <c r="C4334" t="s">
        <v>8710</v>
      </c>
      <c r="D4334" t="s">
        <v>92</v>
      </c>
      <c r="F4334">
        <v>-22724642</v>
      </c>
      <c r="G4334">
        <v>-33098507</v>
      </c>
      <c r="H4334">
        <v>-63612306</v>
      </c>
      <c r="I4334">
        <v>4752521</v>
      </c>
      <c r="J4334">
        <v>-77764102</v>
      </c>
      <c r="K4334">
        <v>-33667946</v>
      </c>
      <c r="L4334">
        <v>-21052268</v>
      </c>
      <c r="P4334">
        <v>151</v>
      </c>
      <c r="Q4334" t="s">
        <v>8711</v>
      </c>
    </row>
    <row r="4335" spans="1:17" x14ac:dyDescent="0.3">
      <c r="A4335" t="s">
        <v>4382</v>
      </c>
      <c r="B4335" t="str">
        <f>"300582"</f>
        <v>300582</v>
      </c>
      <c r="C4335" t="s">
        <v>8712</v>
      </c>
      <c r="D4335" t="s">
        <v>150</v>
      </c>
      <c r="F4335">
        <v>-88873350</v>
      </c>
      <c r="G4335">
        <v>58110869</v>
      </c>
      <c r="H4335">
        <v>14643773</v>
      </c>
      <c r="I4335">
        <v>-9359364</v>
      </c>
      <c r="J4335">
        <v>-54852340</v>
      </c>
      <c r="K4335">
        <v>-232230356</v>
      </c>
      <c r="L4335">
        <v>-60993828</v>
      </c>
      <c r="P4335">
        <v>152</v>
      </c>
      <c r="Q4335" t="s">
        <v>8713</v>
      </c>
    </row>
    <row r="4336" spans="1:17" x14ac:dyDescent="0.3">
      <c r="A4336" t="s">
        <v>4382</v>
      </c>
      <c r="B4336" t="str">
        <f>"300583"</f>
        <v>300583</v>
      </c>
      <c r="C4336" t="s">
        <v>8714</v>
      </c>
      <c r="D4336" t="s">
        <v>113</v>
      </c>
      <c r="F4336">
        <v>-250132405</v>
      </c>
      <c r="G4336">
        <v>67339703</v>
      </c>
      <c r="H4336">
        <v>-153604371</v>
      </c>
      <c r="I4336">
        <v>-428863774</v>
      </c>
      <c r="J4336">
        <v>-63877839</v>
      </c>
      <c r="K4336">
        <v>-84563093</v>
      </c>
      <c r="L4336">
        <v>81225800</v>
      </c>
      <c r="P4336">
        <v>76</v>
      </c>
      <c r="Q4336" t="s">
        <v>8715</v>
      </c>
    </row>
    <row r="4337" spans="1:17" x14ac:dyDescent="0.3">
      <c r="A4337" t="s">
        <v>4382</v>
      </c>
      <c r="B4337" t="str">
        <f>"300584"</f>
        <v>300584</v>
      </c>
      <c r="C4337" t="s">
        <v>8716</v>
      </c>
      <c r="D4337" t="s">
        <v>113</v>
      </c>
      <c r="F4337">
        <v>-31100584</v>
      </c>
      <c r="G4337">
        <v>-52409596</v>
      </c>
      <c r="H4337">
        <v>11957632</v>
      </c>
      <c r="I4337">
        <v>-16882997</v>
      </c>
      <c r="J4337">
        <v>-5203859</v>
      </c>
      <c r="K4337">
        <v>-25283059</v>
      </c>
      <c r="L4337">
        <v>-6425321</v>
      </c>
      <c r="P4337">
        <v>195</v>
      </c>
      <c r="Q4337" t="s">
        <v>8717</v>
      </c>
    </row>
    <row r="4338" spans="1:17" x14ac:dyDescent="0.3">
      <c r="A4338" t="s">
        <v>4382</v>
      </c>
      <c r="B4338" t="str">
        <f>"300585"</f>
        <v>300585</v>
      </c>
      <c r="C4338" t="s">
        <v>8718</v>
      </c>
      <c r="D4338" t="s">
        <v>27</v>
      </c>
      <c r="F4338">
        <v>-6178339</v>
      </c>
      <c r="G4338">
        <v>-6417424</v>
      </c>
      <c r="H4338">
        <v>-8590260</v>
      </c>
      <c r="I4338">
        <v>-29927727</v>
      </c>
      <c r="J4338">
        <v>-5821692</v>
      </c>
      <c r="K4338">
        <v>-229314</v>
      </c>
      <c r="L4338">
        <v>18623250</v>
      </c>
      <c r="P4338">
        <v>92</v>
      </c>
      <c r="Q4338" t="s">
        <v>8719</v>
      </c>
    </row>
    <row r="4339" spans="1:17" x14ac:dyDescent="0.3">
      <c r="A4339" t="s">
        <v>4382</v>
      </c>
      <c r="B4339" t="str">
        <f>"300586"</f>
        <v>300586</v>
      </c>
      <c r="C4339" t="s">
        <v>8720</v>
      </c>
      <c r="D4339" t="s">
        <v>133</v>
      </c>
      <c r="F4339">
        <v>-79178567</v>
      </c>
      <c r="G4339">
        <v>-1358562</v>
      </c>
      <c r="H4339">
        <v>-197533984</v>
      </c>
      <c r="I4339">
        <v>-78283642</v>
      </c>
      <c r="J4339">
        <v>22753597</v>
      </c>
      <c r="K4339">
        <v>53704889</v>
      </c>
      <c r="L4339">
        <v>5483742</v>
      </c>
      <c r="P4339">
        <v>132</v>
      </c>
      <c r="Q4339" t="s">
        <v>8721</v>
      </c>
    </row>
    <row r="4340" spans="1:17" x14ac:dyDescent="0.3">
      <c r="A4340" t="s">
        <v>4382</v>
      </c>
      <c r="B4340" t="str">
        <f>"300587"</f>
        <v>300587</v>
      </c>
      <c r="C4340" t="s">
        <v>8722</v>
      </c>
      <c r="D4340" t="s">
        <v>133</v>
      </c>
      <c r="F4340">
        <v>-104863885</v>
      </c>
      <c r="G4340">
        <v>-164139842</v>
      </c>
      <c r="H4340">
        <v>-202691048</v>
      </c>
      <c r="I4340">
        <v>-179627633</v>
      </c>
      <c r="J4340">
        <v>-95551804</v>
      </c>
      <c r="K4340">
        <v>21562034</v>
      </c>
      <c r="L4340">
        <v>-13202430</v>
      </c>
      <c r="P4340">
        <v>154</v>
      </c>
      <c r="Q4340" t="s">
        <v>8723</v>
      </c>
    </row>
    <row r="4341" spans="1:17" x14ac:dyDescent="0.3">
      <c r="A4341" t="s">
        <v>4382</v>
      </c>
      <c r="B4341" t="str">
        <f>"300588"</f>
        <v>300588</v>
      </c>
      <c r="C4341" t="s">
        <v>8724</v>
      </c>
      <c r="D4341" t="s">
        <v>212</v>
      </c>
      <c r="F4341">
        <v>-7057503</v>
      </c>
      <c r="G4341">
        <v>-80774200</v>
      </c>
      <c r="H4341">
        <v>-30614056</v>
      </c>
      <c r="I4341">
        <v>-126400594</v>
      </c>
      <c r="J4341">
        <v>-135748420</v>
      </c>
      <c r="K4341">
        <v>-10653527</v>
      </c>
      <c r="P4341">
        <v>144</v>
      </c>
      <c r="Q4341" t="s">
        <v>8725</v>
      </c>
    </row>
    <row r="4342" spans="1:17" x14ac:dyDescent="0.3">
      <c r="A4342" t="s">
        <v>4382</v>
      </c>
      <c r="B4342" t="str">
        <f>"300589"</f>
        <v>300589</v>
      </c>
      <c r="C4342" t="s">
        <v>8726</v>
      </c>
      <c r="D4342" t="s">
        <v>92</v>
      </c>
      <c r="F4342">
        <v>-77584806</v>
      </c>
      <c r="G4342">
        <v>-129168477</v>
      </c>
      <c r="H4342">
        <v>-79344826</v>
      </c>
      <c r="I4342">
        <v>53928943</v>
      </c>
      <c r="J4342">
        <v>-144810201</v>
      </c>
      <c r="K4342">
        <v>-95389309</v>
      </c>
      <c r="L4342">
        <v>-18686500</v>
      </c>
      <c r="P4342">
        <v>87</v>
      </c>
      <c r="Q4342" t="s">
        <v>8727</v>
      </c>
    </row>
    <row r="4343" spans="1:17" x14ac:dyDescent="0.3">
      <c r="A4343" t="s">
        <v>4382</v>
      </c>
      <c r="B4343" t="str">
        <f>"300590"</f>
        <v>300590</v>
      </c>
      <c r="C4343" t="s">
        <v>8728</v>
      </c>
      <c r="D4343" t="s">
        <v>100</v>
      </c>
      <c r="F4343">
        <v>-116853147</v>
      </c>
      <c r="G4343">
        <v>7085928</v>
      </c>
      <c r="H4343">
        <v>-52044759</v>
      </c>
      <c r="I4343">
        <v>-17465372</v>
      </c>
      <c r="J4343">
        <v>33127479</v>
      </c>
      <c r="K4343">
        <v>51684083</v>
      </c>
      <c r="L4343">
        <v>71060789</v>
      </c>
      <c r="P4343">
        <v>411</v>
      </c>
      <c r="Q4343" t="s">
        <v>8729</v>
      </c>
    </row>
    <row r="4344" spans="1:17" x14ac:dyDescent="0.3">
      <c r="A4344" t="s">
        <v>4382</v>
      </c>
      <c r="B4344" t="str">
        <f>"300591"</f>
        <v>300591</v>
      </c>
      <c r="C4344" t="s">
        <v>8730</v>
      </c>
      <c r="D4344" t="s">
        <v>227</v>
      </c>
      <c r="F4344">
        <v>14921471</v>
      </c>
      <c r="G4344">
        <v>-79119202</v>
      </c>
      <c r="H4344">
        <v>59115819</v>
      </c>
      <c r="I4344">
        <v>-67397964</v>
      </c>
      <c r="J4344">
        <v>-302441314</v>
      </c>
      <c r="K4344">
        <v>-61463617</v>
      </c>
      <c r="L4344">
        <v>11660865</v>
      </c>
      <c r="P4344">
        <v>88</v>
      </c>
      <c r="Q4344" t="s">
        <v>8731</v>
      </c>
    </row>
    <row r="4345" spans="1:17" x14ac:dyDescent="0.3">
      <c r="A4345" t="s">
        <v>4382</v>
      </c>
      <c r="B4345" t="str">
        <f>"300592"</f>
        <v>300592</v>
      </c>
      <c r="C4345" t="s">
        <v>8732</v>
      </c>
      <c r="D4345" t="s">
        <v>95</v>
      </c>
      <c r="F4345">
        <v>117998889</v>
      </c>
      <c r="G4345">
        <v>-21107095</v>
      </c>
      <c r="H4345">
        <v>-36599915</v>
      </c>
      <c r="I4345">
        <v>-85864590</v>
      </c>
      <c r="J4345">
        <v>-77668677</v>
      </c>
      <c r="K4345">
        <v>-24983002</v>
      </c>
      <c r="L4345">
        <v>-34737250</v>
      </c>
      <c r="P4345">
        <v>65</v>
      </c>
      <c r="Q4345" t="s">
        <v>8733</v>
      </c>
    </row>
    <row r="4346" spans="1:17" x14ac:dyDescent="0.3">
      <c r="A4346" t="s">
        <v>4382</v>
      </c>
      <c r="B4346" t="str">
        <f>"300593"</f>
        <v>300593</v>
      </c>
      <c r="C4346" t="s">
        <v>8734</v>
      </c>
      <c r="D4346" t="s">
        <v>188</v>
      </c>
      <c r="F4346">
        <v>-182683444</v>
      </c>
      <c r="G4346">
        <v>-78835287</v>
      </c>
      <c r="H4346">
        <v>22981301</v>
      </c>
      <c r="I4346">
        <v>2116744</v>
      </c>
      <c r="J4346">
        <v>-65248514</v>
      </c>
      <c r="K4346">
        <v>-56756792</v>
      </c>
      <c r="L4346">
        <v>-11678141</v>
      </c>
      <c r="P4346">
        <v>255</v>
      </c>
      <c r="Q4346" t="s">
        <v>8735</v>
      </c>
    </row>
    <row r="4347" spans="1:17" x14ac:dyDescent="0.3">
      <c r="A4347" t="s">
        <v>4382</v>
      </c>
      <c r="B4347" t="str">
        <f>"300594"</f>
        <v>300594</v>
      </c>
      <c r="C4347" t="s">
        <v>8736</v>
      </c>
      <c r="D4347" t="s">
        <v>78</v>
      </c>
      <c r="F4347">
        <v>-110093685</v>
      </c>
      <c r="G4347">
        <v>-144128795</v>
      </c>
      <c r="H4347">
        <v>-131721377</v>
      </c>
      <c r="I4347">
        <v>-60564030</v>
      </c>
      <c r="P4347">
        <v>72</v>
      </c>
      <c r="Q4347" t="s">
        <v>8737</v>
      </c>
    </row>
    <row r="4348" spans="1:17" x14ac:dyDescent="0.3">
      <c r="A4348" t="s">
        <v>4382</v>
      </c>
      <c r="B4348" t="str">
        <f>"300595"</f>
        <v>300595</v>
      </c>
      <c r="C4348" t="s">
        <v>8738</v>
      </c>
      <c r="D4348" t="s">
        <v>113</v>
      </c>
      <c r="F4348">
        <v>415443664</v>
      </c>
      <c r="G4348">
        <v>191833941</v>
      </c>
      <c r="H4348">
        <v>172510366</v>
      </c>
      <c r="I4348">
        <v>104638064</v>
      </c>
      <c r="J4348">
        <v>78944242</v>
      </c>
      <c r="K4348">
        <v>60616476</v>
      </c>
      <c r="L4348">
        <v>46912337</v>
      </c>
      <c r="P4348">
        <v>4341</v>
      </c>
      <c r="Q4348" t="s">
        <v>8739</v>
      </c>
    </row>
    <row r="4349" spans="1:17" x14ac:dyDescent="0.3">
      <c r="A4349" t="s">
        <v>4382</v>
      </c>
      <c r="B4349" t="str">
        <f>"300596"</f>
        <v>300596</v>
      </c>
      <c r="C4349" t="s">
        <v>8740</v>
      </c>
      <c r="D4349" t="s">
        <v>133</v>
      </c>
      <c r="F4349">
        <v>-248448554</v>
      </c>
      <c r="G4349">
        <v>-194805094</v>
      </c>
      <c r="H4349">
        <v>-278648032</v>
      </c>
      <c r="I4349">
        <v>-8131327</v>
      </c>
      <c r="J4349">
        <v>-69050431</v>
      </c>
      <c r="K4349">
        <v>-33708440</v>
      </c>
      <c r="L4349">
        <v>61406120</v>
      </c>
      <c r="P4349">
        <v>391</v>
      </c>
      <c r="Q4349" t="s">
        <v>8741</v>
      </c>
    </row>
    <row r="4350" spans="1:17" x14ac:dyDescent="0.3">
      <c r="A4350" t="s">
        <v>4382</v>
      </c>
      <c r="B4350" t="str">
        <f>"300597"</f>
        <v>300597</v>
      </c>
      <c r="C4350" t="s">
        <v>8742</v>
      </c>
      <c r="D4350" t="s">
        <v>100</v>
      </c>
      <c r="F4350">
        <v>-70611616</v>
      </c>
      <c r="G4350">
        <v>-35846925</v>
      </c>
      <c r="H4350">
        <v>-29071038</v>
      </c>
      <c r="I4350">
        <v>-46735249</v>
      </c>
      <c r="J4350">
        <v>-51043103</v>
      </c>
      <c r="K4350">
        <v>-15171831</v>
      </c>
      <c r="L4350">
        <v>-8137590</v>
      </c>
      <c r="P4350">
        <v>110</v>
      </c>
      <c r="Q4350" t="s">
        <v>8743</v>
      </c>
    </row>
    <row r="4351" spans="1:17" x14ac:dyDescent="0.3">
      <c r="A4351" t="s">
        <v>4382</v>
      </c>
      <c r="B4351" t="str">
        <f>"300598"</f>
        <v>300598</v>
      </c>
      <c r="C4351" t="s">
        <v>8744</v>
      </c>
      <c r="D4351" t="s">
        <v>212</v>
      </c>
      <c r="F4351">
        <v>-61762499</v>
      </c>
      <c r="G4351">
        <v>-17429461</v>
      </c>
      <c r="H4351">
        <v>-57654175</v>
      </c>
      <c r="I4351">
        <v>-95214038</v>
      </c>
      <c r="J4351">
        <v>-75697343</v>
      </c>
      <c r="K4351">
        <v>-28365803</v>
      </c>
      <c r="L4351">
        <v>-17182145</v>
      </c>
      <c r="P4351">
        <v>319</v>
      </c>
      <c r="Q4351" t="s">
        <v>8745</v>
      </c>
    </row>
    <row r="4352" spans="1:17" x14ac:dyDescent="0.3">
      <c r="A4352" t="s">
        <v>4382</v>
      </c>
      <c r="B4352" t="str">
        <f>"300599"</f>
        <v>300599</v>
      </c>
      <c r="C4352" t="s">
        <v>8746</v>
      </c>
      <c r="D4352" t="s">
        <v>350</v>
      </c>
      <c r="F4352">
        <v>-241653997</v>
      </c>
      <c r="G4352">
        <v>-23051658</v>
      </c>
      <c r="H4352">
        <v>-83260562</v>
      </c>
      <c r="I4352">
        <v>-60276788</v>
      </c>
      <c r="J4352">
        <v>6115482</v>
      </c>
      <c r="K4352">
        <v>-30591394</v>
      </c>
      <c r="L4352">
        <v>-78267885</v>
      </c>
      <c r="P4352">
        <v>102</v>
      </c>
      <c r="Q4352" t="s">
        <v>8747</v>
      </c>
    </row>
    <row r="4353" spans="1:17" x14ac:dyDescent="0.3">
      <c r="A4353" t="s">
        <v>4382</v>
      </c>
      <c r="B4353" t="str">
        <f>"300600"</f>
        <v>300600</v>
      </c>
      <c r="C4353" t="s">
        <v>8748</v>
      </c>
      <c r="D4353" t="s">
        <v>92</v>
      </c>
      <c r="F4353">
        <v>-85600820</v>
      </c>
      <c r="G4353">
        <v>-110923825</v>
      </c>
      <c r="H4353">
        <v>-89489673</v>
      </c>
      <c r="I4353">
        <v>-130338127</v>
      </c>
      <c r="J4353">
        <v>-117274260</v>
      </c>
      <c r="K4353">
        <v>-87817735</v>
      </c>
      <c r="L4353">
        <v>407945</v>
      </c>
      <c r="P4353">
        <v>101</v>
      </c>
      <c r="Q4353" t="s">
        <v>8749</v>
      </c>
    </row>
    <row r="4354" spans="1:17" x14ac:dyDescent="0.3">
      <c r="A4354" t="s">
        <v>4382</v>
      </c>
      <c r="B4354" t="str">
        <f>"300601"</f>
        <v>300601</v>
      </c>
      <c r="C4354" t="s">
        <v>8750</v>
      </c>
      <c r="D4354" t="s">
        <v>113</v>
      </c>
      <c r="F4354">
        <v>-615419595</v>
      </c>
      <c r="G4354">
        <v>-52274671</v>
      </c>
      <c r="H4354">
        <v>-12048988</v>
      </c>
      <c r="I4354">
        <v>-100735951</v>
      </c>
      <c r="J4354">
        <v>-105483196</v>
      </c>
      <c r="K4354">
        <v>-128515733</v>
      </c>
      <c r="L4354">
        <v>24930427</v>
      </c>
      <c r="P4354">
        <v>1385</v>
      </c>
      <c r="Q4354" t="s">
        <v>8751</v>
      </c>
    </row>
    <row r="4355" spans="1:17" x14ac:dyDescent="0.3">
      <c r="A4355" t="s">
        <v>4382</v>
      </c>
      <c r="B4355" t="str">
        <f>"300602"</f>
        <v>300602</v>
      </c>
      <c r="C4355" t="s">
        <v>8752</v>
      </c>
      <c r="D4355" t="s">
        <v>150</v>
      </c>
      <c r="F4355">
        <v>-546947365</v>
      </c>
      <c r="G4355">
        <v>75390333</v>
      </c>
      <c r="H4355">
        <v>-30406836</v>
      </c>
      <c r="I4355">
        <v>-45510575</v>
      </c>
      <c r="J4355">
        <v>139978051</v>
      </c>
      <c r="K4355">
        <v>42117632</v>
      </c>
      <c r="L4355">
        <v>29261873</v>
      </c>
      <c r="P4355">
        <v>597</v>
      </c>
      <c r="Q4355" t="s">
        <v>8753</v>
      </c>
    </row>
    <row r="4356" spans="1:17" x14ac:dyDescent="0.3">
      <c r="A4356" t="s">
        <v>4382</v>
      </c>
      <c r="B4356" t="str">
        <f>"300603"</f>
        <v>300603</v>
      </c>
      <c r="C4356" t="s">
        <v>8754</v>
      </c>
      <c r="D4356" t="s">
        <v>100</v>
      </c>
      <c r="F4356">
        <v>-138065141</v>
      </c>
      <c r="G4356">
        <v>-132717579</v>
      </c>
      <c r="H4356">
        <v>-174333749</v>
      </c>
      <c r="I4356">
        <v>-242492021</v>
      </c>
      <c r="J4356">
        <v>-145374353</v>
      </c>
      <c r="K4356">
        <v>-42893333</v>
      </c>
      <c r="L4356">
        <v>23078380</v>
      </c>
      <c r="P4356">
        <v>196</v>
      </c>
      <c r="Q4356" t="s">
        <v>8755</v>
      </c>
    </row>
    <row r="4357" spans="1:17" x14ac:dyDescent="0.3">
      <c r="A4357" t="s">
        <v>4382</v>
      </c>
      <c r="B4357" t="str">
        <f>"300604"</f>
        <v>300604</v>
      </c>
      <c r="C4357" t="s">
        <v>8756</v>
      </c>
      <c r="D4357" t="s">
        <v>150</v>
      </c>
      <c r="F4357">
        <v>-213532730</v>
      </c>
      <c r="G4357">
        <v>15364424</v>
      </c>
      <c r="H4357">
        <v>-82166748</v>
      </c>
      <c r="I4357">
        <v>-51811953</v>
      </c>
      <c r="J4357">
        <v>-40039505</v>
      </c>
      <c r="K4357">
        <v>6468660</v>
      </c>
      <c r="P4357">
        <v>372</v>
      </c>
      <c r="Q4357" t="s">
        <v>8757</v>
      </c>
    </row>
    <row r="4358" spans="1:17" x14ac:dyDescent="0.3">
      <c r="A4358" t="s">
        <v>4382</v>
      </c>
      <c r="B4358" t="str">
        <f>"300605"</f>
        <v>300605</v>
      </c>
      <c r="C4358" t="s">
        <v>8758</v>
      </c>
      <c r="D4358" t="s">
        <v>212</v>
      </c>
      <c r="F4358">
        <v>-108567164</v>
      </c>
      <c r="G4358">
        <v>-131962974</v>
      </c>
      <c r="H4358">
        <v>-154610405</v>
      </c>
      <c r="I4358">
        <v>-71093575</v>
      </c>
      <c r="J4358">
        <v>-102003584</v>
      </c>
      <c r="K4358">
        <v>-42367090</v>
      </c>
      <c r="L4358">
        <v>-6687251</v>
      </c>
      <c r="P4358">
        <v>93</v>
      </c>
      <c r="Q4358" t="s">
        <v>8759</v>
      </c>
    </row>
    <row r="4359" spans="1:17" x14ac:dyDescent="0.3">
      <c r="A4359" t="s">
        <v>4382</v>
      </c>
      <c r="B4359" t="str">
        <f>"300606"</f>
        <v>300606</v>
      </c>
      <c r="C4359" t="s">
        <v>8760</v>
      </c>
      <c r="D4359" t="s">
        <v>78</v>
      </c>
      <c r="F4359">
        <v>-17282924</v>
      </c>
      <c r="G4359">
        <v>112203046</v>
      </c>
      <c r="H4359">
        <v>25139689</v>
      </c>
      <c r="I4359">
        <v>-63426286</v>
      </c>
      <c r="J4359">
        <v>29863917</v>
      </c>
      <c r="K4359">
        <v>15996419</v>
      </c>
      <c r="L4359">
        <v>6833375</v>
      </c>
      <c r="P4359">
        <v>92</v>
      </c>
      <c r="Q4359" t="s">
        <v>8761</v>
      </c>
    </row>
    <row r="4360" spans="1:17" x14ac:dyDescent="0.3">
      <c r="A4360" t="s">
        <v>4382</v>
      </c>
      <c r="B4360" t="str">
        <f>"300607"</f>
        <v>300607</v>
      </c>
      <c r="C4360" t="s">
        <v>8762</v>
      </c>
      <c r="D4360" t="s">
        <v>78</v>
      </c>
      <c r="F4360">
        <v>-774997203</v>
      </c>
      <c r="G4360">
        <v>743897185</v>
      </c>
      <c r="H4360">
        <v>20508131</v>
      </c>
      <c r="I4360">
        <v>-63313801</v>
      </c>
      <c r="J4360">
        <v>-108204744</v>
      </c>
      <c r="K4360">
        <v>72459754</v>
      </c>
      <c r="L4360">
        <v>-1191859</v>
      </c>
      <c r="P4360">
        <v>1388</v>
      </c>
      <c r="Q4360" t="s">
        <v>8763</v>
      </c>
    </row>
    <row r="4361" spans="1:17" x14ac:dyDescent="0.3">
      <c r="A4361" t="s">
        <v>4382</v>
      </c>
      <c r="B4361" t="str">
        <f>"300608"</f>
        <v>300608</v>
      </c>
      <c r="C4361" t="s">
        <v>8764</v>
      </c>
      <c r="D4361" t="s">
        <v>212</v>
      </c>
      <c r="F4361">
        <v>-189512364</v>
      </c>
      <c r="G4361">
        <v>-54244825</v>
      </c>
      <c r="H4361">
        <v>-185466255</v>
      </c>
      <c r="I4361">
        <v>-99466841</v>
      </c>
      <c r="J4361">
        <v>-89917274</v>
      </c>
      <c r="K4361">
        <v>-40877338</v>
      </c>
      <c r="L4361">
        <v>-84352990</v>
      </c>
      <c r="P4361">
        <v>217</v>
      </c>
      <c r="Q4361" t="s">
        <v>8765</v>
      </c>
    </row>
    <row r="4362" spans="1:17" x14ac:dyDescent="0.3">
      <c r="A4362" t="s">
        <v>4382</v>
      </c>
      <c r="B4362" t="str">
        <f>"300609"</f>
        <v>300609</v>
      </c>
      <c r="C4362" t="s">
        <v>8766</v>
      </c>
      <c r="D4362" t="s">
        <v>212</v>
      </c>
      <c r="F4362">
        <v>-48093244</v>
      </c>
      <c r="G4362">
        <v>-143383930</v>
      </c>
      <c r="H4362">
        <v>-63259270</v>
      </c>
      <c r="I4362">
        <v>-59465012</v>
      </c>
      <c r="J4362">
        <v>25132553</v>
      </c>
      <c r="K4362">
        <v>-10037037</v>
      </c>
      <c r="L4362">
        <v>-11936791</v>
      </c>
      <c r="P4362">
        <v>155</v>
      </c>
      <c r="Q4362" t="s">
        <v>8767</v>
      </c>
    </row>
    <row r="4363" spans="1:17" x14ac:dyDescent="0.3">
      <c r="A4363" t="s">
        <v>4382</v>
      </c>
      <c r="B4363" t="str">
        <f>"300610"</f>
        <v>300610</v>
      </c>
      <c r="C4363" t="s">
        <v>8768</v>
      </c>
      <c r="D4363" t="s">
        <v>133</v>
      </c>
      <c r="F4363">
        <v>67870811</v>
      </c>
      <c r="G4363">
        <v>18486308</v>
      </c>
      <c r="H4363">
        <v>28585538</v>
      </c>
      <c r="I4363">
        <v>-12113656</v>
      </c>
      <c r="J4363">
        <v>-78007987</v>
      </c>
      <c r="K4363">
        <v>26672696</v>
      </c>
      <c r="L4363">
        <v>53565892</v>
      </c>
      <c r="P4363">
        <v>129</v>
      </c>
      <c r="Q4363" t="s">
        <v>8769</v>
      </c>
    </row>
    <row r="4364" spans="1:17" x14ac:dyDescent="0.3">
      <c r="A4364" t="s">
        <v>4382</v>
      </c>
      <c r="B4364" t="str">
        <f>"300611"</f>
        <v>300611</v>
      </c>
      <c r="C4364" t="s">
        <v>8770</v>
      </c>
      <c r="D4364" t="s">
        <v>27</v>
      </c>
      <c r="F4364">
        <v>-80515236</v>
      </c>
      <c r="G4364">
        <v>21189125</v>
      </c>
      <c r="H4364">
        <v>10609799</v>
      </c>
      <c r="I4364">
        <v>-48434169</v>
      </c>
      <c r="J4364">
        <v>-81031089</v>
      </c>
      <c r="K4364">
        <v>-15498664</v>
      </c>
      <c r="L4364">
        <v>7439659</v>
      </c>
      <c r="P4364">
        <v>97</v>
      </c>
      <c r="Q4364" t="s">
        <v>8771</v>
      </c>
    </row>
    <row r="4365" spans="1:17" x14ac:dyDescent="0.3">
      <c r="A4365" t="s">
        <v>4382</v>
      </c>
      <c r="B4365" t="str">
        <f>"300612"</f>
        <v>300612</v>
      </c>
      <c r="C4365" t="s">
        <v>8772</v>
      </c>
      <c r="D4365" t="s">
        <v>89</v>
      </c>
      <c r="F4365">
        <v>-71290664</v>
      </c>
      <c r="G4365">
        <v>46342111</v>
      </c>
      <c r="H4365">
        <v>11356144</v>
      </c>
      <c r="I4365">
        <v>97138318</v>
      </c>
      <c r="J4365">
        <v>-22636816</v>
      </c>
      <c r="K4365">
        <v>2630244</v>
      </c>
      <c r="P4365">
        <v>84</v>
      </c>
      <c r="Q4365" t="s">
        <v>8773</v>
      </c>
    </row>
    <row r="4366" spans="1:17" x14ac:dyDescent="0.3">
      <c r="A4366" t="s">
        <v>4382</v>
      </c>
      <c r="B4366" t="str">
        <f>"300613"</f>
        <v>300613</v>
      </c>
      <c r="C4366" t="s">
        <v>8774</v>
      </c>
      <c r="D4366" t="s">
        <v>150</v>
      </c>
      <c r="F4366">
        <v>-57791331</v>
      </c>
      <c r="G4366">
        <v>132100091</v>
      </c>
      <c r="H4366">
        <v>-29093764</v>
      </c>
      <c r="I4366">
        <v>-25378481</v>
      </c>
      <c r="J4366">
        <v>-71890709</v>
      </c>
      <c r="K4366">
        <v>50416376</v>
      </c>
      <c r="P4366">
        <v>355</v>
      </c>
      <c r="Q4366" t="s">
        <v>8775</v>
      </c>
    </row>
    <row r="4367" spans="1:17" x14ac:dyDescent="0.3">
      <c r="A4367" t="s">
        <v>4382</v>
      </c>
      <c r="B4367" t="str">
        <f>"300614"</f>
        <v>300614</v>
      </c>
      <c r="C4367" t="s">
        <v>8776</v>
      </c>
      <c r="D4367" t="s">
        <v>33</v>
      </c>
      <c r="F4367">
        <v>-26311850</v>
      </c>
      <c r="G4367">
        <v>-3030863</v>
      </c>
      <c r="P4367">
        <v>41</v>
      </c>
      <c r="Q4367" t="s">
        <v>8777</v>
      </c>
    </row>
    <row r="4368" spans="1:17" x14ac:dyDescent="0.3">
      <c r="A4368" t="s">
        <v>4382</v>
      </c>
      <c r="B4368" t="str">
        <f>"300615"</f>
        <v>300615</v>
      </c>
      <c r="C4368" t="s">
        <v>8778</v>
      </c>
      <c r="D4368" t="s">
        <v>100</v>
      </c>
      <c r="F4368">
        <v>2074647</v>
      </c>
      <c r="G4368">
        <v>14336539</v>
      </c>
      <c r="H4368">
        <v>19791677</v>
      </c>
      <c r="I4368">
        <v>-31695437</v>
      </c>
      <c r="J4368">
        <v>-2630427</v>
      </c>
      <c r="K4368">
        <v>546269</v>
      </c>
      <c r="L4368">
        <v>39602419</v>
      </c>
      <c r="P4368">
        <v>156</v>
      </c>
      <c r="Q4368" t="s">
        <v>8779</v>
      </c>
    </row>
    <row r="4369" spans="1:17" x14ac:dyDescent="0.3">
      <c r="A4369" t="s">
        <v>4382</v>
      </c>
      <c r="B4369" t="str">
        <f>"300616"</f>
        <v>300616</v>
      </c>
      <c r="C4369" t="s">
        <v>8780</v>
      </c>
      <c r="D4369" t="s">
        <v>161</v>
      </c>
      <c r="F4369">
        <v>-1087205502</v>
      </c>
      <c r="G4369">
        <v>-632178477</v>
      </c>
      <c r="H4369">
        <v>-406319986</v>
      </c>
      <c r="I4369">
        <v>-187917299</v>
      </c>
      <c r="J4369">
        <v>253116709</v>
      </c>
      <c r="K4369">
        <v>12226290</v>
      </c>
      <c r="P4369">
        <v>694</v>
      </c>
      <c r="Q4369" t="s">
        <v>8781</v>
      </c>
    </row>
    <row r="4370" spans="1:17" x14ac:dyDescent="0.3">
      <c r="A4370" t="s">
        <v>4382</v>
      </c>
      <c r="B4370" t="str">
        <f>"300617"</f>
        <v>300617</v>
      </c>
      <c r="C4370" t="s">
        <v>8782</v>
      </c>
      <c r="D4370" t="s">
        <v>188</v>
      </c>
      <c r="F4370">
        <v>-30773379</v>
      </c>
      <c r="G4370">
        <v>-6418115</v>
      </c>
      <c r="H4370">
        <v>18380389</v>
      </c>
      <c r="I4370">
        <v>-6093360</v>
      </c>
      <c r="J4370">
        <v>-58178713</v>
      </c>
      <c r="K4370">
        <v>-19257171</v>
      </c>
      <c r="P4370">
        <v>148</v>
      </c>
      <c r="Q4370" t="s">
        <v>8783</v>
      </c>
    </row>
    <row r="4371" spans="1:17" x14ac:dyDescent="0.3">
      <c r="A4371" t="s">
        <v>4382</v>
      </c>
      <c r="B4371" t="str">
        <f>"300618"</f>
        <v>300618</v>
      </c>
      <c r="C4371" t="s">
        <v>8784</v>
      </c>
      <c r="D4371" t="s">
        <v>234</v>
      </c>
      <c r="F4371">
        <v>-768350640</v>
      </c>
      <c r="G4371">
        <v>134745716</v>
      </c>
      <c r="H4371">
        <v>-162919020</v>
      </c>
      <c r="I4371">
        <v>-153786148</v>
      </c>
      <c r="J4371">
        <v>-161735127</v>
      </c>
      <c r="K4371">
        <v>27917170</v>
      </c>
      <c r="P4371">
        <v>574</v>
      </c>
      <c r="Q4371" t="s">
        <v>8785</v>
      </c>
    </row>
    <row r="4372" spans="1:17" x14ac:dyDescent="0.3">
      <c r="A4372" t="s">
        <v>4382</v>
      </c>
      <c r="B4372" t="str">
        <f>"300619"</f>
        <v>300619</v>
      </c>
      <c r="C4372" t="s">
        <v>8786</v>
      </c>
      <c r="D4372" t="s">
        <v>188</v>
      </c>
      <c r="F4372">
        <v>-23568746</v>
      </c>
      <c r="G4372">
        <v>-278784827</v>
      </c>
      <c r="H4372">
        <v>-45466455</v>
      </c>
      <c r="I4372">
        <v>-60613496</v>
      </c>
      <c r="J4372">
        <v>-52697913</v>
      </c>
      <c r="K4372">
        <v>887128</v>
      </c>
      <c r="P4372">
        <v>94</v>
      </c>
      <c r="Q4372" t="s">
        <v>8787</v>
      </c>
    </row>
    <row r="4373" spans="1:17" x14ac:dyDescent="0.3">
      <c r="A4373" t="s">
        <v>4382</v>
      </c>
      <c r="B4373" t="str">
        <f>"300620"</f>
        <v>300620</v>
      </c>
      <c r="C4373" t="s">
        <v>8788</v>
      </c>
      <c r="D4373" t="s">
        <v>100</v>
      </c>
      <c r="F4373">
        <v>-92572739</v>
      </c>
      <c r="G4373">
        <v>-128661840</v>
      </c>
      <c r="H4373">
        <v>38220866</v>
      </c>
      <c r="I4373">
        <v>-35399838</v>
      </c>
      <c r="J4373">
        <v>-3388384</v>
      </c>
      <c r="K4373">
        <v>19817937</v>
      </c>
      <c r="P4373">
        <v>246</v>
      </c>
      <c r="Q4373" t="s">
        <v>8789</v>
      </c>
    </row>
    <row r="4374" spans="1:17" x14ac:dyDescent="0.3">
      <c r="A4374" t="s">
        <v>4382</v>
      </c>
      <c r="B4374" t="str">
        <f>"300621"</f>
        <v>300621</v>
      </c>
      <c r="C4374" t="s">
        <v>8790</v>
      </c>
      <c r="D4374" t="s">
        <v>95</v>
      </c>
      <c r="F4374">
        <v>40482798</v>
      </c>
      <c r="G4374">
        <v>14149034</v>
      </c>
      <c r="H4374">
        <v>22014647</v>
      </c>
      <c r="I4374">
        <v>-17371319</v>
      </c>
      <c r="J4374">
        <v>-257361126</v>
      </c>
      <c r="K4374">
        <v>-72044592</v>
      </c>
      <c r="P4374">
        <v>57</v>
      </c>
      <c r="Q4374" t="s">
        <v>8791</v>
      </c>
    </row>
    <row r="4375" spans="1:17" x14ac:dyDescent="0.3">
      <c r="A4375" t="s">
        <v>4382</v>
      </c>
      <c r="B4375" t="str">
        <f>"300622"</f>
        <v>300622</v>
      </c>
      <c r="C4375" t="s">
        <v>8792</v>
      </c>
      <c r="D4375" t="s">
        <v>120</v>
      </c>
      <c r="F4375">
        <v>145630321</v>
      </c>
      <c r="G4375">
        <v>54888736</v>
      </c>
      <c r="H4375">
        <v>37193236</v>
      </c>
      <c r="I4375">
        <v>6291902</v>
      </c>
      <c r="J4375">
        <v>45362620</v>
      </c>
      <c r="K4375">
        <v>38582533</v>
      </c>
      <c r="P4375">
        <v>123</v>
      </c>
      <c r="Q4375" t="s">
        <v>8793</v>
      </c>
    </row>
    <row r="4376" spans="1:17" x14ac:dyDescent="0.3">
      <c r="A4376" t="s">
        <v>4382</v>
      </c>
      <c r="B4376" t="str">
        <f>"300623"</f>
        <v>300623</v>
      </c>
      <c r="C4376" t="s">
        <v>8794</v>
      </c>
      <c r="D4376" t="s">
        <v>150</v>
      </c>
      <c r="F4376">
        <v>-550139243</v>
      </c>
      <c r="G4376">
        <v>-22235289</v>
      </c>
      <c r="H4376">
        <v>-41504811</v>
      </c>
      <c r="I4376">
        <v>-25293952</v>
      </c>
      <c r="J4376">
        <v>-48455514</v>
      </c>
      <c r="K4376">
        <v>39328919</v>
      </c>
      <c r="P4376">
        <v>666</v>
      </c>
      <c r="Q4376" t="s">
        <v>8795</v>
      </c>
    </row>
    <row r="4377" spans="1:17" x14ac:dyDescent="0.3">
      <c r="A4377" t="s">
        <v>4382</v>
      </c>
      <c r="B4377" t="str">
        <f>"300624"</f>
        <v>300624</v>
      </c>
      <c r="C4377" t="s">
        <v>8796</v>
      </c>
      <c r="D4377" t="s">
        <v>212</v>
      </c>
      <c r="F4377">
        <v>-16955090</v>
      </c>
      <c r="G4377">
        <v>71244670</v>
      </c>
      <c r="H4377">
        <v>42137548</v>
      </c>
      <c r="I4377">
        <v>45659463</v>
      </c>
      <c r="J4377">
        <v>22626462</v>
      </c>
      <c r="K4377">
        <v>42474600</v>
      </c>
      <c r="P4377">
        <v>333</v>
      </c>
      <c r="Q4377" t="s">
        <v>8797</v>
      </c>
    </row>
    <row r="4378" spans="1:17" x14ac:dyDescent="0.3">
      <c r="A4378" t="s">
        <v>4382</v>
      </c>
      <c r="B4378" t="str">
        <f>"300625"</f>
        <v>300625</v>
      </c>
      <c r="C4378" t="s">
        <v>8798</v>
      </c>
      <c r="D4378" t="s">
        <v>126</v>
      </c>
      <c r="F4378">
        <v>-21780612</v>
      </c>
      <c r="G4378">
        <v>-30484917</v>
      </c>
      <c r="H4378">
        <v>94431596</v>
      </c>
      <c r="I4378">
        <v>-141512928</v>
      </c>
      <c r="J4378">
        <v>-102584020</v>
      </c>
      <c r="K4378">
        <v>76575610</v>
      </c>
      <c r="P4378">
        <v>137</v>
      </c>
      <c r="Q4378" t="s">
        <v>8799</v>
      </c>
    </row>
    <row r="4379" spans="1:17" x14ac:dyDescent="0.3">
      <c r="A4379" t="s">
        <v>4382</v>
      </c>
      <c r="B4379" t="str">
        <f>"300626"</f>
        <v>300626</v>
      </c>
      <c r="C4379" t="s">
        <v>8800</v>
      </c>
      <c r="D4379" t="s">
        <v>188</v>
      </c>
      <c r="F4379">
        <v>36859713</v>
      </c>
      <c r="G4379">
        <v>36010551</v>
      </c>
      <c r="H4379">
        <v>108034470</v>
      </c>
      <c r="I4379">
        <v>-72337275</v>
      </c>
      <c r="J4379">
        <v>-32149316</v>
      </c>
      <c r="K4379">
        <v>27164703</v>
      </c>
      <c r="P4379">
        <v>55</v>
      </c>
      <c r="Q4379" t="s">
        <v>8801</v>
      </c>
    </row>
    <row r="4380" spans="1:17" x14ac:dyDescent="0.3">
      <c r="A4380" t="s">
        <v>4382</v>
      </c>
      <c r="B4380" t="str">
        <f>"300627"</f>
        <v>300627</v>
      </c>
      <c r="C4380" t="s">
        <v>8802</v>
      </c>
      <c r="D4380" t="s">
        <v>100</v>
      </c>
      <c r="F4380">
        <v>-193504913</v>
      </c>
      <c r="G4380">
        <v>-71976689</v>
      </c>
      <c r="H4380">
        <v>-171305534</v>
      </c>
      <c r="I4380">
        <v>-238873352</v>
      </c>
      <c r="J4380">
        <v>-75826637</v>
      </c>
      <c r="K4380">
        <v>-65769331</v>
      </c>
      <c r="P4380">
        <v>296</v>
      </c>
      <c r="Q4380" t="s">
        <v>8803</v>
      </c>
    </row>
    <row r="4381" spans="1:17" x14ac:dyDescent="0.3">
      <c r="A4381" t="s">
        <v>4382</v>
      </c>
      <c r="B4381" t="str">
        <f>"300628"</f>
        <v>300628</v>
      </c>
      <c r="C4381" t="s">
        <v>8804</v>
      </c>
      <c r="D4381" t="s">
        <v>100</v>
      </c>
      <c r="F4381">
        <v>417212778</v>
      </c>
      <c r="G4381">
        <v>665415175</v>
      </c>
      <c r="H4381">
        <v>757226974</v>
      </c>
      <c r="I4381">
        <v>455324934</v>
      </c>
      <c r="J4381">
        <v>307547026</v>
      </c>
      <c r="K4381">
        <v>247943205</v>
      </c>
      <c r="P4381">
        <v>2273</v>
      </c>
      <c r="Q4381" t="s">
        <v>8805</v>
      </c>
    </row>
    <row r="4382" spans="1:17" x14ac:dyDescent="0.3">
      <c r="A4382" t="s">
        <v>4382</v>
      </c>
      <c r="B4382" t="str">
        <f>"300629"</f>
        <v>300629</v>
      </c>
      <c r="C4382" t="s">
        <v>8806</v>
      </c>
      <c r="D4382" t="s">
        <v>78</v>
      </c>
      <c r="F4382">
        <v>30961163</v>
      </c>
      <c r="G4382">
        <v>123344012</v>
      </c>
      <c r="H4382">
        <v>7244487</v>
      </c>
      <c r="I4382">
        <v>-55701797</v>
      </c>
      <c r="J4382">
        <v>-5677854</v>
      </c>
      <c r="K4382">
        <v>13994026</v>
      </c>
      <c r="P4382">
        <v>65</v>
      </c>
      <c r="Q4382" t="s">
        <v>8807</v>
      </c>
    </row>
    <row r="4383" spans="1:17" x14ac:dyDescent="0.3">
      <c r="A4383" t="s">
        <v>4382</v>
      </c>
      <c r="B4383" t="str">
        <f>"300630"</f>
        <v>300630</v>
      </c>
      <c r="C4383" t="s">
        <v>8808</v>
      </c>
      <c r="D4383" t="s">
        <v>113</v>
      </c>
      <c r="F4383">
        <v>-623085232</v>
      </c>
      <c r="G4383">
        <v>-390085679</v>
      </c>
      <c r="H4383">
        <v>-192137985</v>
      </c>
      <c r="I4383">
        <v>-188181216</v>
      </c>
      <c r="J4383">
        <v>-83875778</v>
      </c>
      <c r="K4383">
        <v>-50739642</v>
      </c>
      <c r="P4383">
        <v>1268</v>
      </c>
      <c r="Q4383" t="s">
        <v>8809</v>
      </c>
    </row>
    <row r="4384" spans="1:17" x14ac:dyDescent="0.3">
      <c r="A4384" t="s">
        <v>4382</v>
      </c>
      <c r="B4384" t="str">
        <f>"300631"</f>
        <v>300631</v>
      </c>
      <c r="C4384" t="s">
        <v>8810</v>
      </c>
      <c r="D4384" t="s">
        <v>33</v>
      </c>
      <c r="F4384">
        <v>-13207738</v>
      </c>
      <c r="G4384">
        <v>-43163798</v>
      </c>
      <c r="H4384">
        <v>-48906695</v>
      </c>
      <c r="I4384">
        <v>91546663</v>
      </c>
      <c r="J4384">
        <v>-56573802</v>
      </c>
      <c r="K4384">
        <v>8892657</v>
      </c>
      <c r="P4384">
        <v>136</v>
      </c>
      <c r="Q4384" t="s">
        <v>8811</v>
      </c>
    </row>
    <row r="4385" spans="1:17" x14ac:dyDescent="0.3">
      <c r="A4385" t="s">
        <v>4382</v>
      </c>
      <c r="B4385" t="str">
        <f>"300632"</f>
        <v>300632</v>
      </c>
      <c r="C4385" t="s">
        <v>8812</v>
      </c>
      <c r="D4385" t="s">
        <v>150</v>
      </c>
      <c r="F4385">
        <v>-112935536</v>
      </c>
      <c r="G4385">
        <v>148852078</v>
      </c>
      <c r="H4385">
        <v>109501409</v>
      </c>
      <c r="I4385">
        <v>-4407536</v>
      </c>
      <c r="J4385">
        <v>-31507555</v>
      </c>
      <c r="K4385">
        <v>-6784254</v>
      </c>
      <c r="P4385">
        <v>201</v>
      </c>
      <c r="Q4385" t="s">
        <v>8813</v>
      </c>
    </row>
    <row r="4386" spans="1:17" x14ac:dyDescent="0.3">
      <c r="A4386" t="s">
        <v>4382</v>
      </c>
      <c r="B4386" t="str">
        <f>"300633"</f>
        <v>300633</v>
      </c>
      <c r="C4386" t="s">
        <v>8814</v>
      </c>
      <c r="D4386" t="s">
        <v>113</v>
      </c>
      <c r="F4386">
        <v>15089708</v>
      </c>
      <c r="G4386">
        <v>-89655160</v>
      </c>
      <c r="H4386">
        <v>-103417091</v>
      </c>
      <c r="I4386">
        <v>-13627524</v>
      </c>
      <c r="J4386">
        <v>80496680</v>
      </c>
      <c r="K4386">
        <v>48461881</v>
      </c>
      <c r="P4386">
        <v>515</v>
      </c>
      <c r="Q4386" t="s">
        <v>8815</v>
      </c>
    </row>
    <row r="4387" spans="1:17" x14ac:dyDescent="0.3">
      <c r="A4387" t="s">
        <v>4382</v>
      </c>
      <c r="B4387" t="str">
        <f>"300634"</f>
        <v>300634</v>
      </c>
      <c r="C4387" t="s">
        <v>8816</v>
      </c>
      <c r="D4387" t="s">
        <v>212</v>
      </c>
      <c r="F4387">
        <v>-53789353</v>
      </c>
      <c r="G4387">
        <v>-36583452</v>
      </c>
      <c r="H4387">
        <v>-69538978</v>
      </c>
      <c r="I4387">
        <v>-226518750</v>
      </c>
      <c r="J4387">
        <v>-157356281</v>
      </c>
      <c r="P4387">
        <v>159</v>
      </c>
      <c r="Q4387" t="s">
        <v>8817</v>
      </c>
    </row>
    <row r="4388" spans="1:17" x14ac:dyDescent="0.3">
      <c r="A4388" t="s">
        <v>4382</v>
      </c>
      <c r="B4388" t="str">
        <f>"300635"</f>
        <v>300635</v>
      </c>
      <c r="C4388" t="s">
        <v>8818</v>
      </c>
      <c r="D4388" t="s">
        <v>95</v>
      </c>
      <c r="F4388">
        <v>3135986</v>
      </c>
      <c r="G4388">
        <v>-64454665</v>
      </c>
      <c r="H4388">
        <v>-10794735</v>
      </c>
      <c r="I4388">
        <v>-30236236</v>
      </c>
      <c r="J4388">
        <v>-124548454</v>
      </c>
      <c r="K4388">
        <v>17522260</v>
      </c>
      <c r="P4388">
        <v>113</v>
      </c>
      <c r="Q4388" t="s">
        <v>8819</v>
      </c>
    </row>
    <row r="4389" spans="1:17" x14ac:dyDescent="0.3">
      <c r="A4389" t="s">
        <v>4382</v>
      </c>
      <c r="B4389" t="str">
        <f>"300636"</f>
        <v>300636</v>
      </c>
      <c r="C4389" t="s">
        <v>8820</v>
      </c>
      <c r="D4389" t="s">
        <v>113</v>
      </c>
      <c r="F4389">
        <v>-234243222</v>
      </c>
      <c r="G4389">
        <v>-71684500</v>
      </c>
      <c r="H4389">
        <v>-159676801</v>
      </c>
      <c r="I4389">
        <v>-138939222</v>
      </c>
      <c r="J4389">
        <v>-35743077</v>
      </c>
      <c r="K4389">
        <v>9801927</v>
      </c>
      <c r="P4389">
        <v>137</v>
      </c>
      <c r="Q4389" t="s">
        <v>8821</v>
      </c>
    </row>
    <row r="4390" spans="1:17" x14ac:dyDescent="0.3">
      <c r="A4390" t="s">
        <v>4382</v>
      </c>
      <c r="B4390" t="str">
        <f>"300637"</f>
        <v>300637</v>
      </c>
      <c r="C4390" t="s">
        <v>8822</v>
      </c>
      <c r="D4390" t="s">
        <v>150</v>
      </c>
      <c r="F4390">
        <v>-105445332</v>
      </c>
      <c r="G4390">
        <v>-110265743</v>
      </c>
      <c r="H4390">
        <v>-207009765</v>
      </c>
      <c r="I4390">
        <v>23392158</v>
      </c>
      <c r="J4390">
        <v>40104911</v>
      </c>
      <c r="K4390">
        <v>35250336</v>
      </c>
      <c r="P4390">
        <v>117</v>
      </c>
      <c r="Q4390" t="s">
        <v>8823</v>
      </c>
    </row>
    <row r="4391" spans="1:17" x14ac:dyDescent="0.3">
      <c r="A4391" t="s">
        <v>4382</v>
      </c>
      <c r="B4391" t="str">
        <f>"300638"</f>
        <v>300638</v>
      </c>
      <c r="C4391" t="s">
        <v>8824</v>
      </c>
      <c r="D4391" t="s">
        <v>100</v>
      </c>
      <c r="F4391">
        <v>-540718587</v>
      </c>
      <c r="G4391">
        <v>67378061</v>
      </c>
      <c r="H4391">
        <v>133135218</v>
      </c>
      <c r="I4391">
        <v>-40678762</v>
      </c>
      <c r="J4391">
        <v>-126246482</v>
      </c>
      <c r="K4391">
        <v>-2508565</v>
      </c>
      <c r="P4391">
        <v>760</v>
      </c>
      <c r="Q4391" t="s">
        <v>8825</v>
      </c>
    </row>
    <row r="4392" spans="1:17" x14ac:dyDescent="0.3">
      <c r="A4392" t="s">
        <v>4382</v>
      </c>
      <c r="B4392" t="str">
        <f>"300639"</f>
        <v>300639</v>
      </c>
      <c r="C4392" t="s">
        <v>8826</v>
      </c>
      <c r="D4392" t="s">
        <v>113</v>
      </c>
      <c r="F4392">
        <v>-125353010</v>
      </c>
      <c r="G4392">
        <v>11232244</v>
      </c>
      <c r="H4392">
        <v>-94470371</v>
      </c>
      <c r="I4392">
        <v>-72574433</v>
      </c>
      <c r="J4392">
        <v>4426895</v>
      </c>
      <c r="K4392">
        <v>-21697199</v>
      </c>
      <c r="P4392">
        <v>536</v>
      </c>
      <c r="Q4392" t="s">
        <v>8827</v>
      </c>
    </row>
    <row r="4393" spans="1:17" x14ac:dyDescent="0.3">
      <c r="A4393" t="s">
        <v>4382</v>
      </c>
      <c r="B4393" t="str">
        <f>"300640"</f>
        <v>300640</v>
      </c>
      <c r="C4393" t="s">
        <v>8828</v>
      </c>
      <c r="D4393" t="s">
        <v>161</v>
      </c>
      <c r="F4393">
        <v>-177179916</v>
      </c>
      <c r="G4393">
        <v>-77975882</v>
      </c>
      <c r="H4393">
        <v>4576616</v>
      </c>
      <c r="I4393">
        <v>-12442609</v>
      </c>
      <c r="J4393">
        <v>-3667328</v>
      </c>
      <c r="K4393">
        <v>23556570</v>
      </c>
      <c r="P4393">
        <v>79</v>
      </c>
      <c r="Q4393" t="s">
        <v>8829</v>
      </c>
    </row>
    <row r="4394" spans="1:17" x14ac:dyDescent="0.3">
      <c r="A4394" t="s">
        <v>4382</v>
      </c>
      <c r="B4394" t="str">
        <f>"300641"</f>
        <v>300641</v>
      </c>
      <c r="C4394" t="s">
        <v>8830</v>
      </c>
      <c r="D4394" t="s">
        <v>133</v>
      </c>
      <c r="F4394">
        <v>-166928392</v>
      </c>
      <c r="G4394">
        <v>29946976</v>
      </c>
      <c r="H4394">
        <v>-174153511</v>
      </c>
      <c r="I4394">
        <v>-143141867</v>
      </c>
      <c r="J4394">
        <v>-49239776</v>
      </c>
      <c r="K4394">
        <v>111829801</v>
      </c>
      <c r="P4394">
        <v>79</v>
      </c>
      <c r="Q4394" t="s">
        <v>8831</v>
      </c>
    </row>
    <row r="4395" spans="1:17" x14ac:dyDescent="0.3">
      <c r="A4395" t="s">
        <v>4382</v>
      </c>
      <c r="B4395" t="str">
        <f>"300642"</f>
        <v>300642</v>
      </c>
      <c r="C4395" t="s">
        <v>8832</v>
      </c>
      <c r="D4395" t="s">
        <v>113</v>
      </c>
      <c r="F4395">
        <v>-5977461</v>
      </c>
      <c r="G4395">
        <v>-16316791</v>
      </c>
      <c r="H4395">
        <v>5009166</v>
      </c>
      <c r="I4395">
        <v>785571</v>
      </c>
      <c r="J4395">
        <v>27467264</v>
      </c>
      <c r="K4395">
        <v>7369799</v>
      </c>
      <c r="P4395">
        <v>418</v>
      </c>
      <c r="Q4395" t="s">
        <v>8833</v>
      </c>
    </row>
    <row r="4396" spans="1:17" x14ac:dyDescent="0.3">
      <c r="A4396" t="s">
        <v>4382</v>
      </c>
      <c r="B4396" t="str">
        <f>"300643"</f>
        <v>300643</v>
      </c>
      <c r="C4396" t="s">
        <v>8834</v>
      </c>
      <c r="D4396" t="s">
        <v>27</v>
      </c>
      <c r="F4396">
        <v>24701291</v>
      </c>
      <c r="G4396">
        <v>-2984023</v>
      </c>
      <c r="H4396">
        <v>4181027</v>
      </c>
      <c r="I4396">
        <v>2381198</v>
      </c>
      <c r="J4396">
        <v>26317642</v>
      </c>
      <c r="K4396">
        <v>-1711401</v>
      </c>
      <c r="P4396">
        <v>96</v>
      </c>
      <c r="Q4396" t="s">
        <v>8835</v>
      </c>
    </row>
    <row r="4397" spans="1:17" x14ac:dyDescent="0.3">
      <c r="A4397" t="s">
        <v>4382</v>
      </c>
      <c r="B4397" t="str">
        <f>"300644"</f>
        <v>300644</v>
      </c>
      <c r="C4397" t="s">
        <v>8836</v>
      </c>
      <c r="D4397" t="s">
        <v>133</v>
      </c>
      <c r="F4397">
        <v>-102905564</v>
      </c>
      <c r="G4397">
        <v>-11723379</v>
      </c>
      <c r="H4397">
        <v>-8433254</v>
      </c>
      <c r="I4397">
        <v>-71027130</v>
      </c>
      <c r="J4397">
        <v>-663488</v>
      </c>
      <c r="P4397">
        <v>133</v>
      </c>
      <c r="Q4397" t="s">
        <v>8837</v>
      </c>
    </row>
    <row r="4398" spans="1:17" x14ac:dyDescent="0.3">
      <c r="A4398" t="s">
        <v>4382</v>
      </c>
      <c r="B4398" t="str">
        <f>"300645"</f>
        <v>300645</v>
      </c>
      <c r="C4398" t="s">
        <v>8838</v>
      </c>
      <c r="D4398" t="s">
        <v>212</v>
      </c>
      <c r="F4398">
        <v>-268901422</v>
      </c>
      <c r="G4398">
        <v>-202876364</v>
      </c>
      <c r="H4398">
        <v>-323018932</v>
      </c>
      <c r="I4398">
        <v>-244206157</v>
      </c>
      <c r="J4398">
        <v>-154392931</v>
      </c>
      <c r="K4398">
        <v>-111308294</v>
      </c>
      <c r="P4398">
        <v>111</v>
      </c>
      <c r="Q4398" t="s">
        <v>8839</v>
      </c>
    </row>
    <row r="4399" spans="1:17" x14ac:dyDescent="0.3">
      <c r="A4399" t="s">
        <v>4382</v>
      </c>
      <c r="B4399" t="str">
        <f>"300647"</f>
        <v>300647</v>
      </c>
      <c r="C4399" t="s">
        <v>8840</v>
      </c>
      <c r="D4399" t="s">
        <v>150</v>
      </c>
      <c r="F4399">
        <v>-120295679</v>
      </c>
      <c r="G4399">
        <v>-35272711</v>
      </c>
      <c r="H4399">
        <v>-15837145</v>
      </c>
      <c r="I4399">
        <v>-82285581</v>
      </c>
      <c r="J4399">
        <v>-74919406</v>
      </c>
      <c r="K4399">
        <v>-45708186</v>
      </c>
      <c r="P4399">
        <v>117</v>
      </c>
      <c r="Q4399" t="s">
        <v>8841</v>
      </c>
    </row>
    <row r="4400" spans="1:17" x14ac:dyDescent="0.3">
      <c r="A4400" t="s">
        <v>4382</v>
      </c>
      <c r="B4400" t="str">
        <f>"300648"</f>
        <v>300648</v>
      </c>
      <c r="C4400" t="s">
        <v>8842</v>
      </c>
      <c r="D4400" t="s">
        <v>188</v>
      </c>
      <c r="F4400">
        <v>-128628595</v>
      </c>
      <c r="G4400">
        <v>-52416555</v>
      </c>
      <c r="H4400">
        <v>-161707936</v>
      </c>
      <c r="I4400">
        <v>-27660147</v>
      </c>
      <c r="J4400">
        <v>-86709244</v>
      </c>
      <c r="K4400">
        <v>-701658</v>
      </c>
      <c r="P4400">
        <v>267</v>
      </c>
      <c r="Q4400" t="s">
        <v>8843</v>
      </c>
    </row>
    <row r="4401" spans="1:17" x14ac:dyDescent="0.3">
      <c r="A4401" t="s">
        <v>4382</v>
      </c>
      <c r="B4401" t="str">
        <f>"300649"</f>
        <v>300649</v>
      </c>
      <c r="C4401" t="s">
        <v>8844</v>
      </c>
      <c r="D4401" t="s">
        <v>95</v>
      </c>
      <c r="F4401">
        <v>-12993813</v>
      </c>
      <c r="G4401">
        <v>-46987118</v>
      </c>
      <c r="H4401">
        <v>5821659</v>
      </c>
      <c r="I4401">
        <v>-40702568</v>
      </c>
      <c r="J4401">
        <v>-6615838</v>
      </c>
      <c r="K4401">
        <v>-164861289</v>
      </c>
      <c r="P4401">
        <v>91</v>
      </c>
      <c r="Q4401" t="s">
        <v>8845</v>
      </c>
    </row>
    <row r="4402" spans="1:17" x14ac:dyDescent="0.3">
      <c r="A4402" t="s">
        <v>4382</v>
      </c>
      <c r="B4402" t="str">
        <f>"300650"</f>
        <v>300650</v>
      </c>
      <c r="C4402" t="s">
        <v>8846</v>
      </c>
      <c r="D4402" t="s">
        <v>150</v>
      </c>
      <c r="F4402">
        <v>187227130</v>
      </c>
      <c r="G4402">
        <v>-55115879</v>
      </c>
      <c r="H4402">
        <v>-48102624</v>
      </c>
      <c r="I4402">
        <v>-37745766</v>
      </c>
      <c r="J4402">
        <v>-5162979</v>
      </c>
      <c r="K4402">
        <v>-22549289</v>
      </c>
      <c r="P4402">
        <v>125</v>
      </c>
      <c r="Q4402" t="s">
        <v>8847</v>
      </c>
    </row>
    <row r="4403" spans="1:17" x14ac:dyDescent="0.3">
      <c r="A4403" t="s">
        <v>4382</v>
      </c>
      <c r="B4403" t="str">
        <f>"300651"</f>
        <v>300651</v>
      </c>
      <c r="C4403" t="s">
        <v>8848</v>
      </c>
      <c r="D4403" t="s">
        <v>110</v>
      </c>
      <c r="F4403">
        <v>9449420</v>
      </c>
      <c r="G4403">
        <v>-26642323</v>
      </c>
      <c r="H4403">
        <v>-16992108</v>
      </c>
      <c r="I4403">
        <v>-34188878</v>
      </c>
      <c r="J4403">
        <v>-131931646</v>
      </c>
      <c r="K4403">
        <v>-55645191</v>
      </c>
      <c r="P4403">
        <v>99</v>
      </c>
      <c r="Q4403" t="s">
        <v>8849</v>
      </c>
    </row>
    <row r="4404" spans="1:17" x14ac:dyDescent="0.3">
      <c r="A4404" t="s">
        <v>4382</v>
      </c>
      <c r="B4404" t="str">
        <f>"300652"</f>
        <v>300652</v>
      </c>
      <c r="C4404" t="s">
        <v>8850</v>
      </c>
      <c r="D4404" t="s">
        <v>27</v>
      </c>
      <c r="F4404">
        <v>-21760220</v>
      </c>
      <c r="G4404">
        <v>28603915</v>
      </c>
      <c r="H4404">
        <v>-24951401</v>
      </c>
      <c r="I4404">
        <v>35678725</v>
      </c>
      <c r="J4404">
        <v>-5113087</v>
      </c>
      <c r="K4404">
        <v>39548310</v>
      </c>
      <c r="P4404">
        <v>92</v>
      </c>
      <c r="Q4404" t="s">
        <v>8851</v>
      </c>
    </row>
    <row r="4405" spans="1:17" x14ac:dyDescent="0.3">
      <c r="A4405" t="s">
        <v>4382</v>
      </c>
      <c r="B4405" t="str">
        <f>"300653"</f>
        <v>300653</v>
      </c>
      <c r="C4405" t="s">
        <v>8852</v>
      </c>
      <c r="D4405" t="s">
        <v>113</v>
      </c>
      <c r="F4405">
        <v>115486482</v>
      </c>
      <c r="G4405">
        <v>22407844</v>
      </c>
      <c r="H4405">
        <v>28683397</v>
      </c>
      <c r="I4405">
        <v>54948477</v>
      </c>
      <c r="J4405">
        <v>38817156</v>
      </c>
      <c r="K4405">
        <v>20277201</v>
      </c>
      <c r="P4405">
        <v>901</v>
      </c>
      <c r="Q4405" t="s">
        <v>8853</v>
      </c>
    </row>
    <row r="4406" spans="1:17" x14ac:dyDescent="0.3">
      <c r="A4406" t="s">
        <v>4382</v>
      </c>
      <c r="B4406" t="str">
        <f>"300654"</f>
        <v>300654</v>
      </c>
      <c r="C4406" t="s">
        <v>8854</v>
      </c>
      <c r="D4406" t="s">
        <v>89</v>
      </c>
      <c r="F4406">
        <v>-34186015</v>
      </c>
      <c r="G4406">
        <v>-60549197</v>
      </c>
      <c r="H4406">
        <v>6028599</v>
      </c>
      <c r="I4406">
        <v>-17609288</v>
      </c>
      <c r="J4406">
        <v>-33825520</v>
      </c>
      <c r="K4406">
        <v>-194995</v>
      </c>
      <c r="P4406">
        <v>73</v>
      </c>
      <c r="Q4406" t="s">
        <v>8855</v>
      </c>
    </row>
    <row r="4407" spans="1:17" x14ac:dyDescent="0.3">
      <c r="A4407" t="s">
        <v>4382</v>
      </c>
      <c r="B4407" t="str">
        <f>"300655"</f>
        <v>300655</v>
      </c>
      <c r="C4407" t="s">
        <v>8856</v>
      </c>
      <c r="D4407" t="s">
        <v>150</v>
      </c>
      <c r="F4407">
        <v>39368591</v>
      </c>
      <c r="G4407">
        <v>-157967612</v>
      </c>
      <c r="H4407">
        <v>16583847</v>
      </c>
      <c r="I4407">
        <v>-65972570</v>
      </c>
      <c r="J4407">
        <v>-41745136</v>
      </c>
      <c r="K4407">
        <v>-25617937</v>
      </c>
      <c r="P4407">
        <v>3076</v>
      </c>
      <c r="Q4407" t="s">
        <v>8857</v>
      </c>
    </row>
    <row r="4408" spans="1:17" x14ac:dyDescent="0.3">
      <c r="A4408" t="s">
        <v>4382</v>
      </c>
      <c r="B4408" t="str">
        <f>"300656"</f>
        <v>300656</v>
      </c>
      <c r="C4408" t="s">
        <v>8858</v>
      </c>
      <c r="D4408" t="s">
        <v>150</v>
      </c>
      <c r="F4408">
        <v>24516549</v>
      </c>
      <c r="G4408">
        <v>-13434264</v>
      </c>
      <c r="H4408">
        <v>35077644</v>
      </c>
      <c r="I4408">
        <v>-28505217</v>
      </c>
      <c r="J4408">
        <v>10192709</v>
      </c>
      <c r="K4408">
        <v>20263916</v>
      </c>
      <c r="P4408">
        <v>81</v>
      </c>
      <c r="Q4408" t="s">
        <v>8859</v>
      </c>
    </row>
    <row r="4409" spans="1:17" x14ac:dyDescent="0.3">
      <c r="A4409" t="s">
        <v>4382</v>
      </c>
      <c r="B4409" t="str">
        <f>"300657"</f>
        <v>300657</v>
      </c>
      <c r="C4409" t="s">
        <v>8860</v>
      </c>
      <c r="D4409" t="s">
        <v>150</v>
      </c>
      <c r="F4409">
        <v>-301884849</v>
      </c>
      <c r="G4409">
        <v>-248905946</v>
      </c>
      <c r="H4409">
        <v>-94602494</v>
      </c>
      <c r="I4409">
        <v>-80887018</v>
      </c>
      <c r="J4409">
        <v>-107488612</v>
      </c>
      <c r="K4409">
        <v>-1604256</v>
      </c>
      <c r="P4409">
        <v>257</v>
      </c>
      <c r="Q4409" t="s">
        <v>8861</v>
      </c>
    </row>
    <row r="4410" spans="1:17" x14ac:dyDescent="0.3">
      <c r="A4410" t="s">
        <v>4382</v>
      </c>
      <c r="B4410" t="str">
        <f>"300658"</f>
        <v>300658</v>
      </c>
      <c r="C4410" t="s">
        <v>8862</v>
      </c>
      <c r="D4410" t="s">
        <v>481</v>
      </c>
      <c r="F4410">
        <v>-86258709</v>
      </c>
      <c r="G4410">
        <v>129717350</v>
      </c>
      <c r="H4410">
        <v>-107840145</v>
      </c>
      <c r="I4410">
        <v>-231436650</v>
      </c>
      <c r="J4410">
        <v>4300876</v>
      </c>
      <c r="K4410">
        <v>61181703</v>
      </c>
      <c r="P4410">
        <v>232</v>
      </c>
      <c r="Q4410" t="s">
        <v>8863</v>
      </c>
    </row>
    <row r="4411" spans="1:17" x14ac:dyDescent="0.3">
      <c r="A4411" t="s">
        <v>4382</v>
      </c>
      <c r="B4411" t="str">
        <f>"300659"</f>
        <v>300659</v>
      </c>
      <c r="C4411" t="s">
        <v>8864</v>
      </c>
      <c r="D4411" t="s">
        <v>212</v>
      </c>
      <c r="F4411">
        <v>-423066357</v>
      </c>
      <c r="G4411">
        <v>-96045330</v>
      </c>
      <c r="H4411">
        <v>-89032207</v>
      </c>
      <c r="I4411">
        <v>-76908337</v>
      </c>
      <c r="J4411">
        <v>-50083779</v>
      </c>
      <c r="K4411">
        <v>-47638524</v>
      </c>
      <c r="P4411">
        <v>273</v>
      </c>
      <c r="Q4411" t="s">
        <v>8865</v>
      </c>
    </row>
    <row r="4412" spans="1:17" x14ac:dyDescent="0.3">
      <c r="A4412" t="s">
        <v>4382</v>
      </c>
      <c r="B4412" t="str">
        <f>"300660"</f>
        <v>300660</v>
      </c>
      <c r="C4412" t="s">
        <v>8866</v>
      </c>
      <c r="D4412" t="s">
        <v>188</v>
      </c>
      <c r="F4412">
        <v>505090166</v>
      </c>
      <c r="G4412">
        <v>372651803</v>
      </c>
      <c r="H4412">
        <v>177187786</v>
      </c>
      <c r="I4412">
        <v>-1502686</v>
      </c>
      <c r="J4412">
        <v>8518176</v>
      </c>
      <c r="K4412">
        <v>139942874</v>
      </c>
      <c r="P4412">
        <v>108</v>
      </c>
      <c r="Q4412" t="s">
        <v>8867</v>
      </c>
    </row>
    <row r="4413" spans="1:17" x14ac:dyDescent="0.3">
      <c r="A4413" t="s">
        <v>4382</v>
      </c>
      <c r="B4413" t="str">
        <f>"300661"</f>
        <v>300661</v>
      </c>
      <c r="C4413" t="s">
        <v>8868</v>
      </c>
      <c r="D4413" t="s">
        <v>150</v>
      </c>
      <c r="F4413">
        <v>289860350</v>
      </c>
      <c r="G4413">
        <v>94222177</v>
      </c>
      <c r="H4413">
        <v>75187526</v>
      </c>
      <c r="I4413">
        <v>7904504</v>
      </c>
      <c r="J4413">
        <v>57613249</v>
      </c>
      <c r="K4413">
        <v>28800047</v>
      </c>
      <c r="P4413">
        <v>1056</v>
      </c>
      <c r="Q4413" t="s">
        <v>8869</v>
      </c>
    </row>
    <row r="4414" spans="1:17" x14ac:dyDescent="0.3">
      <c r="A4414" t="s">
        <v>4382</v>
      </c>
      <c r="B4414" t="str">
        <f>"300662"</f>
        <v>300662</v>
      </c>
      <c r="C4414" t="s">
        <v>8870</v>
      </c>
      <c r="D4414" t="s">
        <v>110</v>
      </c>
      <c r="F4414">
        <v>-330637663</v>
      </c>
      <c r="G4414">
        <v>108339030</v>
      </c>
      <c r="H4414">
        <v>-13733506</v>
      </c>
      <c r="I4414">
        <v>20120120</v>
      </c>
      <c r="J4414">
        <v>31454005</v>
      </c>
      <c r="K4414">
        <v>-42113768</v>
      </c>
      <c r="P4414">
        <v>690</v>
      </c>
      <c r="Q4414" t="s">
        <v>8871</v>
      </c>
    </row>
    <row r="4415" spans="1:17" x14ac:dyDescent="0.3">
      <c r="A4415" t="s">
        <v>4382</v>
      </c>
      <c r="B4415" t="str">
        <f>"300663"</f>
        <v>300663</v>
      </c>
      <c r="C4415" t="s">
        <v>8872</v>
      </c>
      <c r="D4415" t="s">
        <v>212</v>
      </c>
      <c r="F4415">
        <v>-384184471</v>
      </c>
      <c r="G4415">
        <v>-557072442</v>
      </c>
      <c r="H4415">
        <v>-330663776</v>
      </c>
      <c r="I4415">
        <v>-264340078</v>
      </c>
      <c r="J4415">
        <v>-253953443</v>
      </c>
      <c r="K4415">
        <v>-209697546</v>
      </c>
      <c r="P4415">
        <v>261</v>
      </c>
      <c r="Q4415" t="s">
        <v>8873</v>
      </c>
    </row>
    <row r="4416" spans="1:17" x14ac:dyDescent="0.3">
      <c r="A4416" t="s">
        <v>4382</v>
      </c>
      <c r="B4416" t="str">
        <f>"300664"</f>
        <v>300664</v>
      </c>
      <c r="C4416" t="s">
        <v>8874</v>
      </c>
      <c r="D4416" t="s">
        <v>33</v>
      </c>
      <c r="F4416">
        <v>-369406122</v>
      </c>
      <c r="G4416">
        <v>-207455408</v>
      </c>
      <c r="H4416">
        <v>-362005350</v>
      </c>
      <c r="I4416">
        <v>-152871719</v>
      </c>
      <c r="J4416">
        <v>62527800</v>
      </c>
      <c r="K4416">
        <v>377835700</v>
      </c>
      <c r="P4416">
        <v>118</v>
      </c>
      <c r="Q4416" t="s">
        <v>8875</v>
      </c>
    </row>
    <row r="4417" spans="1:17" x14ac:dyDescent="0.3">
      <c r="A4417" t="s">
        <v>4382</v>
      </c>
      <c r="B4417" t="str">
        <f>"300665"</f>
        <v>300665</v>
      </c>
      <c r="C4417" t="s">
        <v>8876</v>
      </c>
      <c r="D4417" t="s">
        <v>133</v>
      </c>
      <c r="F4417">
        <v>-204932486</v>
      </c>
      <c r="G4417">
        <v>-144477497</v>
      </c>
      <c r="H4417">
        <v>-99096303</v>
      </c>
      <c r="I4417">
        <v>-141401168</v>
      </c>
      <c r="J4417">
        <v>-79583179</v>
      </c>
      <c r="K4417">
        <v>-23201483</v>
      </c>
      <c r="P4417">
        <v>109</v>
      </c>
      <c r="Q4417" t="s">
        <v>8877</v>
      </c>
    </row>
    <row r="4418" spans="1:17" x14ac:dyDescent="0.3">
      <c r="A4418" t="s">
        <v>4382</v>
      </c>
      <c r="B4418" t="str">
        <f>"300666"</f>
        <v>300666</v>
      </c>
      <c r="C4418" t="s">
        <v>8878</v>
      </c>
      <c r="D4418" t="s">
        <v>150</v>
      </c>
      <c r="F4418">
        <v>-162478180</v>
      </c>
      <c r="G4418">
        <v>-219696066</v>
      </c>
      <c r="H4418">
        <v>-13359218</v>
      </c>
      <c r="I4418">
        <v>-132942624</v>
      </c>
      <c r="J4418">
        <v>-76861204</v>
      </c>
      <c r="K4418">
        <v>12749527</v>
      </c>
      <c r="P4418">
        <v>520</v>
      </c>
      <c r="Q4418" t="s">
        <v>8879</v>
      </c>
    </row>
    <row r="4419" spans="1:17" x14ac:dyDescent="0.3">
      <c r="A4419" t="s">
        <v>4382</v>
      </c>
      <c r="B4419" t="str">
        <f>"300667"</f>
        <v>300667</v>
      </c>
      <c r="C4419" t="s">
        <v>8880</v>
      </c>
      <c r="D4419" t="s">
        <v>78</v>
      </c>
      <c r="F4419">
        <v>-22632493</v>
      </c>
      <c r="G4419">
        <v>-12105526</v>
      </c>
      <c r="H4419">
        <v>-47657889</v>
      </c>
      <c r="I4419">
        <v>-72339698</v>
      </c>
      <c r="J4419">
        <v>-46991869</v>
      </c>
      <c r="K4419">
        <v>-31970726</v>
      </c>
      <c r="P4419">
        <v>144</v>
      </c>
      <c r="Q4419" t="s">
        <v>8881</v>
      </c>
    </row>
    <row r="4420" spans="1:17" x14ac:dyDescent="0.3">
      <c r="A4420" t="s">
        <v>4382</v>
      </c>
      <c r="B4420" t="str">
        <f>"300668"</f>
        <v>300668</v>
      </c>
      <c r="C4420" t="s">
        <v>8882</v>
      </c>
      <c r="D4420" t="s">
        <v>95</v>
      </c>
      <c r="F4420">
        <v>-8873973</v>
      </c>
      <c r="G4420">
        <v>15418237</v>
      </c>
      <c r="H4420">
        <v>-4212988</v>
      </c>
      <c r="I4420">
        <v>2838704</v>
      </c>
      <c r="J4420">
        <v>12156436</v>
      </c>
      <c r="K4420">
        <v>-82316591</v>
      </c>
      <c r="P4420">
        <v>207</v>
      </c>
      <c r="Q4420" t="s">
        <v>8883</v>
      </c>
    </row>
    <row r="4421" spans="1:17" x14ac:dyDescent="0.3">
      <c r="A4421" t="s">
        <v>4382</v>
      </c>
      <c r="B4421" t="str">
        <f>"300669"</f>
        <v>300669</v>
      </c>
      <c r="C4421" t="s">
        <v>8884</v>
      </c>
      <c r="D4421" t="s">
        <v>78</v>
      </c>
      <c r="F4421">
        <v>-55122625</v>
      </c>
      <c r="G4421">
        <v>35197091</v>
      </c>
      <c r="H4421">
        <v>8831466</v>
      </c>
      <c r="I4421">
        <v>-2194599</v>
      </c>
      <c r="J4421">
        <v>20982027</v>
      </c>
      <c r="K4421">
        <v>14723720</v>
      </c>
      <c r="P4421">
        <v>102</v>
      </c>
      <c r="Q4421" t="s">
        <v>8885</v>
      </c>
    </row>
    <row r="4422" spans="1:17" x14ac:dyDescent="0.3">
      <c r="A4422" t="s">
        <v>4382</v>
      </c>
      <c r="B4422" t="str">
        <f>"300670"</f>
        <v>300670</v>
      </c>
      <c r="C4422" t="s">
        <v>8886</v>
      </c>
      <c r="D4422" t="s">
        <v>188</v>
      </c>
      <c r="F4422">
        <v>-14391551</v>
      </c>
      <c r="G4422">
        <v>564788</v>
      </c>
      <c r="H4422">
        <v>-34446775</v>
      </c>
      <c r="I4422">
        <v>-95799923</v>
      </c>
      <c r="J4422">
        <v>-21818118</v>
      </c>
      <c r="K4422">
        <v>1330052</v>
      </c>
      <c r="P4422">
        <v>67</v>
      </c>
      <c r="Q4422" t="s">
        <v>8887</v>
      </c>
    </row>
    <row r="4423" spans="1:17" x14ac:dyDescent="0.3">
      <c r="A4423" t="s">
        <v>4382</v>
      </c>
      <c r="B4423" t="str">
        <f>"300671"</f>
        <v>300671</v>
      </c>
      <c r="C4423" t="s">
        <v>8888</v>
      </c>
      <c r="D4423" t="s">
        <v>150</v>
      </c>
      <c r="F4423">
        <v>86408957</v>
      </c>
      <c r="G4423">
        <v>-125058679</v>
      </c>
      <c r="H4423">
        <v>-42672714</v>
      </c>
      <c r="I4423">
        <v>-111253526</v>
      </c>
      <c r="J4423">
        <v>-36667942</v>
      </c>
      <c r="K4423">
        <v>23618797</v>
      </c>
      <c r="P4423">
        <v>301</v>
      </c>
      <c r="Q4423" t="s">
        <v>8889</v>
      </c>
    </row>
    <row r="4424" spans="1:17" x14ac:dyDescent="0.3">
      <c r="A4424" t="s">
        <v>4382</v>
      </c>
      <c r="B4424" t="str">
        <f>"300672"</f>
        <v>300672</v>
      </c>
      <c r="C4424" t="s">
        <v>8890</v>
      </c>
      <c r="D4424" t="s">
        <v>150</v>
      </c>
      <c r="F4424">
        <v>108121481</v>
      </c>
      <c r="G4424">
        <v>-409583033</v>
      </c>
      <c r="H4424">
        <v>-65782577</v>
      </c>
      <c r="I4424">
        <v>-368027350</v>
      </c>
      <c r="J4424">
        <v>-210888690</v>
      </c>
      <c r="K4424">
        <v>-126037637</v>
      </c>
      <c r="P4424">
        <v>305</v>
      </c>
      <c r="Q4424" t="s">
        <v>8891</v>
      </c>
    </row>
    <row r="4425" spans="1:17" x14ac:dyDescent="0.3">
      <c r="A4425" t="s">
        <v>4382</v>
      </c>
      <c r="B4425" t="str">
        <f>"300673"</f>
        <v>300673</v>
      </c>
      <c r="C4425" t="s">
        <v>8892</v>
      </c>
      <c r="D4425" t="s">
        <v>205</v>
      </c>
      <c r="F4425">
        <v>-231735196</v>
      </c>
      <c r="G4425">
        <v>-316872398</v>
      </c>
      <c r="H4425">
        <v>-255015777</v>
      </c>
      <c r="I4425">
        <v>709495</v>
      </c>
      <c r="J4425">
        <v>-16134394</v>
      </c>
      <c r="K4425">
        <v>62241764</v>
      </c>
      <c r="P4425">
        <v>512</v>
      </c>
      <c r="Q4425" t="s">
        <v>8893</v>
      </c>
    </row>
    <row r="4426" spans="1:17" x14ac:dyDescent="0.3">
      <c r="A4426" t="s">
        <v>4382</v>
      </c>
      <c r="B4426" t="str">
        <f>"300674"</f>
        <v>300674</v>
      </c>
      <c r="C4426" t="s">
        <v>8894</v>
      </c>
      <c r="D4426" t="s">
        <v>212</v>
      </c>
      <c r="F4426">
        <v>-690401024</v>
      </c>
      <c r="G4426">
        <v>-275110691</v>
      </c>
      <c r="H4426">
        <v>-612203504</v>
      </c>
      <c r="I4426">
        <v>-379586065</v>
      </c>
      <c r="J4426">
        <v>-412813311</v>
      </c>
      <c r="P4426">
        <v>349</v>
      </c>
      <c r="Q4426" t="s">
        <v>8895</v>
      </c>
    </row>
    <row r="4427" spans="1:17" x14ac:dyDescent="0.3">
      <c r="A4427" t="s">
        <v>4382</v>
      </c>
      <c r="B4427" t="str">
        <f>"300675"</f>
        <v>300675</v>
      </c>
      <c r="C4427" t="s">
        <v>8896</v>
      </c>
      <c r="D4427" t="s">
        <v>95</v>
      </c>
      <c r="F4427">
        <v>-130119220</v>
      </c>
      <c r="G4427">
        <v>-48098313</v>
      </c>
      <c r="H4427">
        <v>-90965323</v>
      </c>
      <c r="I4427">
        <v>-60765272</v>
      </c>
      <c r="J4427">
        <v>-44216969</v>
      </c>
      <c r="K4427">
        <v>-56332327</v>
      </c>
      <c r="P4427">
        <v>85</v>
      </c>
      <c r="Q4427" t="s">
        <v>8897</v>
      </c>
    </row>
    <row r="4428" spans="1:17" x14ac:dyDescent="0.3">
      <c r="A4428" t="s">
        <v>4382</v>
      </c>
      <c r="B4428" t="str">
        <f>"300676"</f>
        <v>300676</v>
      </c>
      <c r="C4428" t="s">
        <v>8898</v>
      </c>
      <c r="D4428" t="s">
        <v>113</v>
      </c>
      <c r="F4428">
        <v>1527202921</v>
      </c>
      <c r="G4428">
        <v>2389922120</v>
      </c>
      <c r="H4428">
        <v>-614768552</v>
      </c>
      <c r="I4428">
        <v>-613134463</v>
      </c>
      <c r="J4428">
        <v>-62843942</v>
      </c>
      <c r="K4428">
        <v>-237744</v>
      </c>
      <c r="P4428">
        <v>1481</v>
      </c>
      <c r="Q4428" t="s">
        <v>8899</v>
      </c>
    </row>
    <row r="4429" spans="1:17" x14ac:dyDescent="0.3">
      <c r="A4429" t="s">
        <v>4382</v>
      </c>
      <c r="B4429" t="str">
        <f>"300677"</f>
        <v>300677</v>
      </c>
      <c r="C4429" t="s">
        <v>8900</v>
      </c>
      <c r="D4429" t="s">
        <v>113</v>
      </c>
      <c r="F4429">
        <v>3401131086</v>
      </c>
      <c r="G4429">
        <v>3673961629</v>
      </c>
      <c r="H4429">
        <v>-230791607</v>
      </c>
      <c r="I4429">
        <v>-141685776</v>
      </c>
      <c r="J4429">
        <v>52091923</v>
      </c>
      <c r="K4429">
        <v>-79551653</v>
      </c>
      <c r="P4429">
        <v>1819</v>
      </c>
      <c r="Q4429" t="s">
        <v>8901</v>
      </c>
    </row>
    <row r="4430" spans="1:17" x14ac:dyDescent="0.3">
      <c r="A4430" t="s">
        <v>4382</v>
      </c>
      <c r="B4430" t="str">
        <f>"300678"</f>
        <v>300678</v>
      </c>
      <c r="C4430" t="s">
        <v>8902</v>
      </c>
      <c r="D4430" t="s">
        <v>212</v>
      </c>
      <c r="F4430">
        <v>-52018706</v>
      </c>
      <c r="G4430">
        <v>-82711086</v>
      </c>
      <c r="H4430">
        <v>-73027965</v>
      </c>
      <c r="I4430">
        <v>-61640715</v>
      </c>
      <c r="J4430">
        <v>-54794243</v>
      </c>
      <c r="K4430">
        <v>-67419753</v>
      </c>
      <c r="P4430">
        <v>105</v>
      </c>
      <c r="Q4430" t="s">
        <v>8903</v>
      </c>
    </row>
    <row r="4431" spans="1:17" x14ac:dyDescent="0.3">
      <c r="A4431" t="s">
        <v>4382</v>
      </c>
      <c r="B4431" t="str">
        <f>"300679"</f>
        <v>300679</v>
      </c>
      <c r="C4431" t="s">
        <v>8904</v>
      </c>
      <c r="D4431" t="s">
        <v>150</v>
      </c>
      <c r="F4431">
        <v>-71309179</v>
      </c>
      <c r="G4431">
        <v>-45933119</v>
      </c>
      <c r="H4431">
        <v>-218843308</v>
      </c>
      <c r="I4431">
        <v>97603087</v>
      </c>
      <c r="J4431">
        <v>352452332</v>
      </c>
      <c r="K4431">
        <v>161029669</v>
      </c>
      <c r="P4431">
        <v>335</v>
      </c>
      <c r="Q4431" t="s">
        <v>8905</v>
      </c>
    </row>
    <row r="4432" spans="1:17" x14ac:dyDescent="0.3">
      <c r="A4432" t="s">
        <v>4382</v>
      </c>
      <c r="B4432" t="str">
        <f>"300680"</f>
        <v>300680</v>
      </c>
      <c r="C4432" t="s">
        <v>8906</v>
      </c>
      <c r="D4432" t="s">
        <v>27</v>
      </c>
      <c r="F4432">
        <v>-99880219</v>
      </c>
      <c r="G4432">
        <v>-65610374</v>
      </c>
      <c r="H4432">
        <v>-44448453</v>
      </c>
      <c r="I4432">
        <v>-36079817</v>
      </c>
      <c r="J4432">
        <v>-11117787</v>
      </c>
      <c r="K4432">
        <v>4379635</v>
      </c>
      <c r="P4432">
        <v>115</v>
      </c>
      <c r="Q4432" t="s">
        <v>8907</v>
      </c>
    </row>
    <row r="4433" spans="1:17" x14ac:dyDescent="0.3">
      <c r="A4433" t="s">
        <v>4382</v>
      </c>
      <c r="B4433" t="str">
        <f>"300681"</f>
        <v>300681</v>
      </c>
      <c r="C4433" t="s">
        <v>8908</v>
      </c>
      <c r="D4433" t="s">
        <v>27</v>
      </c>
      <c r="F4433">
        <v>-173415897</v>
      </c>
      <c r="G4433">
        <v>-17507878</v>
      </c>
      <c r="H4433">
        <v>9085687</v>
      </c>
      <c r="I4433">
        <v>-117230739</v>
      </c>
      <c r="J4433">
        <v>-51423054</v>
      </c>
      <c r="K4433">
        <v>-37117866</v>
      </c>
      <c r="P4433">
        <v>89</v>
      </c>
      <c r="Q4433" t="s">
        <v>8909</v>
      </c>
    </row>
    <row r="4434" spans="1:17" x14ac:dyDescent="0.3">
      <c r="A4434" t="s">
        <v>4382</v>
      </c>
      <c r="B4434" t="str">
        <f>"300682"</f>
        <v>300682</v>
      </c>
      <c r="C4434" t="s">
        <v>8910</v>
      </c>
      <c r="D4434" t="s">
        <v>212</v>
      </c>
      <c r="F4434">
        <v>-484827120</v>
      </c>
      <c r="G4434">
        <v>-238562785</v>
      </c>
      <c r="H4434">
        <v>186416680</v>
      </c>
      <c r="I4434">
        <v>-219314608</v>
      </c>
      <c r="J4434">
        <v>-99002574</v>
      </c>
      <c r="K4434">
        <v>-139740162</v>
      </c>
      <c r="P4434">
        <v>255</v>
      </c>
      <c r="Q4434" t="s">
        <v>8911</v>
      </c>
    </row>
    <row r="4435" spans="1:17" x14ac:dyDescent="0.3">
      <c r="A4435" t="s">
        <v>4382</v>
      </c>
      <c r="B4435" t="str">
        <f>"300683"</f>
        <v>300683</v>
      </c>
      <c r="C4435" t="s">
        <v>8912</v>
      </c>
      <c r="D4435" t="s">
        <v>113</v>
      </c>
      <c r="F4435">
        <v>-187412406</v>
      </c>
      <c r="G4435">
        <v>-56267036</v>
      </c>
      <c r="H4435">
        <v>-59488581</v>
      </c>
      <c r="I4435">
        <v>9638332</v>
      </c>
      <c r="J4435">
        <v>25485889</v>
      </c>
      <c r="K4435">
        <v>63350913</v>
      </c>
      <c r="P4435">
        <v>123</v>
      </c>
      <c r="Q4435" t="s">
        <v>8913</v>
      </c>
    </row>
    <row r="4436" spans="1:17" x14ac:dyDescent="0.3">
      <c r="A4436" t="s">
        <v>4382</v>
      </c>
      <c r="B4436" t="str">
        <f>"300684"</f>
        <v>300684</v>
      </c>
      <c r="C4436" t="s">
        <v>8914</v>
      </c>
      <c r="D4436" t="s">
        <v>150</v>
      </c>
      <c r="F4436">
        <v>-53322316</v>
      </c>
      <c r="G4436">
        <v>13570144</v>
      </c>
      <c r="H4436">
        <v>-2575301</v>
      </c>
      <c r="I4436">
        <v>4542032</v>
      </c>
      <c r="J4436">
        <v>-132836026</v>
      </c>
      <c r="P4436">
        <v>348</v>
      </c>
      <c r="Q4436" t="s">
        <v>8915</v>
      </c>
    </row>
    <row r="4437" spans="1:17" x14ac:dyDescent="0.3">
      <c r="A4437" t="s">
        <v>4382</v>
      </c>
      <c r="B4437" t="str">
        <f>"300685"</f>
        <v>300685</v>
      </c>
      <c r="C4437" t="s">
        <v>8916</v>
      </c>
      <c r="D4437" t="s">
        <v>113</v>
      </c>
      <c r="F4437">
        <v>45798970</v>
      </c>
      <c r="G4437">
        <v>101180931</v>
      </c>
      <c r="H4437">
        <v>115310969</v>
      </c>
      <c r="I4437">
        <v>43965017</v>
      </c>
      <c r="J4437">
        <v>43445924</v>
      </c>
      <c r="K4437">
        <v>2375109</v>
      </c>
      <c r="P4437">
        <v>977</v>
      </c>
      <c r="Q4437" t="s">
        <v>8917</v>
      </c>
    </row>
    <row r="4438" spans="1:17" x14ac:dyDescent="0.3">
      <c r="A4438" t="s">
        <v>4382</v>
      </c>
      <c r="B4438" t="str">
        <f>"300686"</f>
        <v>300686</v>
      </c>
      <c r="C4438" t="s">
        <v>8918</v>
      </c>
      <c r="D4438" t="s">
        <v>150</v>
      </c>
      <c r="F4438">
        <v>-47840154</v>
      </c>
      <c r="G4438">
        <v>13452847</v>
      </c>
      <c r="H4438">
        <v>-27476750</v>
      </c>
      <c r="I4438">
        <v>-105963541</v>
      </c>
      <c r="J4438">
        <v>-63194099</v>
      </c>
      <c r="K4438">
        <v>17067611</v>
      </c>
      <c r="P4438">
        <v>192</v>
      </c>
      <c r="Q4438" t="s">
        <v>8919</v>
      </c>
    </row>
    <row r="4439" spans="1:17" x14ac:dyDescent="0.3">
      <c r="A4439" t="s">
        <v>4382</v>
      </c>
      <c r="B4439" t="str">
        <f>"300687"</f>
        <v>300687</v>
      </c>
      <c r="C4439" t="s">
        <v>8920</v>
      </c>
      <c r="D4439" t="s">
        <v>212</v>
      </c>
      <c r="F4439">
        <v>-1763460</v>
      </c>
      <c r="G4439">
        <v>-115084850</v>
      </c>
      <c r="H4439">
        <v>-29484732</v>
      </c>
      <c r="I4439">
        <v>-87191922</v>
      </c>
      <c r="J4439">
        <v>66704233</v>
      </c>
      <c r="K4439">
        <v>85319087</v>
      </c>
      <c r="P4439">
        <v>267</v>
      </c>
      <c r="Q4439" t="s">
        <v>8921</v>
      </c>
    </row>
    <row r="4440" spans="1:17" x14ac:dyDescent="0.3">
      <c r="A4440" t="s">
        <v>4382</v>
      </c>
      <c r="B4440" t="str">
        <f>"300688"</f>
        <v>300688</v>
      </c>
      <c r="C4440" t="s">
        <v>8922</v>
      </c>
      <c r="D4440" t="s">
        <v>110</v>
      </c>
      <c r="F4440">
        <v>-4604707</v>
      </c>
      <c r="G4440">
        <v>1166696</v>
      </c>
      <c r="H4440">
        <v>10384665</v>
      </c>
      <c r="I4440">
        <v>-45687791</v>
      </c>
      <c r="J4440">
        <v>-16639746</v>
      </c>
      <c r="K4440">
        <v>15709772</v>
      </c>
      <c r="P4440">
        <v>83</v>
      </c>
      <c r="Q4440" t="s">
        <v>8923</v>
      </c>
    </row>
    <row r="4441" spans="1:17" x14ac:dyDescent="0.3">
      <c r="A4441" t="s">
        <v>4382</v>
      </c>
      <c r="B4441" t="str">
        <f>"300689"</f>
        <v>300689</v>
      </c>
      <c r="C4441" t="s">
        <v>8924</v>
      </c>
      <c r="D4441" t="s">
        <v>100</v>
      </c>
      <c r="F4441">
        <v>-3614338</v>
      </c>
      <c r="G4441">
        <v>30532632</v>
      </c>
      <c r="H4441">
        <v>-107280400</v>
      </c>
      <c r="I4441">
        <v>-6839967</v>
      </c>
      <c r="J4441">
        <v>16137759</v>
      </c>
      <c r="K4441">
        <v>16488927</v>
      </c>
      <c r="P4441">
        <v>76</v>
      </c>
      <c r="Q4441" t="s">
        <v>8925</v>
      </c>
    </row>
    <row r="4442" spans="1:17" x14ac:dyDescent="0.3">
      <c r="A4442" t="s">
        <v>4382</v>
      </c>
      <c r="B4442" t="str">
        <f>"300690"</f>
        <v>300690</v>
      </c>
      <c r="C4442" t="s">
        <v>8926</v>
      </c>
      <c r="D4442" t="s">
        <v>188</v>
      </c>
      <c r="F4442">
        <v>-50795160</v>
      </c>
      <c r="G4442">
        <v>93030620</v>
      </c>
      <c r="H4442">
        <v>-17180799</v>
      </c>
      <c r="I4442">
        <v>-23272506</v>
      </c>
      <c r="J4442">
        <v>-14062418</v>
      </c>
      <c r="K4442">
        <v>4368140</v>
      </c>
      <c r="P4442">
        <v>214</v>
      </c>
      <c r="Q4442" t="s">
        <v>8927</v>
      </c>
    </row>
    <row r="4443" spans="1:17" x14ac:dyDescent="0.3">
      <c r="A4443" t="s">
        <v>4382</v>
      </c>
      <c r="B4443" t="str">
        <f>"300691"</f>
        <v>300691</v>
      </c>
      <c r="C4443" t="s">
        <v>8928</v>
      </c>
      <c r="D4443" t="s">
        <v>212</v>
      </c>
      <c r="F4443">
        <v>-230980829</v>
      </c>
      <c r="G4443">
        <v>-28580703</v>
      </c>
      <c r="H4443">
        <v>-93633676</v>
      </c>
      <c r="I4443">
        <v>-14552072</v>
      </c>
      <c r="J4443">
        <v>1306001</v>
      </c>
      <c r="K4443">
        <v>-2548664</v>
      </c>
      <c r="P4443">
        <v>186</v>
      </c>
      <c r="Q4443" t="s">
        <v>8929</v>
      </c>
    </row>
    <row r="4444" spans="1:17" x14ac:dyDescent="0.3">
      <c r="A4444" t="s">
        <v>4382</v>
      </c>
      <c r="B4444" t="str">
        <f>"300692"</f>
        <v>300692</v>
      </c>
      <c r="C4444" t="s">
        <v>8930</v>
      </c>
      <c r="D4444" t="s">
        <v>33</v>
      </c>
      <c r="F4444">
        <v>-226567406</v>
      </c>
      <c r="G4444">
        <v>-306144546</v>
      </c>
      <c r="H4444">
        <v>-323059071</v>
      </c>
      <c r="I4444">
        <v>-333866827</v>
      </c>
      <c r="J4444">
        <v>-24426528</v>
      </c>
      <c r="K4444">
        <v>64757797</v>
      </c>
      <c r="P4444">
        <v>162</v>
      </c>
      <c r="Q4444" t="s">
        <v>8931</v>
      </c>
    </row>
    <row r="4445" spans="1:17" x14ac:dyDescent="0.3">
      <c r="A4445" t="s">
        <v>4382</v>
      </c>
      <c r="B4445" t="str">
        <f>"300693"</f>
        <v>300693</v>
      </c>
      <c r="C4445" t="s">
        <v>8932</v>
      </c>
      <c r="D4445" t="s">
        <v>188</v>
      </c>
      <c r="F4445">
        <v>-46954507</v>
      </c>
      <c r="G4445">
        <v>-63241096</v>
      </c>
      <c r="H4445">
        <v>9189312</v>
      </c>
      <c r="I4445">
        <v>-30309769</v>
      </c>
      <c r="J4445">
        <v>17101157</v>
      </c>
      <c r="K4445">
        <v>-9164841</v>
      </c>
      <c r="P4445">
        <v>214</v>
      </c>
      <c r="Q4445" t="s">
        <v>8933</v>
      </c>
    </row>
    <row r="4446" spans="1:17" x14ac:dyDescent="0.3">
      <c r="A4446" t="s">
        <v>4382</v>
      </c>
      <c r="B4446" t="str">
        <f>"300694"</f>
        <v>300694</v>
      </c>
      <c r="C4446" t="s">
        <v>8934</v>
      </c>
      <c r="D4446" t="s">
        <v>27</v>
      </c>
      <c r="F4446">
        <v>-14172708</v>
      </c>
      <c r="G4446">
        <v>156075470</v>
      </c>
      <c r="H4446">
        <v>-48776512</v>
      </c>
      <c r="I4446">
        <v>-14448531</v>
      </c>
      <c r="J4446">
        <v>39931410</v>
      </c>
      <c r="P4446">
        <v>74</v>
      </c>
      <c r="Q4446" t="s">
        <v>8935</v>
      </c>
    </row>
    <row r="4447" spans="1:17" x14ac:dyDescent="0.3">
      <c r="A4447" t="s">
        <v>4382</v>
      </c>
      <c r="B4447" t="str">
        <f>"300695"</f>
        <v>300695</v>
      </c>
      <c r="C4447" t="s">
        <v>8936</v>
      </c>
      <c r="D4447" t="s">
        <v>27</v>
      </c>
      <c r="F4447">
        <v>-29266915</v>
      </c>
      <c r="G4447">
        <v>-12553191</v>
      </c>
      <c r="H4447">
        <v>36157944</v>
      </c>
      <c r="I4447">
        <v>36946752</v>
      </c>
      <c r="J4447">
        <v>102815435</v>
      </c>
      <c r="K4447">
        <v>106803415</v>
      </c>
      <c r="P4447">
        <v>125</v>
      </c>
      <c r="Q4447" t="s">
        <v>8937</v>
      </c>
    </row>
    <row r="4448" spans="1:17" x14ac:dyDescent="0.3">
      <c r="A4448" t="s">
        <v>4382</v>
      </c>
      <c r="B4448" t="str">
        <f>"300696"</f>
        <v>300696</v>
      </c>
      <c r="C4448" t="s">
        <v>8938</v>
      </c>
      <c r="D4448" t="s">
        <v>92</v>
      </c>
      <c r="F4448">
        <v>-68989883</v>
      </c>
      <c r="G4448">
        <v>-135847024</v>
      </c>
      <c r="H4448">
        <v>-1488758</v>
      </c>
      <c r="I4448">
        <v>-64488146</v>
      </c>
      <c r="J4448">
        <v>-494850</v>
      </c>
      <c r="K4448">
        <v>-82639250</v>
      </c>
      <c r="P4448">
        <v>223</v>
      </c>
      <c r="Q4448" t="s">
        <v>8939</v>
      </c>
    </row>
    <row r="4449" spans="1:17" x14ac:dyDescent="0.3">
      <c r="A4449" t="s">
        <v>4382</v>
      </c>
      <c r="B4449" t="str">
        <f>"300697"</f>
        <v>300697</v>
      </c>
      <c r="C4449" t="s">
        <v>8940</v>
      </c>
      <c r="D4449" t="s">
        <v>234</v>
      </c>
      <c r="F4449">
        <v>-202295443</v>
      </c>
      <c r="G4449">
        <v>-40343199</v>
      </c>
      <c r="H4449">
        <v>147997405</v>
      </c>
      <c r="I4449">
        <v>28745132</v>
      </c>
      <c r="J4449">
        <v>-6224769</v>
      </c>
      <c r="K4449">
        <v>-50740785</v>
      </c>
      <c r="P4449">
        <v>77</v>
      </c>
      <c r="Q4449" t="s">
        <v>8941</v>
      </c>
    </row>
    <row r="4450" spans="1:17" x14ac:dyDescent="0.3">
      <c r="A4450" t="s">
        <v>4382</v>
      </c>
      <c r="B4450" t="str">
        <f>"300698"</f>
        <v>300698</v>
      </c>
      <c r="C4450" t="s">
        <v>8942</v>
      </c>
      <c r="D4450" t="s">
        <v>100</v>
      </c>
      <c r="F4450">
        <v>-43764378</v>
      </c>
      <c r="G4450">
        <v>-33304856</v>
      </c>
      <c r="H4450">
        <v>-50652953</v>
      </c>
      <c r="I4450">
        <v>-38661794</v>
      </c>
      <c r="J4450">
        <v>-780019</v>
      </c>
      <c r="K4450">
        <v>-3082518</v>
      </c>
      <c r="P4450">
        <v>121</v>
      </c>
      <c r="Q4450" t="s">
        <v>8943</v>
      </c>
    </row>
    <row r="4451" spans="1:17" x14ac:dyDescent="0.3">
      <c r="A4451" t="s">
        <v>4382</v>
      </c>
      <c r="B4451" t="str">
        <f>"300699"</f>
        <v>300699</v>
      </c>
      <c r="C4451" t="s">
        <v>8944</v>
      </c>
      <c r="D4451" t="s">
        <v>92</v>
      </c>
      <c r="F4451">
        <v>-556322590</v>
      </c>
      <c r="G4451">
        <v>-260717831</v>
      </c>
      <c r="H4451">
        <v>313672405</v>
      </c>
      <c r="I4451">
        <v>45416718</v>
      </c>
      <c r="J4451">
        <v>72265027</v>
      </c>
      <c r="K4451">
        <v>-94774622</v>
      </c>
      <c r="P4451">
        <v>917</v>
      </c>
      <c r="Q4451" t="s">
        <v>8945</v>
      </c>
    </row>
    <row r="4452" spans="1:17" x14ac:dyDescent="0.3">
      <c r="A4452" t="s">
        <v>4382</v>
      </c>
      <c r="B4452" t="str">
        <f>"300700"</f>
        <v>300700</v>
      </c>
      <c r="C4452" t="s">
        <v>8946</v>
      </c>
      <c r="D4452" t="s">
        <v>78</v>
      </c>
      <c r="F4452">
        <v>138105</v>
      </c>
      <c r="G4452">
        <v>-9801382</v>
      </c>
      <c r="H4452">
        <v>-80037108</v>
      </c>
      <c r="I4452">
        <v>-66102774</v>
      </c>
      <c r="J4452">
        <v>-45534052</v>
      </c>
      <c r="K4452">
        <v>-44667296</v>
      </c>
      <c r="P4452">
        <v>140</v>
      </c>
      <c r="Q4452" t="s">
        <v>8947</v>
      </c>
    </row>
    <row r="4453" spans="1:17" x14ac:dyDescent="0.3">
      <c r="A4453" t="s">
        <v>4382</v>
      </c>
      <c r="B4453" t="str">
        <f>"300701"</f>
        <v>300701</v>
      </c>
      <c r="C4453" t="s">
        <v>8948</v>
      </c>
      <c r="D4453" t="s">
        <v>150</v>
      </c>
      <c r="F4453">
        <v>-28031537</v>
      </c>
      <c r="G4453">
        <v>101952564</v>
      </c>
      <c r="H4453">
        <v>56092247</v>
      </c>
      <c r="I4453">
        <v>36771999</v>
      </c>
      <c r="J4453">
        <v>26329398</v>
      </c>
      <c r="K4453">
        <v>31353340</v>
      </c>
      <c r="P4453">
        <v>746</v>
      </c>
      <c r="Q4453" t="s">
        <v>8949</v>
      </c>
    </row>
    <row r="4454" spans="1:17" x14ac:dyDescent="0.3">
      <c r="A4454" t="s">
        <v>4382</v>
      </c>
      <c r="B4454" t="str">
        <f>"300702"</f>
        <v>300702</v>
      </c>
      <c r="C4454" t="s">
        <v>8950</v>
      </c>
      <c r="D4454" t="s">
        <v>113</v>
      </c>
      <c r="F4454">
        <v>-860113402</v>
      </c>
      <c r="G4454">
        <v>180672583</v>
      </c>
      <c r="H4454">
        <v>67522734</v>
      </c>
      <c r="I4454">
        <v>-113064585</v>
      </c>
      <c r="J4454">
        <v>-4013659</v>
      </c>
      <c r="K4454">
        <v>106761328</v>
      </c>
      <c r="P4454">
        <v>411</v>
      </c>
      <c r="Q4454" t="s">
        <v>8951</v>
      </c>
    </row>
    <row r="4455" spans="1:17" x14ac:dyDescent="0.3">
      <c r="A4455" t="s">
        <v>4382</v>
      </c>
      <c r="B4455" t="str">
        <f>"300703"</f>
        <v>300703</v>
      </c>
      <c r="C4455" t="s">
        <v>8952</v>
      </c>
      <c r="D4455" t="s">
        <v>161</v>
      </c>
      <c r="F4455">
        <v>-207600516</v>
      </c>
      <c r="G4455">
        <v>-82139777</v>
      </c>
      <c r="H4455">
        <v>-2928194</v>
      </c>
      <c r="I4455">
        <v>-45099054</v>
      </c>
      <c r="J4455">
        <v>35929509</v>
      </c>
      <c r="K4455">
        <v>55190643</v>
      </c>
      <c r="P4455">
        <v>109</v>
      </c>
      <c r="Q4455" t="s">
        <v>8953</v>
      </c>
    </row>
    <row r="4456" spans="1:17" x14ac:dyDescent="0.3">
      <c r="A4456" t="s">
        <v>4382</v>
      </c>
      <c r="B4456" t="str">
        <f>"300705"</f>
        <v>300705</v>
      </c>
      <c r="C4456" t="s">
        <v>8954</v>
      </c>
      <c r="D4456" t="s">
        <v>113</v>
      </c>
      <c r="F4456">
        <v>19659568</v>
      </c>
      <c r="G4456">
        <v>49956224</v>
      </c>
      <c r="H4456">
        <v>-124165345</v>
      </c>
      <c r="I4456">
        <v>-151478141</v>
      </c>
      <c r="J4456">
        <v>-8604422</v>
      </c>
      <c r="K4456">
        <v>-5624345</v>
      </c>
      <c r="P4456">
        <v>167</v>
      </c>
      <c r="Q4456" t="s">
        <v>8955</v>
      </c>
    </row>
    <row r="4457" spans="1:17" x14ac:dyDescent="0.3">
      <c r="A4457" t="s">
        <v>4382</v>
      </c>
      <c r="B4457" t="str">
        <f>"300706"</f>
        <v>300706</v>
      </c>
      <c r="C4457" t="s">
        <v>8956</v>
      </c>
      <c r="D4457" t="s">
        <v>150</v>
      </c>
      <c r="F4457">
        <v>-113935192</v>
      </c>
      <c r="G4457">
        <v>-71671440</v>
      </c>
      <c r="H4457">
        <v>-49523397</v>
      </c>
      <c r="I4457">
        <v>-118793989</v>
      </c>
      <c r="J4457">
        <v>-49898839</v>
      </c>
      <c r="K4457">
        <v>-45543798</v>
      </c>
      <c r="P4457">
        <v>178</v>
      </c>
      <c r="Q4457" t="s">
        <v>8957</v>
      </c>
    </row>
    <row r="4458" spans="1:17" x14ac:dyDescent="0.3">
      <c r="A4458" t="s">
        <v>4382</v>
      </c>
      <c r="B4458" t="str">
        <f>"300707"</f>
        <v>300707</v>
      </c>
      <c r="C4458" t="s">
        <v>8958</v>
      </c>
      <c r="D4458" t="s">
        <v>27</v>
      </c>
      <c r="F4458">
        <v>-142420071</v>
      </c>
      <c r="G4458">
        <v>-29680935</v>
      </c>
      <c r="H4458">
        <v>8811609</v>
      </c>
      <c r="I4458">
        <v>-46973205</v>
      </c>
      <c r="J4458">
        <v>44031841</v>
      </c>
      <c r="K4458">
        <v>14134791</v>
      </c>
      <c r="P4458">
        <v>140</v>
      </c>
      <c r="Q4458" t="s">
        <v>8959</v>
      </c>
    </row>
    <row r="4459" spans="1:17" x14ac:dyDescent="0.3">
      <c r="A4459" t="s">
        <v>4382</v>
      </c>
      <c r="B4459" t="str">
        <f>"300708"</f>
        <v>300708</v>
      </c>
      <c r="C4459" t="s">
        <v>8960</v>
      </c>
      <c r="D4459" t="s">
        <v>150</v>
      </c>
      <c r="F4459">
        <v>226668785</v>
      </c>
      <c r="G4459">
        <v>99661558</v>
      </c>
      <c r="H4459">
        <v>-69927680</v>
      </c>
      <c r="I4459">
        <v>-723629234</v>
      </c>
      <c r="J4459">
        <v>62538531</v>
      </c>
      <c r="K4459">
        <v>30901148</v>
      </c>
      <c r="P4459">
        <v>165</v>
      </c>
      <c r="Q4459" t="s">
        <v>8961</v>
      </c>
    </row>
    <row r="4460" spans="1:17" x14ac:dyDescent="0.3">
      <c r="A4460" t="s">
        <v>4382</v>
      </c>
      <c r="B4460" t="str">
        <f>"300709"</f>
        <v>300709</v>
      </c>
      <c r="C4460" t="s">
        <v>8962</v>
      </c>
      <c r="D4460" t="s">
        <v>150</v>
      </c>
      <c r="F4460">
        <v>-459740398</v>
      </c>
      <c r="G4460">
        <v>-154422195</v>
      </c>
      <c r="H4460">
        <v>133394270</v>
      </c>
      <c r="I4460">
        <v>-131498435</v>
      </c>
      <c r="J4460">
        <v>-6179799</v>
      </c>
      <c r="K4460">
        <v>-46475417</v>
      </c>
      <c r="P4460">
        <v>221</v>
      </c>
      <c r="Q4460" t="s">
        <v>8963</v>
      </c>
    </row>
    <row r="4461" spans="1:17" x14ac:dyDescent="0.3">
      <c r="A4461" t="s">
        <v>4382</v>
      </c>
      <c r="B4461" t="str">
        <f>"300710"</f>
        <v>300710</v>
      </c>
      <c r="C4461" t="s">
        <v>8964</v>
      </c>
      <c r="D4461" t="s">
        <v>100</v>
      </c>
      <c r="F4461">
        <v>41871718</v>
      </c>
      <c r="G4461">
        <v>-56238045</v>
      </c>
      <c r="H4461">
        <v>77808332</v>
      </c>
      <c r="I4461">
        <v>-47457605</v>
      </c>
      <c r="J4461">
        <v>-11392318</v>
      </c>
      <c r="K4461">
        <v>-34114545</v>
      </c>
      <c r="P4461">
        <v>107</v>
      </c>
      <c r="Q4461" t="s">
        <v>8965</v>
      </c>
    </row>
    <row r="4462" spans="1:17" x14ac:dyDescent="0.3">
      <c r="A4462" t="s">
        <v>4382</v>
      </c>
      <c r="B4462" t="str">
        <f>"300711"</f>
        <v>300711</v>
      </c>
      <c r="C4462" t="s">
        <v>8966</v>
      </c>
      <c r="D4462" t="s">
        <v>100</v>
      </c>
      <c r="F4462">
        <v>-31838522</v>
      </c>
      <c r="G4462">
        <v>3856157</v>
      </c>
      <c r="H4462">
        <v>-52407226</v>
      </c>
      <c r="I4462">
        <v>-60963061</v>
      </c>
      <c r="J4462">
        <v>-36696779</v>
      </c>
      <c r="K4462">
        <v>-7074198</v>
      </c>
      <c r="P4462">
        <v>130</v>
      </c>
      <c r="Q4462" t="s">
        <v>8967</v>
      </c>
    </row>
    <row r="4463" spans="1:17" x14ac:dyDescent="0.3">
      <c r="A4463" t="s">
        <v>4382</v>
      </c>
      <c r="B4463" t="str">
        <f>"300712"</f>
        <v>300712</v>
      </c>
      <c r="C4463" t="s">
        <v>8968</v>
      </c>
      <c r="D4463" t="s">
        <v>95</v>
      </c>
      <c r="F4463">
        <v>7101288</v>
      </c>
      <c r="G4463">
        <v>101553227</v>
      </c>
      <c r="H4463">
        <v>-429233038</v>
      </c>
      <c r="I4463">
        <v>-122301876</v>
      </c>
      <c r="J4463">
        <v>6359621</v>
      </c>
      <c r="K4463">
        <v>-6490555</v>
      </c>
      <c r="P4463">
        <v>125</v>
      </c>
      <c r="Q4463" t="s">
        <v>8969</v>
      </c>
    </row>
    <row r="4464" spans="1:17" x14ac:dyDescent="0.3">
      <c r="A4464" t="s">
        <v>4382</v>
      </c>
      <c r="B4464" t="str">
        <f>"300713"</f>
        <v>300713</v>
      </c>
      <c r="C4464" t="s">
        <v>8970</v>
      </c>
      <c r="D4464" t="s">
        <v>188</v>
      </c>
      <c r="F4464">
        <v>-46397835</v>
      </c>
      <c r="G4464">
        <v>-51875271</v>
      </c>
      <c r="H4464">
        <v>-29883965</v>
      </c>
      <c r="I4464">
        <v>-34239549</v>
      </c>
      <c r="J4464">
        <v>-18128815</v>
      </c>
      <c r="K4464">
        <v>37521831</v>
      </c>
      <c r="P4464">
        <v>81</v>
      </c>
      <c r="Q4464" t="s">
        <v>8971</v>
      </c>
    </row>
    <row r="4465" spans="1:17" x14ac:dyDescent="0.3">
      <c r="A4465" t="s">
        <v>4382</v>
      </c>
      <c r="B4465" t="str">
        <f>"300715"</f>
        <v>300715</v>
      </c>
      <c r="C4465" t="s">
        <v>8972</v>
      </c>
      <c r="D4465" t="s">
        <v>350</v>
      </c>
      <c r="F4465">
        <v>-720963451</v>
      </c>
      <c r="G4465">
        <v>-602793096</v>
      </c>
      <c r="H4465">
        <v>-279046879</v>
      </c>
      <c r="I4465">
        <v>-54429397</v>
      </c>
      <c r="J4465">
        <v>-44568291</v>
      </c>
      <c r="K4465">
        <v>-57892080</v>
      </c>
      <c r="P4465">
        <v>413</v>
      </c>
      <c r="Q4465" t="s">
        <v>8973</v>
      </c>
    </row>
    <row r="4466" spans="1:17" x14ac:dyDescent="0.3">
      <c r="A4466" t="s">
        <v>4382</v>
      </c>
      <c r="B4466" t="str">
        <f>"300716"</f>
        <v>300716</v>
      </c>
      <c r="C4466" t="s">
        <v>8974</v>
      </c>
      <c r="D4466" t="s">
        <v>133</v>
      </c>
      <c r="F4466">
        <v>-54549909</v>
      </c>
      <c r="G4466">
        <v>-316144962</v>
      </c>
      <c r="H4466">
        <v>-192611124</v>
      </c>
      <c r="I4466">
        <v>-160928677</v>
      </c>
      <c r="J4466">
        <v>-36730409</v>
      </c>
      <c r="K4466">
        <v>-45957727</v>
      </c>
      <c r="P4466">
        <v>59</v>
      </c>
      <c r="Q4466" t="s">
        <v>8975</v>
      </c>
    </row>
    <row r="4467" spans="1:17" x14ac:dyDescent="0.3">
      <c r="A4467" t="s">
        <v>4382</v>
      </c>
      <c r="B4467" t="str">
        <f>"300717"</f>
        <v>300717</v>
      </c>
      <c r="C4467" t="s">
        <v>8976</v>
      </c>
      <c r="D4467" t="s">
        <v>133</v>
      </c>
      <c r="F4467">
        <v>1436789</v>
      </c>
      <c r="G4467">
        <v>14313067</v>
      </c>
      <c r="H4467">
        <v>-24206151</v>
      </c>
      <c r="I4467">
        <v>-35643735</v>
      </c>
      <c r="J4467">
        <v>10765724</v>
      </c>
      <c r="K4467">
        <v>-5734502</v>
      </c>
      <c r="P4467">
        <v>71</v>
      </c>
      <c r="Q4467" t="s">
        <v>8977</v>
      </c>
    </row>
    <row r="4468" spans="1:17" x14ac:dyDescent="0.3">
      <c r="A4468" t="s">
        <v>4382</v>
      </c>
      <c r="B4468" t="str">
        <f>"300718"</f>
        <v>300718</v>
      </c>
      <c r="C4468" t="s">
        <v>8978</v>
      </c>
      <c r="D4468" t="s">
        <v>78</v>
      </c>
      <c r="F4468">
        <v>-2316463</v>
      </c>
      <c r="G4468">
        <v>-24723552</v>
      </c>
      <c r="H4468">
        <v>78046169</v>
      </c>
      <c r="I4468">
        <v>-14621688</v>
      </c>
      <c r="J4468">
        <v>24253121</v>
      </c>
      <c r="K4468">
        <v>32533733</v>
      </c>
      <c r="P4468">
        <v>100</v>
      </c>
      <c r="Q4468" t="s">
        <v>8979</v>
      </c>
    </row>
    <row r="4469" spans="1:17" x14ac:dyDescent="0.3">
      <c r="A4469" t="s">
        <v>4382</v>
      </c>
      <c r="B4469" t="str">
        <f>"300719"</f>
        <v>300719</v>
      </c>
      <c r="C4469" t="s">
        <v>8980</v>
      </c>
      <c r="D4469" t="s">
        <v>92</v>
      </c>
      <c r="F4469">
        <v>-1244621</v>
      </c>
      <c r="G4469">
        <v>-66699098</v>
      </c>
      <c r="H4469">
        <v>-33312035</v>
      </c>
      <c r="I4469">
        <v>-130816696</v>
      </c>
      <c r="J4469">
        <v>-137105288</v>
      </c>
      <c r="K4469">
        <v>-106259752</v>
      </c>
      <c r="P4469">
        <v>93</v>
      </c>
      <c r="Q4469" t="s">
        <v>8981</v>
      </c>
    </row>
    <row r="4470" spans="1:17" x14ac:dyDescent="0.3">
      <c r="A4470" t="s">
        <v>4382</v>
      </c>
      <c r="B4470" t="str">
        <f>"300720"</f>
        <v>300720</v>
      </c>
      <c r="C4470" t="s">
        <v>8982</v>
      </c>
      <c r="D4470" t="s">
        <v>78</v>
      </c>
      <c r="F4470">
        <v>39512697</v>
      </c>
      <c r="G4470">
        <v>49740326</v>
      </c>
      <c r="H4470">
        <v>23663304</v>
      </c>
      <c r="I4470">
        <v>6966532</v>
      </c>
      <c r="J4470">
        <v>13171963</v>
      </c>
      <c r="K4470">
        <v>12344606</v>
      </c>
      <c r="P4470">
        <v>70</v>
      </c>
      <c r="Q4470" t="s">
        <v>8983</v>
      </c>
    </row>
    <row r="4471" spans="1:17" x14ac:dyDescent="0.3">
      <c r="A4471" t="s">
        <v>4382</v>
      </c>
      <c r="B4471" t="str">
        <f>"300721"</f>
        <v>300721</v>
      </c>
      <c r="C4471" t="s">
        <v>8984</v>
      </c>
      <c r="D4471" t="s">
        <v>133</v>
      </c>
      <c r="F4471">
        <v>-36344097</v>
      </c>
      <c r="G4471">
        <v>-221830485</v>
      </c>
      <c r="H4471">
        <v>-306196227</v>
      </c>
      <c r="I4471">
        <v>-103087799</v>
      </c>
      <c r="J4471">
        <v>-17359410</v>
      </c>
      <c r="K4471">
        <v>-11902411</v>
      </c>
      <c r="P4471">
        <v>73</v>
      </c>
      <c r="Q4471" t="s">
        <v>8985</v>
      </c>
    </row>
    <row r="4472" spans="1:17" x14ac:dyDescent="0.3">
      <c r="A4472" t="s">
        <v>4382</v>
      </c>
      <c r="B4472" t="str">
        <f>"300722"</f>
        <v>300722</v>
      </c>
      <c r="C4472" t="s">
        <v>8986</v>
      </c>
      <c r="D4472" t="s">
        <v>92</v>
      </c>
      <c r="F4472">
        <v>-27118090</v>
      </c>
      <c r="G4472">
        <v>-3629927</v>
      </c>
      <c r="H4472">
        <v>-39229941</v>
      </c>
      <c r="I4472">
        <v>-21803570</v>
      </c>
      <c r="J4472">
        <v>-44812992</v>
      </c>
      <c r="K4472">
        <v>-48789889</v>
      </c>
      <c r="P4472">
        <v>113</v>
      </c>
      <c r="Q4472" t="s">
        <v>8987</v>
      </c>
    </row>
    <row r="4473" spans="1:17" x14ac:dyDescent="0.3">
      <c r="A4473" t="s">
        <v>4382</v>
      </c>
      <c r="B4473" t="str">
        <f>"300723"</f>
        <v>300723</v>
      </c>
      <c r="C4473" t="s">
        <v>8988</v>
      </c>
      <c r="D4473" t="s">
        <v>113</v>
      </c>
      <c r="F4473">
        <v>-164302189</v>
      </c>
      <c r="G4473">
        <v>-69772972</v>
      </c>
      <c r="H4473">
        <v>156960389</v>
      </c>
      <c r="I4473">
        <v>-84144199</v>
      </c>
      <c r="J4473">
        <v>22428938</v>
      </c>
      <c r="K4473">
        <v>68161528</v>
      </c>
      <c r="P4473">
        <v>223</v>
      </c>
      <c r="Q4473" t="s">
        <v>8989</v>
      </c>
    </row>
    <row r="4474" spans="1:17" x14ac:dyDescent="0.3">
      <c r="A4474" t="s">
        <v>4382</v>
      </c>
      <c r="B4474" t="str">
        <f>"300724"</f>
        <v>300724</v>
      </c>
      <c r="C4474" t="s">
        <v>8990</v>
      </c>
      <c r="D4474" t="s">
        <v>188</v>
      </c>
      <c r="F4474">
        <v>344427283</v>
      </c>
      <c r="G4474">
        <v>529418162</v>
      </c>
      <c r="H4474">
        <v>-624457855</v>
      </c>
      <c r="I4474">
        <v>-1855112</v>
      </c>
      <c r="J4474">
        <v>-80881134</v>
      </c>
      <c r="P4474">
        <v>573</v>
      </c>
      <c r="Q4474" t="s">
        <v>8991</v>
      </c>
    </row>
    <row r="4475" spans="1:17" x14ac:dyDescent="0.3">
      <c r="A4475" t="s">
        <v>4382</v>
      </c>
      <c r="B4475" t="str">
        <f>"300725"</f>
        <v>300725</v>
      </c>
      <c r="C4475" t="s">
        <v>8992</v>
      </c>
      <c r="D4475" t="s">
        <v>113</v>
      </c>
      <c r="F4475">
        <v>-69792761</v>
      </c>
      <c r="G4475">
        <v>130840248</v>
      </c>
      <c r="H4475">
        <v>-50656699</v>
      </c>
      <c r="I4475">
        <v>54471098</v>
      </c>
      <c r="J4475">
        <v>4834611</v>
      </c>
      <c r="K4475">
        <v>-5441518</v>
      </c>
      <c r="P4475">
        <v>1116</v>
      </c>
      <c r="Q4475" t="s">
        <v>8993</v>
      </c>
    </row>
    <row r="4476" spans="1:17" x14ac:dyDescent="0.3">
      <c r="A4476" t="s">
        <v>4382</v>
      </c>
      <c r="B4476" t="str">
        <f>"300726"</f>
        <v>300726</v>
      </c>
      <c r="C4476" t="s">
        <v>8994</v>
      </c>
      <c r="D4476" t="s">
        <v>92</v>
      </c>
      <c r="F4476">
        <v>10711224</v>
      </c>
      <c r="G4476">
        <v>-119684649</v>
      </c>
      <c r="H4476">
        <v>-26750695</v>
      </c>
      <c r="I4476">
        <v>-118152633</v>
      </c>
      <c r="J4476">
        <v>8111510</v>
      </c>
      <c r="K4476">
        <v>-1294739</v>
      </c>
      <c r="P4476">
        <v>750</v>
      </c>
      <c r="Q4476" t="s">
        <v>8995</v>
      </c>
    </row>
    <row r="4477" spans="1:17" x14ac:dyDescent="0.3">
      <c r="A4477" t="s">
        <v>4382</v>
      </c>
      <c r="B4477" t="str">
        <f>"300727"</f>
        <v>300727</v>
      </c>
      <c r="C4477" t="s">
        <v>8996</v>
      </c>
      <c r="D4477" t="s">
        <v>133</v>
      </c>
      <c r="F4477">
        <v>-37242320</v>
      </c>
      <c r="G4477">
        <v>15211413</v>
      </c>
      <c r="H4477">
        <v>46484846</v>
      </c>
      <c r="I4477">
        <v>-9454628</v>
      </c>
      <c r="J4477">
        <v>-16119154</v>
      </c>
      <c r="K4477">
        <v>4389437</v>
      </c>
      <c r="P4477">
        <v>73</v>
      </c>
      <c r="Q4477" t="s">
        <v>8997</v>
      </c>
    </row>
    <row r="4478" spans="1:17" x14ac:dyDescent="0.3">
      <c r="A4478" t="s">
        <v>4382</v>
      </c>
      <c r="B4478" t="str">
        <f>"300728"</f>
        <v>300728</v>
      </c>
      <c r="C4478" t="s">
        <v>8998</v>
      </c>
      <c r="J4478">
        <v>-46794600</v>
      </c>
      <c r="K4478">
        <v>41751100</v>
      </c>
      <c r="P4478">
        <v>10</v>
      </c>
      <c r="Q4478" t="s">
        <v>8999</v>
      </c>
    </row>
    <row r="4479" spans="1:17" x14ac:dyDescent="0.3">
      <c r="A4479" t="s">
        <v>4382</v>
      </c>
      <c r="B4479" t="str">
        <f>"300729"</f>
        <v>300729</v>
      </c>
      <c r="C4479" t="s">
        <v>9000</v>
      </c>
      <c r="D4479" t="s">
        <v>161</v>
      </c>
      <c r="F4479">
        <v>-143222244</v>
      </c>
      <c r="G4479">
        <v>-385162366</v>
      </c>
      <c r="H4479">
        <v>31883098</v>
      </c>
      <c r="I4479">
        <v>13224581</v>
      </c>
      <c r="J4479">
        <v>-43959412</v>
      </c>
      <c r="K4479">
        <v>-67523228</v>
      </c>
      <c r="P4479">
        <v>220</v>
      </c>
      <c r="Q4479" t="s">
        <v>9001</v>
      </c>
    </row>
    <row r="4480" spans="1:17" x14ac:dyDescent="0.3">
      <c r="A4480" t="s">
        <v>4382</v>
      </c>
      <c r="B4480" t="str">
        <f>"300730"</f>
        <v>300730</v>
      </c>
      <c r="C4480" t="s">
        <v>9002</v>
      </c>
      <c r="D4480" t="s">
        <v>212</v>
      </c>
      <c r="F4480">
        <v>-138421840</v>
      </c>
      <c r="G4480">
        <v>-87085241</v>
      </c>
      <c r="H4480">
        <v>-120872316</v>
      </c>
      <c r="I4480">
        <v>-120370881</v>
      </c>
      <c r="J4480">
        <v>-100011796</v>
      </c>
      <c r="K4480">
        <v>-104925093</v>
      </c>
      <c r="P4480">
        <v>98</v>
      </c>
      <c r="Q4480" t="s">
        <v>9003</v>
      </c>
    </row>
    <row r="4481" spans="1:17" x14ac:dyDescent="0.3">
      <c r="A4481" t="s">
        <v>4382</v>
      </c>
      <c r="B4481" t="str">
        <f>"300731"</f>
        <v>300731</v>
      </c>
      <c r="C4481" t="s">
        <v>9004</v>
      </c>
      <c r="D4481" t="s">
        <v>133</v>
      </c>
      <c r="F4481">
        <v>-63283467</v>
      </c>
      <c r="G4481">
        <v>-13319169</v>
      </c>
      <c r="H4481">
        <v>13261904</v>
      </c>
      <c r="I4481">
        <v>9224370</v>
      </c>
      <c r="J4481">
        <v>20088949</v>
      </c>
      <c r="K4481">
        <v>16528640</v>
      </c>
      <c r="P4481">
        <v>186</v>
      </c>
      <c r="Q4481" t="s">
        <v>9005</v>
      </c>
    </row>
    <row r="4482" spans="1:17" x14ac:dyDescent="0.3">
      <c r="A4482" t="s">
        <v>4382</v>
      </c>
      <c r="B4482" t="str">
        <f>"300732"</f>
        <v>300732</v>
      </c>
      <c r="C4482" t="s">
        <v>9006</v>
      </c>
      <c r="D4482" t="s">
        <v>95</v>
      </c>
      <c r="F4482">
        <v>-317282719</v>
      </c>
      <c r="G4482">
        <v>-130145006</v>
      </c>
      <c r="H4482">
        <v>10630852</v>
      </c>
      <c r="I4482">
        <v>-136284860</v>
      </c>
      <c r="J4482">
        <v>-106702510</v>
      </c>
      <c r="K4482">
        <v>-8182873</v>
      </c>
      <c r="P4482">
        <v>151</v>
      </c>
      <c r="Q4482" t="s">
        <v>9007</v>
      </c>
    </row>
    <row r="4483" spans="1:17" x14ac:dyDescent="0.3">
      <c r="A4483" t="s">
        <v>4382</v>
      </c>
      <c r="B4483" t="str">
        <f>"300733"</f>
        <v>300733</v>
      </c>
      <c r="C4483" t="s">
        <v>9008</v>
      </c>
      <c r="D4483" t="s">
        <v>27</v>
      </c>
      <c r="F4483">
        <v>-239894726</v>
      </c>
      <c r="G4483">
        <v>-88156410</v>
      </c>
      <c r="H4483">
        <v>-92602581</v>
      </c>
      <c r="I4483">
        <v>-33855427</v>
      </c>
      <c r="J4483">
        <v>21283273</v>
      </c>
      <c r="P4483">
        <v>60</v>
      </c>
      <c r="Q4483" t="s">
        <v>9009</v>
      </c>
    </row>
    <row r="4484" spans="1:17" x14ac:dyDescent="0.3">
      <c r="A4484" t="s">
        <v>4382</v>
      </c>
      <c r="B4484" t="str">
        <f>"300735"</f>
        <v>300735</v>
      </c>
      <c r="C4484" t="s">
        <v>9010</v>
      </c>
      <c r="D4484" t="s">
        <v>150</v>
      </c>
      <c r="F4484">
        <v>-636562965</v>
      </c>
      <c r="G4484">
        <v>-112990145</v>
      </c>
      <c r="H4484">
        <v>107769982</v>
      </c>
      <c r="I4484">
        <v>-101934691</v>
      </c>
      <c r="J4484">
        <v>-13067409</v>
      </c>
      <c r="P4484">
        <v>453</v>
      </c>
      <c r="Q4484" t="s">
        <v>9011</v>
      </c>
    </row>
    <row r="4485" spans="1:17" x14ac:dyDescent="0.3">
      <c r="A4485" t="s">
        <v>4382</v>
      </c>
      <c r="B4485" t="str">
        <f>"300736"</f>
        <v>300736</v>
      </c>
      <c r="C4485" t="s">
        <v>9012</v>
      </c>
      <c r="D4485" t="s">
        <v>150</v>
      </c>
      <c r="F4485">
        <v>24503134</v>
      </c>
      <c r="G4485">
        <v>-48653880</v>
      </c>
      <c r="H4485">
        <v>-113722768</v>
      </c>
      <c r="I4485">
        <v>-179102085</v>
      </c>
      <c r="J4485">
        <v>10302191</v>
      </c>
      <c r="K4485">
        <v>43747545</v>
      </c>
      <c r="P4485">
        <v>114</v>
      </c>
      <c r="Q4485" t="s">
        <v>9013</v>
      </c>
    </row>
    <row r="4486" spans="1:17" x14ac:dyDescent="0.3">
      <c r="A4486" t="s">
        <v>4382</v>
      </c>
      <c r="B4486" t="str">
        <f>"300737"</f>
        <v>300737</v>
      </c>
      <c r="C4486" t="s">
        <v>9014</v>
      </c>
      <c r="D4486" t="s">
        <v>350</v>
      </c>
      <c r="F4486">
        <v>-917682861</v>
      </c>
      <c r="G4486">
        <v>-422518380</v>
      </c>
      <c r="H4486">
        <v>-484280409</v>
      </c>
      <c r="I4486">
        <v>-352956768</v>
      </c>
      <c r="J4486">
        <v>-153364032</v>
      </c>
      <c r="K4486">
        <v>-162451428</v>
      </c>
      <c r="P4486">
        <v>459</v>
      </c>
      <c r="Q4486" t="s">
        <v>9015</v>
      </c>
    </row>
    <row r="4487" spans="1:17" x14ac:dyDescent="0.3">
      <c r="A4487" t="s">
        <v>4382</v>
      </c>
      <c r="B4487" t="str">
        <f>"300738"</f>
        <v>300738</v>
      </c>
      <c r="C4487" t="s">
        <v>9016</v>
      </c>
      <c r="D4487" t="s">
        <v>212</v>
      </c>
      <c r="F4487">
        <v>-666186137</v>
      </c>
      <c r="G4487">
        <v>-150935483</v>
      </c>
      <c r="H4487">
        <v>-2094526</v>
      </c>
      <c r="I4487">
        <v>-77393326</v>
      </c>
      <c r="J4487">
        <v>1930979</v>
      </c>
      <c r="K4487">
        <v>49662300</v>
      </c>
      <c r="P4487">
        <v>301</v>
      </c>
      <c r="Q4487" t="s">
        <v>9017</v>
      </c>
    </row>
    <row r="4488" spans="1:17" x14ac:dyDescent="0.3">
      <c r="A4488" t="s">
        <v>4382</v>
      </c>
      <c r="B4488" t="str">
        <f>"300739"</f>
        <v>300739</v>
      </c>
      <c r="C4488" t="s">
        <v>9018</v>
      </c>
      <c r="D4488" t="s">
        <v>150</v>
      </c>
      <c r="F4488">
        <v>-287260783</v>
      </c>
      <c r="G4488">
        <v>9588956</v>
      </c>
      <c r="H4488">
        <v>-32036610</v>
      </c>
      <c r="I4488">
        <v>-2497244</v>
      </c>
      <c r="J4488">
        <v>27986896</v>
      </c>
      <c r="P4488">
        <v>170</v>
      </c>
      <c r="Q4488" t="s">
        <v>9019</v>
      </c>
    </row>
    <row r="4489" spans="1:17" x14ac:dyDescent="0.3">
      <c r="A4489" t="s">
        <v>4382</v>
      </c>
      <c r="B4489" t="str">
        <f>"300740"</f>
        <v>300740</v>
      </c>
      <c r="C4489" t="s">
        <v>9020</v>
      </c>
      <c r="D4489" t="s">
        <v>481</v>
      </c>
      <c r="F4489">
        <v>-376120454</v>
      </c>
      <c r="G4489">
        <v>-88350685</v>
      </c>
      <c r="H4489">
        <v>-261515827</v>
      </c>
      <c r="I4489">
        <v>-53715958</v>
      </c>
      <c r="J4489">
        <v>42413544</v>
      </c>
      <c r="P4489">
        <v>257</v>
      </c>
      <c r="Q4489" t="s">
        <v>9021</v>
      </c>
    </row>
    <row r="4490" spans="1:17" x14ac:dyDescent="0.3">
      <c r="A4490" t="s">
        <v>4382</v>
      </c>
      <c r="B4490" t="str">
        <f>"300741"</f>
        <v>300741</v>
      </c>
      <c r="C4490" t="s">
        <v>9022</v>
      </c>
      <c r="D4490" t="s">
        <v>133</v>
      </c>
      <c r="F4490">
        <v>748994240</v>
      </c>
      <c r="G4490">
        <v>779772129</v>
      </c>
      <c r="H4490">
        <v>767288895</v>
      </c>
      <c r="I4490">
        <v>699198344</v>
      </c>
      <c r="J4490">
        <v>1016349829</v>
      </c>
      <c r="P4490">
        <v>458</v>
      </c>
      <c r="Q4490" t="s">
        <v>9023</v>
      </c>
    </row>
    <row r="4491" spans="1:17" x14ac:dyDescent="0.3">
      <c r="A4491" t="s">
        <v>4382</v>
      </c>
      <c r="B4491" t="str">
        <f>"300742"</f>
        <v>300742</v>
      </c>
      <c r="C4491" t="s">
        <v>9024</v>
      </c>
      <c r="D4491" t="s">
        <v>27</v>
      </c>
      <c r="F4491">
        <v>-110170265</v>
      </c>
      <c r="G4491">
        <v>-149415462</v>
      </c>
      <c r="H4491">
        <v>-454449947</v>
      </c>
      <c r="I4491">
        <v>-301836078</v>
      </c>
      <c r="J4491">
        <v>-232719748</v>
      </c>
      <c r="P4491">
        <v>90</v>
      </c>
      <c r="Q4491" t="s">
        <v>9025</v>
      </c>
    </row>
    <row r="4492" spans="1:17" x14ac:dyDescent="0.3">
      <c r="A4492" t="s">
        <v>4382</v>
      </c>
      <c r="B4492" t="str">
        <f>"300743"</f>
        <v>300743</v>
      </c>
      <c r="C4492" t="s">
        <v>9026</v>
      </c>
      <c r="D4492" t="s">
        <v>212</v>
      </c>
      <c r="F4492">
        <v>-30472798</v>
      </c>
      <c r="G4492">
        <v>25174197</v>
      </c>
      <c r="H4492">
        <v>-5966955</v>
      </c>
      <c r="I4492">
        <v>-20644706</v>
      </c>
      <c r="J4492">
        <v>7163137</v>
      </c>
      <c r="P4492">
        <v>54</v>
      </c>
      <c r="Q4492" t="s">
        <v>9027</v>
      </c>
    </row>
    <row r="4493" spans="1:17" x14ac:dyDescent="0.3">
      <c r="A4493" t="s">
        <v>4382</v>
      </c>
      <c r="B4493" t="str">
        <f>"300745"</f>
        <v>300745</v>
      </c>
      <c r="C4493" t="s">
        <v>9028</v>
      </c>
      <c r="D4493" t="s">
        <v>27</v>
      </c>
      <c r="F4493">
        <v>-110886351</v>
      </c>
      <c r="G4493">
        <v>-184247984</v>
      </c>
      <c r="H4493">
        <v>-172577610</v>
      </c>
      <c r="I4493">
        <v>-213390348</v>
      </c>
      <c r="J4493">
        <v>69988722</v>
      </c>
      <c r="P4493">
        <v>76</v>
      </c>
      <c r="Q4493" t="s">
        <v>9029</v>
      </c>
    </row>
    <row r="4494" spans="1:17" x14ac:dyDescent="0.3">
      <c r="A4494" t="s">
        <v>4382</v>
      </c>
      <c r="B4494" t="str">
        <f>"300746"</f>
        <v>300746</v>
      </c>
      <c r="C4494" t="s">
        <v>9030</v>
      </c>
      <c r="D4494" t="s">
        <v>95</v>
      </c>
      <c r="F4494">
        <v>-11721418</v>
      </c>
      <c r="G4494">
        <v>26170796</v>
      </c>
      <c r="H4494">
        <v>-543603</v>
      </c>
      <c r="I4494">
        <v>55503467</v>
      </c>
      <c r="J4494">
        <v>17452852</v>
      </c>
      <c r="P4494">
        <v>66</v>
      </c>
      <c r="Q4494" t="s">
        <v>9031</v>
      </c>
    </row>
    <row r="4495" spans="1:17" x14ac:dyDescent="0.3">
      <c r="A4495" t="s">
        <v>4382</v>
      </c>
      <c r="B4495" t="str">
        <f>"300747"</f>
        <v>300747</v>
      </c>
      <c r="C4495" t="s">
        <v>9032</v>
      </c>
      <c r="D4495" t="s">
        <v>78</v>
      </c>
      <c r="F4495">
        <v>-285594897</v>
      </c>
      <c r="G4495">
        <v>-476150627</v>
      </c>
      <c r="H4495">
        <v>-285409508</v>
      </c>
      <c r="I4495">
        <v>130009257</v>
      </c>
      <c r="J4495">
        <v>81294490</v>
      </c>
      <c r="P4495">
        <v>3348</v>
      </c>
      <c r="Q4495" t="s">
        <v>9033</v>
      </c>
    </row>
    <row r="4496" spans="1:17" x14ac:dyDescent="0.3">
      <c r="A4496" t="s">
        <v>4382</v>
      </c>
      <c r="B4496" t="str">
        <f>"300748"</f>
        <v>300748</v>
      </c>
      <c r="C4496" t="s">
        <v>9034</v>
      </c>
      <c r="D4496" t="s">
        <v>234</v>
      </c>
      <c r="F4496">
        <v>-364554423</v>
      </c>
      <c r="G4496">
        <v>-229577667</v>
      </c>
      <c r="H4496">
        <v>-99873177</v>
      </c>
      <c r="I4496">
        <v>-9828209</v>
      </c>
      <c r="J4496">
        <v>-87295153</v>
      </c>
      <c r="P4496">
        <v>342</v>
      </c>
      <c r="Q4496" t="s">
        <v>9035</v>
      </c>
    </row>
    <row r="4497" spans="1:17" x14ac:dyDescent="0.3">
      <c r="A4497" t="s">
        <v>4382</v>
      </c>
      <c r="B4497" t="str">
        <f>"300749"</f>
        <v>300749</v>
      </c>
      <c r="C4497" t="s">
        <v>9036</v>
      </c>
      <c r="D4497" t="s">
        <v>161</v>
      </c>
      <c r="F4497">
        <v>-237138631</v>
      </c>
      <c r="G4497">
        <v>-167824295</v>
      </c>
      <c r="H4497">
        <v>-35589015</v>
      </c>
      <c r="I4497">
        <v>-12305503</v>
      </c>
      <c r="J4497">
        <v>-16674948</v>
      </c>
      <c r="P4497">
        <v>97</v>
      </c>
      <c r="Q4497" t="s">
        <v>9037</v>
      </c>
    </row>
    <row r="4498" spans="1:17" x14ac:dyDescent="0.3">
      <c r="A4498" t="s">
        <v>4382</v>
      </c>
      <c r="B4498" t="str">
        <f>"300750"</f>
        <v>300750</v>
      </c>
      <c r="C4498" t="s">
        <v>9038</v>
      </c>
      <c r="D4498" t="s">
        <v>188</v>
      </c>
      <c r="F4498">
        <v>-1979804799</v>
      </c>
      <c r="G4498">
        <v>2255172747</v>
      </c>
      <c r="H4498">
        <v>3677662372</v>
      </c>
      <c r="I4498">
        <v>1599904016</v>
      </c>
      <c r="J4498">
        <v>-7001563494</v>
      </c>
      <c r="P4498">
        <v>4828</v>
      </c>
      <c r="Q4498" t="s">
        <v>9039</v>
      </c>
    </row>
    <row r="4499" spans="1:17" x14ac:dyDescent="0.3">
      <c r="A4499" t="s">
        <v>4382</v>
      </c>
      <c r="B4499" t="str">
        <f>"300751"</f>
        <v>300751</v>
      </c>
      <c r="C4499" t="s">
        <v>9040</v>
      </c>
      <c r="D4499" t="s">
        <v>188</v>
      </c>
      <c r="F4499">
        <v>311161340</v>
      </c>
      <c r="G4499">
        <v>-199488124</v>
      </c>
      <c r="H4499">
        <v>-196997504</v>
      </c>
      <c r="I4499">
        <v>68251221</v>
      </c>
      <c r="J4499">
        <v>32596093</v>
      </c>
      <c r="P4499">
        <v>629</v>
      </c>
      <c r="Q4499" t="s">
        <v>9041</v>
      </c>
    </row>
    <row r="4500" spans="1:17" x14ac:dyDescent="0.3">
      <c r="A4500" t="s">
        <v>4382</v>
      </c>
      <c r="B4500" t="str">
        <f>"300752"</f>
        <v>300752</v>
      </c>
      <c r="C4500" t="s">
        <v>9042</v>
      </c>
      <c r="D4500" t="s">
        <v>150</v>
      </c>
      <c r="F4500">
        <v>-313754625</v>
      </c>
      <c r="G4500">
        <v>-79555767</v>
      </c>
      <c r="H4500">
        <v>-51329132</v>
      </c>
      <c r="I4500">
        <v>82445715</v>
      </c>
      <c r="P4500">
        <v>140</v>
      </c>
      <c r="Q4500" t="s">
        <v>9043</v>
      </c>
    </row>
    <row r="4501" spans="1:17" x14ac:dyDescent="0.3">
      <c r="A4501" t="s">
        <v>4382</v>
      </c>
      <c r="B4501" t="str">
        <f>"300753"</f>
        <v>300753</v>
      </c>
      <c r="C4501" t="s">
        <v>9044</v>
      </c>
      <c r="D4501" t="s">
        <v>113</v>
      </c>
      <c r="F4501">
        <v>-52300299</v>
      </c>
      <c r="G4501">
        <v>-40131831</v>
      </c>
      <c r="H4501">
        <v>-41537419</v>
      </c>
      <c r="I4501">
        <v>-306782</v>
      </c>
      <c r="J4501">
        <v>-10984882</v>
      </c>
      <c r="P4501">
        <v>243</v>
      </c>
      <c r="Q4501" t="s">
        <v>9045</v>
      </c>
    </row>
    <row r="4502" spans="1:17" x14ac:dyDescent="0.3">
      <c r="A4502" t="s">
        <v>4382</v>
      </c>
      <c r="B4502" t="str">
        <f>"300755"</f>
        <v>300755</v>
      </c>
      <c r="C4502" t="s">
        <v>9046</v>
      </c>
      <c r="D4502" t="s">
        <v>120</v>
      </c>
      <c r="F4502">
        <v>45212792</v>
      </c>
      <c r="G4502">
        <v>-40053894</v>
      </c>
      <c r="H4502">
        <v>-338672604</v>
      </c>
      <c r="I4502">
        <v>-138893100</v>
      </c>
      <c r="J4502">
        <v>207675400</v>
      </c>
      <c r="P4502">
        <v>247</v>
      </c>
      <c r="Q4502" t="s">
        <v>9047</v>
      </c>
    </row>
    <row r="4503" spans="1:17" x14ac:dyDescent="0.3">
      <c r="A4503" t="s">
        <v>4382</v>
      </c>
      <c r="B4503" t="str">
        <f>"300756"</f>
        <v>300756</v>
      </c>
      <c r="C4503" t="s">
        <v>9048</v>
      </c>
      <c r="D4503" t="s">
        <v>161</v>
      </c>
      <c r="F4503">
        <v>-111618160</v>
      </c>
      <c r="G4503">
        <v>28962750</v>
      </c>
      <c r="H4503">
        <v>-17040157</v>
      </c>
      <c r="I4503">
        <v>84569992</v>
      </c>
      <c r="J4503">
        <v>-16826363</v>
      </c>
      <c r="P4503">
        <v>76</v>
      </c>
      <c r="Q4503" t="s">
        <v>9049</v>
      </c>
    </row>
    <row r="4504" spans="1:17" x14ac:dyDescent="0.3">
      <c r="A4504" t="s">
        <v>4382</v>
      </c>
      <c r="B4504" t="str">
        <f>"300757"</f>
        <v>300757</v>
      </c>
      <c r="C4504" t="s">
        <v>9050</v>
      </c>
      <c r="D4504" t="s">
        <v>78</v>
      </c>
      <c r="F4504">
        <v>-155745633</v>
      </c>
      <c r="G4504">
        <v>-191461768</v>
      </c>
      <c r="H4504">
        <v>-83434050</v>
      </c>
      <c r="I4504">
        <v>-22799357</v>
      </c>
      <c r="J4504">
        <v>16621592</v>
      </c>
      <c r="P4504">
        <v>76</v>
      </c>
      <c r="Q4504" t="s">
        <v>9051</v>
      </c>
    </row>
    <row r="4505" spans="1:17" x14ac:dyDescent="0.3">
      <c r="A4505" t="s">
        <v>4382</v>
      </c>
      <c r="B4505" t="str">
        <f>"300758"</f>
        <v>300758</v>
      </c>
      <c r="C4505" t="s">
        <v>9052</v>
      </c>
      <c r="D4505" t="s">
        <v>133</v>
      </c>
      <c r="F4505">
        <v>-22348948</v>
      </c>
      <c r="G4505">
        <v>-149798886</v>
      </c>
      <c r="H4505">
        <v>-68134958</v>
      </c>
      <c r="I4505">
        <v>-35223569</v>
      </c>
      <c r="J4505">
        <v>18762517</v>
      </c>
      <c r="P4505">
        <v>104</v>
      </c>
      <c r="Q4505" t="s">
        <v>9053</v>
      </c>
    </row>
    <row r="4506" spans="1:17" x14ac:dyDescent="0.3">
      <c r="A4506" t="s">
        <v>4382</v>
      </c>
      <c r="B4506" t="str">
        <f>"300759"</f>
        <v>300759</v>
      </c>
      <c r="C4506" t="s">
        <v>9054</v>
      </c>
      <c r="D4506" t="s">
        <v>113</v>
      </c>
      <c r="F4506">
        <v>-130918594</v>
      </c>
      <c r="G4506">
        <v>355198002</v>
      </c>
      <c r="H4506">
        <v>6263466</v>
      </c>
      <c r="I4506">
        <v>-12715059</v>
      </c>
      <c r="J4506">
        <v>-351236400</v>
      </c>
      <c r="P4506">
        <v>1082</v>
      </c>
      <c r="Q4506" t="s">
        <v>9055</v>
      </c>
    </row>
    <row r="4507" spans="1:17" x14ac:dyDescent="0.3">
      <c r="A4507" t="s">
        <v>4382</v>
      </c>
      <c r="B4507" t="str">
        <f>"300760"</f>
        <v>300760</v>
      </c>
      <c r="C4507" t="s">
        <v>9056</v>
      </c>
      <c r="D4507" t="s">
        <v>113</v>
      </c>
      <c r="F4507">
        <v>5087944951</v>
      </c>
      <c r="G4507">
        <v>5111433882</v>
      </c>
      <c r="H4507">
        <v>2742032131</v>
      </c>
      <c r="I4507">
        <v>2009532833</v>
      </c>
      <c r="J4507">
        <v>1917554222</v>
      </c>
      <c r="P4507">
        <v>4595</v>
      </c>
      <c r="Q4507" t="s">
        <v>9057</v>
      </c>
    </row>
    <row r="4508" spans="1:17" x14ac:dyDescent="0.3">
      <c r="A4508" t="s">
        <v>4382</v>
      </c>
      <c r="B4508" t="str">
        <f>"300761"</f>
        <v>300761</v>
      </c>
      <c r="C4508" t="s">
        <v>9058</v>
      </c>
      <c r="D4508" t="s">
        <v>205</v>
      </c>
      <c r="F4508">
        <v>-1598122372</v>
      </c>
      <c r="G4508">
        <v>-1417452467</v>
      </c>
      <c r="H4508">
        <v>639447803</v>
      </c>
      <c r="I4508">
        <v>803918090</v>
      </c>
      <c r="J4508">
        <v>-140996616</v>
      </c>
      <c r="P4508">
        <v>369</v>
      </c>
      <c r="Q4508" t="s">
        <v>9059</v>
      </c>
    </row>
    <row r="4509" spans="1:17" x14ac:dyDescent="0.3">
      <c r="A4509" t="s">
        <v>4382</v>
      </c>
      <c r="B4509" t="str">
        <f>"300762"</f>
        <v>300762</v>
      </c>
      <c r="C4509" t="s">
        <v>9060</v>
      </c>
      <c r="D4509" t="s">
        <v>92</v>
      </c>
      <c r="F4509">
        <v>-2062922</v>
      </c>
      <c r="G4509">
        <v>-129711695</v>
      </c>
      <c r="H4509">
        <v>-177856428</v>
      </c>
      <c r="I4509">
        <v>-96354107</v>
      </c>
      <c r="P4509">
        <v>182</v>
      </c>
      <c r="Q4509" t="s">
        <v>9061</v>
      </c>
    </row>
    <row r="4510" spans="1:17" x14ac:dyDescent="0.3">
      <c r="A4510" t="s">
        <v>4382</v>
      </c>
      <c r="B4510" t="str">
        <f>"300763"</f>
        <v>300763</v>
      </c>
      <c r="C4510" t="s">
        <v>9062</v>
      </c>
      <c r="D4510" t="s">
        <v>188</v>
      </c>
      <c r="F4510">
        <v>-446983571</v>
      </c>
      <c r="G4510">
        <v>71322685</v>
      </c>
      <c r="H4510">
        <v>19494220</v>
      </c>
      <c r="I4510">
        <v>-81075330</v>
      </c>
      <c r="P4510">
        <v>583</v>
      </c>
      <c r="Q4510" t="s">
        <v>9063</v>
      </c>
    </row>
    <row r="4511" spans="1:17" x14ac:dyDescent="0.3">
      <c r="A4511" t="s">
        <v>4382</v>
      </c>
      <c r="B4511" t="str">
        <f>"300765"</f>
        <v>300765</v>
      </c>
      <c r="C4511" t="s">
        <v>9064</v>
      </c>
      <c r="D4511" t="s">
        <v>113</v>
      </c>
      <c r="F4511">
        <v>118956691</v>
      </c>
      <c r="G4511">
        <v>181734308</v>
      </c>
      <c r="H4511">
        <v>144500177</v>
      </c>
      <c r="I4511">
        <v>81831103</v>
      </c>
      <c r="P4511">
        <v>173</v>
      </c>
      <c r="Q4511" t="s">
        <v>9065</v>
      </c>
    </row>
    <row r="4512" spans="1:17" x14ac:dyDescent="0.3">
      <c r="A4512" t="s">
        <v>4382</v>
      </c>
      <c r="B4512" t="str">
        <f>"300766"</f>
        <v>300766</v>
      </c>
      <c r="C4512" t="s">
        <v>9066</v>
      </c>
      <c r="D4512" t="s">
        <v>212</v>
      </c>
      <c r="F4512">
        <v>38510355</v>
      </c>
      <c r="G4512">
        <v>26960129</v>
      </c>
      <c r="H4512">
        <v>-209175487</v>
      </c>
      <c r="I4512">
        <v>146077525</v>
      </c>
      <c r="P4512">
        <v>141</v>
      </c>
      <c r="Q4512" t="s">
        <v>9067</v>
      </c>
    </row>
    <row r="4513" spans="1:17" x14ac:dyDescent="0.3">
      <c r="A4513" t="s">
        <v>4382</v>
      </c>
      <c r="B4513" t="str">
        <f>"300767"</f>
        <v>300767</v>
      </c>
      <c r="C4513" t="s">
        <v>9068</v>
      </c>
      <c r="D4513" t="s">
        <v>133</v>
      </c>
      <c r="F4513">
        <v>-220272867</v>
      </c>
      <c r="G4513">
        <v>-21398017</v>
      </c>
      <c r="H4513">
        <v>-98065241</v>
      </c>
      <c r="I4513">
        <v>-39172655</v>
      </c>
      <c r="P4513">
        <v>198</v>
      </c>
      <c r="Q4513" t="s">
        <v>9069</v>
      </c>
    </row>
    <row r="4514" spans="1:17" x14ac:dyDescent="0.3">
      <c r="A4514" t="s">
        <v>4382</v>
      </c>
      <c r="B4514" t="str">
        <f>"300768"</f>
        <v>300768</v>
      </c>
      <c r="C4514" t="s">
        <v>9070</v>
      </c>
      <c r="D4514" t="s">
        <v>212</v>
      </c>
      <c r="F4514">
        <v>75882156</v>
      </c>
      <c r="G4514">
        <v>6071098</v>
      </c>
      <c r="H4514">
        <v>204467577</v>
      </c>
      <c r="I4514">
        <v>162377307</v>
      </c>
      <c r="P4514">
        <v>240</v>
      </c>
      <c r="Q4514" t="s">
        <v>9071</v>
      </c>
    </row>
    <row r="4515" spans="1:17" x14ac:dyDescent="0.3">
      <c r="A4515" t="s">
        <v>4382</v>
      </c>
      <c r="B4515" t="str">
        <f>"300769"</f>
        <v>300769</v>
      </c>
      <c r="C4515" t="s">
        <v>9072</v>
      </c>
      <c r="D4515" t="s">
        <v>188</v>
      </c>
      <c r="F4515">
        <v>-1316620135</v>
      </c>
      <c r="G4515">
        <v>-463219570</v>
      </c>
      <c r="H4515">
        <v>-67585343</v>
      </c>
      <c r="I4515">
        <v>90411707</v>
      </c>
      <c r="J4515">
        <v>-163067212</v>
      </c>
      <c r="P4515">
        <v>325</v>
      </c>
      <c r="Q4515" t="s">
        <v>9073</v>
      </c>
    </row>
    <row r="4516" spans="1:17" x14ac:dyDescent="0.3">
      <c r="A4516" t="s">
        <v>4382</v>
      </c>
      <c r="B4516" t="str">
        <f>"300770"</f>
        <v>300770</v>
      </c>
      <c r="C4516" t="s">
        <v>9074</v>
      </c>
      <c r="D4516" t="s">
        <v>89</v>
      </c>
      <c r="F4516">
        <v>809296635</v>
      </c>
      <c r="G4516">
        <v>382689501</v>
      </c>
      <c r="H4516">
        <v>277571830</v>
      </c>
      <c r="I4516">
        <v>120662918</v>
      </c>
      <c r="P4516">
        <v>634</v>
      </c>
      <c r="Q4516" t="s">
        <v>9075</v>
      </c>
    </row>
    <row r="4517" spans="1:17" x14ac:dyDescent="0.3">
      <c r="A4517" t="s">
        <v>4382</v>
      </c>
      <c r="B4517" t="str">
        <f>"300771"</f>
        <v>300771</v>
      </c>
      <c r="C4517" t="s">
        <v>9076</v>
      </c>
      <c r="D4517" t="s">
        <v>212</v>
      </c>
      <c r="F4517">
        <v>-75469844</v>
      </c>
      <c r="G4517">
        <v>93297450</v>
      </c>
      <c r="H4517">
        <v>53148126</v>
      </c>
      <c r="I4517">
        <v>105915364</v>
      </c>
      <c r="P4517">
        <v>229</v>
      </c>
      <c r="Q4517" t="s">
        <v>9077</v>
      </c>
    </row>
    <row r="4518" spans="1:17" x14ac:dyDescent="0.3">
      <c r="A4518" t="s">
        <v>4382</v>
      </c>
      <c r="B4518" t="str">
        <f>"300772"</f>
        <v>300772</v>
      </c>
      <c r="C4518" t="s">
        <v>9078</v>
      </c>
      <c r="D4518" t="s">
        <v>188</v>
      </c>
      <c r="F4518">
        <v>-192824414</v>
      </c>
      <c r="G4518">
        <v>-234683566</v>
      </c>
      <c r="H4518">
        <v>382504014</v>
      </c>
      <c r="I4518">
        <v>-706854595</v>
      </c>
      <c r="P4518">
        <v>178</v>
      </c>
      <c r="Q4518" t="s">
        <v>9079</v>
      </c>
    </row>
    <row r="4519" spans="1:17" x14ac:dyDescent="0.3">
      <c r="A4519" t="s">
        <v>4382</v>
      </c>
      <c r="B4519" t="str">
        <f>"300773"</f>
        <v>300773</v>
      </c>
      <c r="C4519" t="s">
        <v>9080</v>
      </c>
      <c r="D4519" t="s">
        <v>75</v>
      </c>
      <c r="F4519">
        <v>734954156</v>
      </c>
      <c r="G4519">
        <v>549461197</v>
      </c>
      <c r="H4519">
        <v>334615900</v>
      </c>
      <c r="I4519">
        <v>170725214</v>
      </c>
      <c r="P4519">
        <v>473</v>
      </c>
      <c r="Q4519" t="s">
        <v>9081</v>
      </c>
    </row>
    <row r="4520" spans="1:17" x14ac:dyDescent="0.3">
      <c r="A4520" t="s">
        <v>4382</v>
      </c>
      <c r="B4520" t="str">
        <f>"300774"</f>
        <v>300774</v>
      </c>
      <c r="C4520" t="s">
        <v>9082</v>
      </c>
      <c r="D4520" t="s">
        <v>33</v>
      </c>
      <c r="F4520">
        <v>-263177879</v>
      </c>
      <c r="P4520">
        <v>25</v>
      </c>
      <c r="Q4520" t="s">
        <v>9083</v>
      </c>
    </row>
    <row r="4521" spans="1:17" x14ac:dyDescent="0.3">
      <c r="A4521" t="s">
        <v>4382</v>
      </c>
      <c r="B4521" t="str">
        <f>"300775"</f>
        <v>300775</v>
      </c>
      <c r="C4521" t="s">
        <v>9084</v>
      </c>
      <c r="D4521" t="s">
        <v>92</v>
      </c>
      <c r="F4521">
        <v>120071759</v>
      </c>
      <c r="G4521">
        <v>-230272180</v>
      </c>
      <c r="H4521">
        <v>-61210668</v>
      </c>
      <c r="I4521">
        <v>-32094947</v>
      </c>
      <c r="P4521">
        <v>187</v>
      </c>
      <c r="Q4521" t="s">
        <v>9085</v>
      </c>
    </row>
    <row r="4522" spans="1:17" x14ac:dyDescent="0.3">
      <c r="A4522" t="s">
        <v>4382</v>
      </c>
      <c r="B4522" t="str">
        <f>"300776"</f>
        <v>300776</v>
      </c>
      <c r="C4522" t="s">
        <v>9086</v>
      </c>
      <c r="D4522" t="s">
        <v>188</v>
      </c>
      <c r="F4522">
        <v>97230925</v>
      </c>
      <c r="G4522">
        <v>11405641</v>
      </c>
      <c r="H4522">
        <v>11030270</v>
      </c>
      <c r="I4522">
        <v>21055853</v>
      </c>
      <c r="P4522">
        <v>399</v>
      </c>
      <c r="Q4522" t="s">
        <v>9087</v>
      </c>
    </row>
    <row r="4523" spans="1:17" x14ac:dyDescent="0.3">
      <c r="A4523" t="s">
        <v>4382</v>
      </c>
      <c r="B4523" t="str">
        <f>"300777"</f>
        <v>300777</v>
      </c>
      <c r="C4523" t="s">
        <v>9088</v>
      </c>
      <c r="D4523" t="s">
        <v>92</v>
      </c>
      <c r="F4523">
        <v>-79069556</v>
      </c>
      <c r="G4523">
        <v>-35203014</v>
      </c>
      <c r="H4523">
        <v>-89050064</v>
      </c>
      <c r="I4523">
        <v>-143184983</v>
      </c>
      <c r="P4523">
        <v>371</v>
      </c>
      <c r="Q4523" t="s">
        <v>9089</v>
      </c>
    </row>
    <row r="4524" spans="1:17" x14ac:dyDescent="0.3">
      <c r="A4524" t="s">
        <v>4382</v>
      </c>
      <c r="B4524" t="str">
        <f>"300778"</f>
        <v>300778</v>
      </c>
      <c r="C4524" t="s">
        <v>9090</v>
      </c>
      <c r="D4524" t="s">
        <v>95</v>
      </c>
      <c r="F4524">
        <v>-92951158</v>
      </c>
      <c r="G4524">
        <v>-27820546</v>
      </c>
      <c r="H4524">
        <v>-11481789</v>
      </c>
      <c r="I4524">
        <v>21448394</v>
      </c>
      <c r="P4524">
        <v>104</v>
      </c>
      <c r="Q4524" t="s">
        <v>9091</v>
      </c>
    </row>
    <row r="4525" spans="1:17" x14ac:dyDescent="0.3">
      <c r="A4525" t="s">
        <v>4382</v>
      </c>
      <c r="B4525" t="str">
        <f>"300779"</f>
        <v>300779</v>
      </c>
      <c r="C4525" t="s">
        <v>9092</v>
      </c>
      <c r="D4525" t="s">
        <v>33</v>
      </c>
      <c r="F4525">
        <v>-274459615</v>
      </c>
      <c r="G4525">
        <v>-17805049</v>
      </c>
      <c r="H4525">
        <v>20977726</v>
      </c>
      <c r="I4525">
        <v>-4498244</v>
      </c>
      <c r="P4525">
        <v>62</v>
      </c>
      <c r="Q4525" t="s">
        <v>9093</v>
      </c>
    </row>
    <row r="4526" spans="1:17" x14ac:dyDescent="0.3">
      <c r="A4526" t="s">
        <v>4382</v>
      </c>
      <c r="B4526" t="str">
        <f>"300780"</f>
        <v>300780</v>
      </c>
      <c r="C4526" t="s">
        <v>9094</v>
      </c>
      <c r="D4526" t="s">
        <v>78</v>
      </c>
      <c r="F4526">
        <v>-240548541</v>
      </c>
      <c r="G4526">
        <v>-100896528</v>
      </c>
      <c r="H4526">
        <v>-106429327</v>
      </c>
      <c r="I4526">
        <v>24470166</v>
      </c>
      <c r="P4526">
        <v>56</v>
      </c>
      <c r="Q4526" t="s">
        <v>9095</v>
      </c>
    </row>
    <row r="4527" spans="1:17" x14ac:dyDescent="0.3">
      <c r="A4527" t="s">
        <v>4382</v>
      </c>
      <c r="B4527" t="str">
        <f>"300781"</f>
        <v>300781</v>
      </c>
      <c r="C4527" t="s">
        <v>9096</v>
      </c>
      <c r="D4527" t="s">
        <v>89</v>
      </c>
      <c r="F4527">
        <v>-14350669</v>
      </c>
      <c r="G4527">
        <v>22938750</v>
      </c>
      <c r="H4527">
        <v>-259499</v>
      </c>
      <c r="I4527">
        <v>-21180372</v>
      </c>
      <c r="P4527">
        <v>100</v>
      </c>
      <c r="Q4527" t="s">
        <v>9097</v>
      </c>
    </row>
    <row r="4528" spans="1:17" x14ac:dyDescent="0.3">
      <c r="A4528" t="s">
        <v>4382</v>
      </c>
      <c r="B4528" t="str">
        <f>"300782"</f>
        <v>300782</v>
      </c>
      <c r="C4528" t="s">
        <v>9098</v>
      </c>
      <c r="D4528" t="s">
        <v>150</v>
      </c>
      <c r="F4528">
        <v>-806817270</v>
      </c>
      <c r="G4528">
        <v>344067575</v>
      </c>
      <c r="H4528">
        <v>28233953</v>
      </c>
      <c r="I4528">
        <v>44499492</v>
      </c>
      <c r="P4528">
        <v>1610</v>
      </c>
      <c r="Q4528" t="s">
        <v>9099</v>
      </c>
    </row>
    <row r="4529" spans="1:17" x14ac:dyDescent="0.3">
      <c r="A4529" t="s">
        <v>4382</v>
      </c>
      <c r="B4529" t="str">
        <f>"300783"</f>
        <v>300783</v>
      </c>
      <c r="C4529" t="s">
        <v>9100</v>
      </c>
      <c r="D4529" t="s">
        <v>123</v>
      </c>
      <c r="F4529">
        <v>290921640</v>
      </c>
      <c r="G4529">
        <v>806308842</v>
      </c>
      <c r="H4529">
        <v>170679662</v>
      </c>
      <c r="I4529">
        <v>429058721</v>
      </c>
      <c r="P4529">
        <v>731</v>
      </c>
      <c r="Q4529" t="s">
        <v>9101</v>
      </c>
    </row>
    <row r="4530" spans="1:17" x14ac:dyDescent="0.3">
      <c r="A4530" t="s">
        <v>4382</v>
      </c>
      <c r="B4530" t="str">
        <f>"300785"</f>
        <v>300785</v>
      </c>
      <c r="C4530" t="s">
        <v>9102</v>
      </c>
      <c r="D4530" t="s">
        <v>89</v>
      </c>
      <c r="F4530">
        <v>-127723109</v>
      </c>
      <c r="G4530">
        <v>54242498</v>
      </c>
      <c r="H4530">
        <v>49196489</v>
      </c>
      <c r="I4530">
        <v>-25741829</v>
      </c>
      <c r="P4530">
        <v>332</v>
      </c>
      <c r="Q4530" t="s">
        <v>9103</v>
      </c>
    </row>
    <row r="4531" spans="1:17" x14ac:dyDescent="0.3">
      <c r="A4531" t="s">
        <v>4382</v>
      </c>
      <c r="B4531" t="str">
        <f>"300786"</f>
        <v>300786</v>
      </c>
      <c r="C4531" t="s">
        <v>9104</v>
      </c>
      <c r="D4531" t="s">
        <v>33</v>
      </c>
      <c r="F4531">
        <v>-268083500</v>
      </c>
      <c r="G4531">
        <v>-15189815</v>
      </c>
      <c r="H4531">
        <v>3005095</v>
      </c>
      <c r="I4531">
        <v>-26023627</v>
      </c>
      <c r="P4531">
        <v>95</v>
      </c>
      <c r="Q4531" t="s">
        <v>9105</v>
      </c>
    </row>
    <row r="4532" spans="1:17" x14ac:dyDescent="0.3">
      <c r="A4532" t="s">
        <v>4382</v>
      </c>
      <c r="B4532" t="str">
        <f>"300787"</f>
        <v>300787</v>
      </c>
      <c r="C4532" t="s">
        <v>9106</v>
      </c>
      <c r="D4532" t="s">
        <v>150</v>
      </c>
      <c r="F4532">
        <v>-473449237</v>
      </c>
      <c r="G4532">
        <v>-368415074</v>
      </c>
      <c r="H4532">
        <v>-142903898</v>
      </c>
      <c r="I4532">
        <v>-50526094</v>
      </c>
      <c r="P4532">
        <v>87</v>
      </c>
      <c r="Q4532" t="s">
        <v>9107</v>
      </c>
    </row>
    <row r="4533" spans="1:17" x14ac:dyDescent="0.3">
      <c r="A4533" t="s">
        <v>4382</v>
      </c>
      <c r="B4533" t="str">
        <f>"300788"</f>
        <v>300788</v>
      </c>
      <c r="C4533" t="s">
        <v>9108</v>
      </c>
      <c r="D4533" t="s">
        <v>89</v>
      </c>
      <c r="F4533">
        <v>103262012</v>
      </c>
      <c r="G4533">
        <v>84693310</v>
      </c>
      <c r="H4533">
        <v>85730182</v>
      </c>
      <c r="I4533">
        <v>10147216</v>
      </c>
      <c r="P4533">
        <v>347</v>
      </c>
      <c r="Q4533" t="s">
        <v>9109</v>
      </c>
    </row>
    <row r="4534" spans="1:17" x14ac:dyDescent="0.3">
      <c r="A4534" t="s">
        <v>4382</v>
      </c>
      <c r="B4534" t="str">
        <f>"300789"</f>
        <v>300789</v>
      </c>
      <c r="C4534" t="s">
        <v>9110</v>
      </c>
      <c r="D4534" t="s">
        <v>212</v>
      </c>
      <c r="F4534">
        <v>-45366081</v>
      </c>
      <c r="G4534">
        <v>-7205610</v>
      </c>
      <c r="H4534">
        <v>-30585989</v>
      </c>
      <c r="I4534">
        <v>-26847669</v>
      </c>
      <c r="P4534">
        <v>79</v>
      </c>
      <c r="Q4534" t="s">
        <v>9111</v>
      </c>
    </row>
    <row r="4535" spans="1:17" x14ac:dyDescent="0.3">
      <c r="A4535" t="s">
        <v>4382</v>
      </c>
      <c r="B4535" t="str">
        <f>"300790"</f>
        <v>300790</v>
      </c>
      <c r="C4535" t="s">
        <v>9112</v>
      </c>
      <c r="D4535" t="s">
        <v>212</v>
      </c>
      <c r="F4535">
        <v>-41197872</v>
      </c>
      <c r="G4535">
        <v>-463323019</v>
      </c>
      <c r="H4535">
        <v>12012570</v>
      </c>
      <c r="I4535">
        <v>-170206949</v>
      </c>
      <c r="P4535">
        <v>159</v>
      </c>
      <c r="Q4535" t="s">
        <v>9113</v>
      </c>
    </row>
    <row r="4536" spans="1:17" x14ac:dyDescent="0.3">
      <c r="A4536" t="s">
        <v>4382</v>
      </c>
      <c r="B4536" t="str">
        <f>"300791"</f>
        <v>300791</v>
      </c>
      <c r="C4536" t="s">
        <v>9114</v>
      </c>
      <c r="D4536" t="s">
        <v>123</v>
      </c>
      <c r="F4536">
        <v>-87605359</v>
      </c>
      <c r="G4536">
        <v>105299205</v>
      </c>
      <c r="H4536">
        <v>84582584</v>
      </c>
      <c r="I4536">
        <v>-49954538</v>
      </c>
      <c r="P4536">
        <v>286</v>
      </c>
      <c r="Q4536" t="s">
        <v>9115</v>
      </c>
    </row>
    <row r="4537" spans="1:17" x14ac:dyDescent="0.3">
      <c r="A4537" t="s">
        <v>4382</v>
      </c>
      <c r="B4537" t="str">
        <f>"300792"</f>
        <v>300792</v>
      </c>
      <c r="C4537" t="s">
        <v>9116</v>
      </c>
      <c r="D4537" t="s">
        <v>120</v>
      </c>
      <c r="F4537">
        <v>-152186514</v>
      </c>
      <c r="G4537">
        <v>216277687</v>
      </c>
      <c r="H4537">
        <v>10520940</v>
      </c>
      <c r="I4537">
        <v>-18807025</v>
      </c>
      <c r="P4537">
        <v>369</v>
      </c>
      <c r="Q4537" t="s">
        <v>9117</v>
      </c>
    </row>
    <row r="4538" spans="1:17" x14ac:dyDescent="0.3">
      <c r="A4538" t="s">
        <v>4382</v>
      </c>
      <c r="B4538" t="str">
        <f>"300793"</f>
        <v>300793</v>
      </c>
      <c r="C4538" t="s">
        <v>9118</v>
      </c>
      <c r="D4538" t="s">
        <v>150</v>
      </c>
      <c r="F4538">
        <v>-483488394</v>
      </c>
      <c r="G4538">
        <v>-163280943</v>
      </c>
      <c r="H4538">
        <v>4063160</v>
      </c>
      <c r="I4538">
        <v>-19589626</v>
      </c>
      <c r="P4538">
        <v>144</v>
      </c>
      <c r="Q4538" t="s">
        <v>9119</v>
      </c>
    </row>
    <row r="4539" spans="1:17" x14ac:dyDescent="0.3">
      <c r="A4539" t="s">
        <v>4382</v>
      </c>
      <c r="B4539" t="str">
        <f>"300795"</f>
        <v>300795</v>
      </c>
      <c r="C4539" t="s">
        <v>9120</v>
      </c>
      <c r="D4539" t="s">
        <v>110</v>
      </c>
      <c r="F4539">
        <v>-28127142</v>
      </c>
      <c r="G4539">
        <v>-25131066</v>
      </c>
      <c r="H4539">
        <v>-1805112</v>
      </c>
      <c r="I4539">
        <v>-4374888</v>
      </c>
      <c r="P4539">
        <v>109</v>
      </c>
      <c r="Q4539" t="s">
        <v>9121</v>
      </c>
    </row>
    <row r="4540" spans="1:17" x14ac:dyDescent="0.3">
      <c r="A4540" t="s">
        <v>4382</v>
      </c>
      <c r="B4540" t="str">
        <f>"300796"</f>
        <v>300796</v>
      </c>
      <c r="C4540" t="s">
        <v>9122</v>
      </c>
      <c r="D4540" t="s">
        <v>133</v>
      </c>
      <c r="F4540">
        <v>-113591669</v>
      </c>
      <c r="G4540">
        <v>-91153079</v>
      </c>
      <c r="H4540">
        <v>-44311603</v>
      </c>
      <c r="I4540">
        <v>10193409</v>
      </c>
      <c r="P4540">
        <v>45</v>
      </c>
      <c r="Q4540" t="s">
        <v>9123</v>
      </c>
    </row>
    <row r="4541" spans="1:17" x14ac:dyDescent="0.3">
      <c r="A4541" t="s">
        <v>4382</v>
      </c>
      <c r="B4541" t="str">
        <f>"300797"</f>
        <v>300797</v>
      </c>
      <c r="C4541" t="s">
        <v>9124</v>
      </c>
      <c r="D4541" t="s">
        <v>103</v>
      </c>
      <c r="F4541">
        <v>-103921468</v>
      </c>
      <c r="G4541">
        <v>-18603946</v>
      </c>
      <c r="H4541">
        <v>-25421657</v>
      </c>
      <c r="I4541">
        <v>-17434411</v>
      </c>
      <c r="P4541">
        <v>67</v>
      </c>
      <c r="Q4541" t="s">
        <v>9125</v>
      </c>
    </row>
    <row r="4542" spans="1:17" x14ac:dyDescent="0.3">
      <c r="A4542" t="s">
        <v>4382</v>
      </c>
      <c r="B4542" t="str">
        <f>"300798"</f>
        <v>300798</v>
      </c>
      <c r="C4542" t="s">
        <v>9126</v>
      </c>
      <c r="D4542" t="s">
        <v>133</v>
      </c>
      <c r="F4542">
        <v>-64790887</v>
      </c>
      <c r="G4542">
        <v>874025</v>
      </c>
      <c r="H4542">
        <v>6454108</v>
      </c>
      <c r="I4542">
        <v>12980963</v>
      </c>
      <c r="P4542">
        <v>55</v>
      </c>
      <c r="Q4542" t="s">
        <v>9127</v>
      </c>
    </row>
    <row r="4543" spans="1:17" x14ac:dyDescent="0.3">
      <c r="A4543" t="s">
        <v>4382</v>
      </c>
      <c r="B4543" t="str">
        <f>"300799"</f>
        <v>300799</v>
      </c>
      <c r="C4543" t="s">
        <v>9128</v>
      </c>
      <c r="D4543" t="s">
        <v>212</v>
      </c>
      <c r="F4543">
        <v>-56836786</v>
      </c>
      <c r="G4543">
        <v>38287544</v>
      </c>
      <c r="H4543">
        <v>-51845372</v>
      </c>
      <c r="I4543">
        <v>2391798</v>
      </c>
      <c r="P4543">
        <v>140</v>
      </c>
      <c r="Q4543" t="s">
        <v>9129</v>
      </c>
    </row>
    <row r="4544" spans="1:17" x14ac:dyDescent="0.3">
      <c r="A4544" t="s">
        <v>4382</v>
      </c>
      <c r="B4544" t="str">
        <f>"300800"</f>
        <v>300800</v>
      </c>
      <c r="C4544" t="s">
        <v>9130</v>
      </c>
      <c r="D4544" t="s">
        <v>33</v>
      </c>
      <c r="F4544">
        <v>-86177059</v>
      </c>
      <c r="G4544">
        <v>5492078</v>
      </c>
      <c r="H4544">
        <v>52861776</v>
      </c>
      <c r="I4544">
        <v>-121880731</v>
      </c>
      <c r="P4544">
        <v>362</v>
      </c>
      <c r="Q4544" t="s">
        <v>9131</v>
      </c>
    </row>
    <row r="4545" spans="1:17" x14ac:dyDescent="0.3">
      <c r="A4545" t="s">
        <v>4382</v>
      </c>
      <c r="B4545" t="str">
        <f>"300801"</f>
        <v>300801</v>
      </c>
      <c r="C4545" t="s">
        <v>9132</v>
      </c>
      <c r="D4545" t="s">
        <v>133</v>
      </c>
      <c r="F4545">
        <v>4032592</v>
      </c>
      <c r="G4545">
        <v>56645805</v>
      </c>
      <c r="H4545">
        <v>-8201140</v>
      </c>
      <c r="I4545">
        <v>50766175</v>
      </c>
      <c r="P4545">
        <v>113</v>
      </c>
      <c r="Q4545" t="s">
        <v>9133</v>
      </c>
    </row>
    <row r="4546" spans="1:17" x14ac:dyDescent="0.3">
      <c r="A4546" t="s">
        <v>4382</v>
      </c>
      <c r="B4546" t="str">
        <f>"300802"</f>
        <v>300802</v>
      </c>
      <c r="C4546" t="s">
        <v>9134</v>
      </c>
      <c r="D4546" t="s">
        <v>78</v>
      </c>
      <c r="F4546">
        <v>-33497530</v>
      </c>
      <c r="G4546">
        <v>22809922</v>
      </c>
      <c r="H4546">
        <v>75682464</v>
      </c>
      <c r="I4546">
        <v>55595629</v>
      </c>
      <c r="P4546">
        <v>182</v>
      </c>
      <c r="Q4546" t="s">
        <v>9135</v>
      </c>
    </row>
    <row r="4547" spans="1:17" x14ac:dyDescent="0.3">
      <c r="A4547" t="s">
        <v>4382</v>
      </c>
      <c r="B4547" t="str">
        <f>"300803"</f>
        <v>300803</v>
      </c>
      <c r="C4547" t="s">
        <v>9136</v>
      </c>
      <c r="D4547" t="s">
        <v>212</v>
      </c>
      <c r="F4547">
        <v>322656388</v>
      </c>
      <c r="G4547">
        <v>194862300</v>
      </c>
      <c r="H4547">
        <v>63242218</v>
      </c>
      <c r="I4547">
        <v>93859176</v>
      </c>
      <c r="P4547">
        <v>195</v>
      </c>
      <c r="Q4547" t="s">
        <v>9137</v>
      </c>
    </row>
    <row r="4548" spans="1:17" x14ac:dyDescent="0.3">
      <c r="A4548" t="s">
        <v>4382</v>
      </c>
      <c r="B4548" t="str">
        <f>"300805"</f>
        <v>300805</v>
      </c>
      <c r="C4548" t="s">
        <v>9138</v>
      </c>
      <c r="D4548" t="s">
        <v>89</v>
      </c>
      <c r="F4548">
        <v>17967809</v>
      </c>
      <c r="G4548">
        <v>79127660</v>
      </c>
      <c r="H4548">
        <v>70871191</v>
      </c>
      <c r="I4548">
        <v>32333279</v>
      </c>
      <c r="P4548">
        <v>71</v>
      </c>
      <c r="Q4548" t="s">
        <v>9139</v>
      </c>
    </row>
    <row r="4549" spans="1:17" x14ac:dyDescent="0.3">
      <c r="A4549" t="s">
        <v>4382</v>
      </c>
      <c r="B4549" t="str">
        <f>"300806"</f>
        <v>300806</v>
      </c>
      <c r="C4549" t="s">
        <v>9140</v>
      </c>
      <c r="D4549" t="s">
        <v>133</v>
      </c>
      <c r="F4549">
        <v>-390504259</v>
      </c>
      <c r="G4549">
        <v>-422429962</v>
      </c>
      <c r="H4549">
        <v>-114028876</v>
      </c>
      <c r="I4549">
        <v>-41074150</v>
      </c>
      <c r="P4549">
        <v>168</v>
      </c>
      <c r="Q4549" t="s">
        <v>9141</v>
      </c>
    </row>
    <row r="4550" spans="1:17" x14ac:dyDescent="0.3">
      <c r="A4550" t="s">
        <v>4382</v>
      </c>
      <c r="B4550" t="str">
        <f>"300807"</f>
        <v>300807</v>
      </c>
      <c r="C4550" t="s">
        <v>9142</v>
      </c>
      <c r="D4550" t="s">
        <v>212</v>
      </c>
      <c r="F4550">
        <v>-111446896</v>
      </c>
      <c r="G4550">
        <v>-87783252</v>
      </c>
      <c r="H4550">
        <v>-95020557</v>
      </c>
      <c r="I4550">
        <v>-70603054</v>
      </c>
      <c r="P4550">
        <v>103</v>
      </c>
      <c r="Q4550" t="s">
        <v>9143</v>
      </c>
    </row>
    <row r="4551" spans="1:17" x14ac:dyDescent="0.3">
      <c r="A4551" t="s">
        <v>4382</v>
      </c>
      <c r="B4551" t="str">
        <f>"300808"</f>
        <v>300808</v>
      </c>
      <c r="C4551" t="s">
        <v>9144</v>
      </c>
      <c r="D4551" t="s">
        <v>150</v>
      </c>
      <c r="F4551">
        <v>-122836843</v>
      </c>
      <c r="G4551">
        <v>-159661993</v>
      </c>
      <c r="H4551">
        <v>-66175161</v>
      </c>
      <c r="P4551">
        <v>55</v>
      </c>
      <c r="Q4551" t="s">
        <v>9145</v>
      </c>
    </row>
    <row r="4552" spans="1:17" x14ac:dyDescent="0.3">
      <c r="A4552" t="s">
        <v>4382</v>
      </c>
      <c r="B4552" t="str">
        <f>"300809"</f>
        <v>300809</v>
      </c>
      <c r="C4552" t="s">
        <v>9146</v>
      </c>
      <c r="D4552" t="s">
        <v>78</v>
      </c>
      <c r="F4552">
        <v>39280308</v>
      </c>
      <c r="G4552">
        <v>62202883</v>
      </c>
      <c r="H4552">
        <v>75739340</v>
      </c>
      <c r="I4552">
        <v>7971746</v>
      </c>
      <c r="P4552">
        <v>110</v>
      </c>
      <c r="Q4552" t="s">
        <v>9147</v>
      </c>
    </row>
    <row r="4553" spans="1:17" x14ac:dyDescent="0.3">
      <c r="A4553" t="s">
        <v>4382</v>
      </c>
      <c r="B4553" t="str">
        <f>"300810"</f>
        <v>300810</v>
      </c>
      <c r="C4553" t="s">
        <v>9148</v>
      </c>
      <c r="D4553" t="s">
        <v>92</v>
      </c>
      <c r="F4553">
        <v>-84157606</v>
      </c>
      <c r="G4553">
        <v>-107687669</v>
      </c>
      <c r="H4553">
        <v>-13922776</v>
      </c>
      <c r="I4553">
        <v>-6939712</v>
      </c>
      <c r="P4553">
        <v>57</v>
      </c>
      <c r="Q4553" t="s">
        <v>9149</v>
      </c>
    </row>
    <row r="4554" spans="1:17" x14ac:dyDescent="0.3">
      <c r="A4554" t="s">
        <v>4382</v>
      </c>
      <c r="B4554" t="str">
        <f>"300811"</f>
        <v>300811</v>
      </c>
      <c r="C4554" t="s">
        <v>9150</v>
      </c>
      <c r="D4554" t="s">
        <v>234</v>
      </c>
      <c r="F4554">
        <v>-107142009</v>
      </c>
      <c r="G4554">
        <v>-20752957</v>
      </c>
      <c r="H4554">
        <v>24451201</v>
      </c>
      <c r="I4554">
        <v>1710746</v>
      </c>
      <c r="P4554">
        <v>163</v>
      </c>
      <c r="Q4554" t="s">
        <v>9151</v>
      </c>
    </row>
    <row r="4555" spans="1:17" x14ac:dyDescent="0.3">
      <c r="A4555" t="s">
        <v>4382</v>
      </c>
      <c r="B4555" t="str">
        <f>"300812"</f>
        <v>300812</v>
      </c>
      <c r="C4555" t="s">
        <v>9152</v>
      </c>
      <c r="D4555" t="s">
        <v>150</v>
      </c>
      <c r="F4555">
        <v>-97023020</v>
      </c>
      <c r="G4555">
        <v>-100354010</v>
      </c>
      <c r="H4555">
        <v>40105485</v>
      </c>
      <c r="P4555">
        <v>111</v>
      </c>
      <c r="Q4555" t="s">
        <v>9153</v>
      </c>
    </row>
    <row r="4556" spans="1:17" x14ac:dyDescent="0.3">
      <c r="A4556" t="s">
        <v>4382</v>
      </c>
      <c r="B4556" t="str">
        <f>"300813"</f>
        <v>300813</v>
      </c>
      <c r="C4556" t="s">
        <v>9154</v>
      </c>
      <c r="D4556" t="s">
        <v>78</v>
      </c>
      <c r="F4556">
        <v>-16833821</v>
      </c>
      <c r="G4556">
        <v>58786982</v>
      </c>
      <c r="H4556">
        <v>-3832111</v>
      </c>
      <c r="I4556">
        <v>-15542022</v>
      </c>
      <c r="P4556">
        <v>106</v>
      </c>
      <c r="Q4556" t="s">
        <v>9155</v>
      </c>
    </row>
    <row r="4557" spans="1:17" x14ac:dyDescent="0.3">
      <c r="A4557" t="s">
        <v>4382</v>
      </c>
      <c r="B4557" t="str">
        <f>"300814"</f>
        <v>300814</v>
      </c>
      <c r="C4557" t="s">
        <v>9156</v>
      </c>
      <c r="D4557" t="s">
        <v>150</v>
      </c>
      <c r="F4557">
        <v>-61319728</v>
      </c>
      <c r="G4557">
        <v>46592238</v>
      </c>
      <c r="P4557">
        <v>14</v>
      </c>
      <c r="Q4557" t="s">
        <v>9157</v>
      </c>
    </row>
    <row r="4558" spans="1:17" x14ac:dyDescent="0.3">
      <c r="A4558" t="s">
        <v>4382</v>
      </c>
      <c r="B4558" t="str">
        <f>"300815"</f>
        <v>300815</v>
      </c>
      <c r="C4558" t="s">
        <v>9158</v>
      </c>
      <c r="D4558" t="s">
        <v>33</v>
      </c>
      <c r="F4558">
        <v>29091931</v>
      </c>
      <c r="G4558">
        <v>-4653766</v>
      </c>
      <c r="H4558">
        <v>-47676719</v>
      </c>
      <c r="I4558">
        <v>-174280719</v>
      </c>
      <c r="P4558">
        <v>345</v>
      </c>
      <c r="Q4558" t="s">
        <v>9159</v>
      </c>
    </row>
    <row r="4559" spans="1:17" x14ac:dyDescent="0.3">
      <c r="A4559" t="s">
        <v>4382</v>
      </c>
      <c r="B4559" t="str">
        <f>"300816"</f>
        <v>300816</v>
      </c>
      <c r="C4559" t="s">
        <v>9160</v>
      </c>
      <c r="D4559" t="s">
        <v>27</v>
      </c>
      <c r="F4559">
        <v>-85725902</v>
      </c>
      <c r="G4559">
        <v>-82649290</v>
      </c>
      <c r="H4559">
        <v>690969</v>
      </c>
      <c r="I4559">
        <v>-7940048</v>
      </c>
      <c r="P4559">
        <v>151</v>
      </c>
      <c r="Q4559" t="s">
        <v>9161</v>
      </c>
    </row>
    <row r="4560" spans="1:17" x14ac:dyDescent="0.3">
      <c r="A4560" t="s">
        <v>4382</v>
      </c>
      <c r="B4560" t="str">
        <f>"300817"</f>
        <v>300817</v>
      </c>
      <c r="C4560" t="s">
        <v>9162</v>
      </c>
      <c r="D4560" t="s">
        <v>78</v>
      </c>
      <c r="F4560">
        <v>-82940276</v>
      </c>
      <c r="G4560">
        <v>-37607772</v>
      </c>
      <c r="H4560">
        <v>22622484</v>
      </c>
      <c r="P4560">
        <v>63</v>
      </c>
      <c r="Q4560" t="s">
        <v>9163</v>
      </c>
    </row>
    <row r="4561" spans="1:17" x14ac:dyDescent="0.3">
      <c r="A4561" t="s">
        <v>4382</v>
      </c>
      <c r="B4561" t="str">
        <f>"300818"</f>
        <v>300818</v>
      </c>
      <c r="C4561" t="s">
        <v>9164</v>
      </c>
      <c r="D4561" t="s">
        <v>78</v>
      </c>
      <c r="F4561">
        <v>-289852804</v>
      </c>
      <c r="G4561">
        <v>225110410</v>
      </c>
      <c r="H4561">
        <v>44538716</v>
      </c>
      <c r="I4561">
        <v>25583300</v>
      </c>
      <c r="P4561">
        <v>92</v>
      </c>
      <c r="Q4561" t="s">
        <v>9165</v>
      </c>
    </row>
    <row r="4562" spans="1:17" x14ac:dyDescent="0.3">
      <c r="A4562" t="s">
        <v>4382</v>
      </c>
      <c r="B4562" t="str">
        <f>"300819"</f>
        <v>300819</v>
      </c>
      <c r="C4562" t="s">
        <v>9166</v>
      </c>
      <c r="D4562" t="s">
        <v>227</v>
      </c>
      <c r="F4562">
        <v>-129905761</v>
      </c>
      <c r="G4562">
        <v>38195058</v>
      </c>
      <c r="H4562">
        <v>64508298</v>
      </c>
      <c r="I4562">
        <v>42202560</v>
      </c>
      <c r="P4562">
        <v>51</v>
      </c>
      <c r="Q4562" t="s">
        <v>9167</v>
      </c>
    </row>
    <row r="4563" spans="1:17" x14ac:dyDescent="0.3">
      <c r="A4563" t="s">
        <v>4382</v>
      </c>
      <c r="B4563" t="str">
        <f>"300820"</f>
        <v>300820</v>
      </c>
      <c r="C4563" t="s">
        <v>9168</v>
      </c>
      <c r="D4563" t="s">
        <v>188</v>
      </c>
      <c r="F4563">
        <v>-84101560</v>
      </c>
      <c r="G4563">
        <v>38431227</v>
      </c>
      <c r="H4563">
        <v>58441966</v>
      </c>
      <c r="I4563">
        <v>27683600</v>
      </c>
      <c r="P4563">
        <v>369</v>
      </c>
      <c r="Q4563" t="s">
        <v>9169</v>
      </c>
    </row>
    <row r="4564" spans="1:17" x14ac:dyDescent="0.3">
      <c r="A4564" t="s">
        <v>4382</v>
      </c>
      <c r="B4564" t="str">
        <f>"300821"</f>
        <v>300821</v>
      </c>
      <c r="C4564" t="s">
        <v>9170</v>
      </c>
      <c r="D4564" t="s">
        <v>133</v>
      </c>
      <c r="F4564">
        <v>-492405608</v>
      </c>
      <c r="G4564">
        <v>18387150</v>
      </c>
      <c r="H4564">
        <v>423616842</v>
      </c>
      <c r="P4564">
        <v>159</v>
      </c>
      <c r="Q4564" t="s">
        <v>9171</v>
      </c>
    </row>
    <row r="4565" spans="1:17" x14ac:dyDescent="0.3">
      <c r="A4565" t="s">
        <v>4382</v>
      </c>
      <c r="B4565" t="str">
        <f>"300822"</f>
        <v>300822</v>
      </c>
      <c r="C4565" t="s">
        <v>9172</v>
      </c>
      <c r="D4565" t="s">
        <v>150</v>
      </c>
      <c r="F4565">
        <v>-316846646</v>
      </c>
      <c r="G4565">
        <v>-39094601</v>
      </c>
      <c r="H4565">
        <v>81364541</v>
      </c>
      <c r="P4565">
        <v>131</v>
      </c>
      <c r="Q4565" t="s">
        <v>9173</v>
      </c>
    </row>
    <row r="4566" spans="1:17" x14ac:dyDescent="0.3">
      <c r="A4566" t="s">
        <v>4382</v>
      </c>
      <c r="B4566" t="str">
        <f>"300823"</f>
        <v>300823</v>
      </c>
      <c r="C4566" t="s">
        <v>9174</v>
      </c>
      <c r="D4566" t="s">
        <v>78</v>
      </c>
      <c r="F4566">
        <v>-13107213</v>
      </c>
      <c r="G4566">
        <v>-7440109</v>
      </c>
      <c r="H4566">
        <v>58140240</v>
      </c>
      <c r="P4566">
        <v>109</v>
      </c>
      <c r="Q4566" t="s">
        <v>9175</v>
      </c>
    </row>
    <row r="4567" spans="1:17" x14ac:dyDescent="0.3">
      <c r="A4567" t="s">
        <v>4382</v>
      </c>
      <c r="B4567" t="str">
        <f>"300824"</f>
        <v>300824</v>
      </c>
      <c r="C4567" t="s">
        <v>9176</v>
      </c>
      <c r="D4567" t="s">
        <v>126</v>
      </c>
      <c r="F4567">
        <v>-49626719</v>
      </c>
      <c r="G4567">
        <v>8308297</v>
      </c>
      <c r="H4567">
        <v>28875861</v>
      </c>
      <c r="P4567">
        <v>167</v>
      </c>
      <c r="Q4567" t="s">
        <v>9177</v>
      </c>
    </row>
    <row r="4568" spans="1:17" x14ac:dyDescent="0.3">
      <c r="A4568" t="s">
        <v>4382</v>
      </c>
      <c r="B4568" t="str">
        <f>"300825"</f>
        <v>300825</v>
      </c>
      <c r="C4568" t="s">
        <v>9178</v>
      </c>
      <c r="D4568" t="s">
        <v>27</v>
      </c>
      <c r="F4568">
        <v>-38890667</v>
      </c>
      <c r="G4568">
        <v>-254635354</v>
      </c>
      <c r="H4568">
        <v>-54132745</v>
      </c>
      <c r="P4568">
        <v>93</v>
      </c>
      <c r="Q4568" t="s">
        <v>9179</v>
      </c>
    </row>
    <row r="4569" spans="1:17" x14ac:dyDescent="0.3">
      <c r="A4569" t="s">
        <v>4382</v>
      </c>
      <c r="B4569" t="str">
        <f>"300826"</f>
        <v>300826</v>
      </c>
      <c r="C4569" t="s">
        <v>9180</v>
      </c>
      <c r="D4569" t="s">
        <v>95</v>
      </c>
      <c r="F4569">
        <v>-117141182</v>
      </c>
      <c r="G4569">
        <v>-61019459</v>
      </c>
      <c r="H4569">
        <v>-37594260</v>
      </c>
      <c r="P4569">
        <v>61</v>
      </c>
      <c r="Q4569" t="s">
        <v>9181</v>
      </c>
    </row>
    <row r="4570" spans="1:17" x14ac:dyDescent="0.3">
      <c r="A4570" t="s">
        <v>4382</v>
      </c>
      <c r="B4570" t="str">
        <f>"300827"</f>
        <v>300827</v>
      </c>
      <c r="C4570" t="s">
        <v>9182</v>
      </c>
      <c r="D4570" t="s">
        <v>188</v>
      </c>
      <c r="F4570">
        <v>-305559244</v>
      </c>
      <c r="G4570">
        <v>-321417096</v>
      </c>
      <c r="H4570">
        <v>-143195299</v>
      </c>
      <c r="P4570">
        <v>233</v>
      </c>
      <c r="Q4570" t="s">
        <v>9183</v>
      </c>
    </row>
    <row r="4571" spans="1:17" x14ac:dyDescent="0.3">
      <c r="A4571" t="s">
        <v>4382</v>
      </c>
      <c r="B4571" t="str">
        <f>"300828"</f>
        <v>300828</v>
      </c>
      <c r="C4571" t="s">
        <v>9184</v>
      </c>
      <c r="D4571" t="s">
        <v>78</v>
      </c>
      <c r="F4571">
        <v>-34026551</v>
      </c>
      <c r="G4571">
        <v>33884602</v>
      </c>
      <c r="H4571">
        <v>-41056364</v>
      </c>
      <c r="P4571">
        <v>92</v>
      </c>
      <c r="Q4571" t="s">
        <v>9185</v>
      </c>
    </row>
    <row r="4572" spans="1:17" x14ac:dyDescent="0.3">
      <c r="A4572" t="s">
        <v>4382</v>
      </c>
      <c r="B4572" t="str">
        <f>"300829"</f>
        <v>300829</v>
      </c>
      <c r="C4572" t="s">
        <v>9186</v>
      </c>
      <c r="D4572" t="s">
        <v>133</v>
      </c>
      <c r="F4572">
        <v>-202572186</v>
      </c>
      <c r="G4572">
        <v>34837656</v>
      </c>
      <c r="H4572">
        <v>-28441304</v>
      </c>
      <c r="P4572">
        <v>126</v>
      </c>
      <c r="Q4572" t="s">
        <v>9187</v>
      </c>
    </row>
    <row r="4573" spans="1:17" x14ac:dyDescent="0.3">
      <c r="A4573" t="s">
        <v>4382</v>
      </c>
      <c r="B4573" t="str">
        <f>"300830"</f>
        <v>300830</v>
      </c>
      <c r="C4573" t="s">
        <v>9188</v>
      </c>
      <c r="D4573" t="s">
        <v>212</v>
      </c>
      <c r="F4573">
        <v>-79759661</v>
      </c>
      <c r="G4573">
        <v>-123268986</v>
      </c>
      <c r="H4573">
        <v>-85810634</v>
      </c>
      <c r="P4573">
        <v>74</v>
      </c>
      <c r="Q4573" t="s">
        <v>9189</v>
      </c>
    </row>
    <row r="4574" spans="1:17" x14ac:dyDescent="0.3">
      <c r="A4574" t="s">
        <v>4382</v>
      </c>
      <c r="B4574" t="str">
        <f>"300831"</f>
        <v>300831</v>
      </c>
      <c r="C4574" t="s">
        <v>9190</v>
      </c>
      <c r="D4574" t="s">
        <v>150</v>
      </c>
      <c r="F4574">
        <v>-26758062</v>
      </c>
      <c r="G4574">
        <v>73436645</v>
      </c>
      <c r="H4574">
        <v>9016918</v>
      </c>
      <c r="P4574">
        <v>129</v>
      </c>
      <c r="Q4574" t="s">
        <v>9191</v>
      </c>
    </row>
    <row r="4575" spans="1:17" x14ac:dyDescent="0.3">
      <c r="A4575" t="s">
        <v>4382</v>
      </c>
      <c r="B4575" t="str">
        <f>"300832"</f>
        <v>300832</v>
      </c>
      <c r="C4575" t="s">
        <v>9192</v>
      </c>
      <c r="D4575" t="s">
        <v>113</v>
      </c>
      <c r="F4575">
        <v>214512417</v>
      </c>
      <c r="G4575">
        <v>516466798</v>
      </c>
      <c r="H4575">
        <v>257819948</v>
      </c>
      <c r="P4575">
        <v>515</v>
      </c>
      <c r="Q4575" t="s">
        <v>9193</v>
      </c>
    </row>
    <row r="4576" spans="1:17" x14ac:dyDescent="0.3">
      <c r="A4576" t="s">
        <v>4382</v>
      </c>
      <c r="B4576" t="str">
        <f>"300833"</f>
        <v>300833</v>
      </c>
      <c r="C4576" t="s">
        <v>9194</v>
      </c>
      <c r="D4576" t="s">
        <v>78</v>
      </c>
      <c r="F4576">
        <v>37076101</v>
      </c>
      <c r="G4576">
        <v>25934878</v>
      </c>
      <c r="H4576">
        <v>73770538</v>
      </c>
      <c r="P4576">
        <v>89</v>
      </c>
      <c r="Q4576" t="s">
        <v>9195</v>
      </c>
    </row>
    <row r="4577" spans="1:17" x14ac:dyDescent="0.3">
      <c r="A4577" t="s">
        <v>4382</v>
      </c>
      <c r="B4577" t="str">
        <f>"300834"</f>
        <v>300834</v>
      </c>
      <c r="C4577" t="s">
        <v>9196</v>
      </c>
      <c r="D4577" t="s">
        <v>133</v>
      </c>
      <c r="F4577">
        <v>165562159</v>
      </c>
      <c r="G4577">
        <v>221080420</v>
      </c>
      <c r="P4577">
        <v>19</v>
      </c>
      <c r="Q4577" t="s">
        <v>9197</v>
      </c>
    </row>
    <row r="4578" spans="1:17" x14ac:dyDescent="0.3">
      <c r="A4578" t="s">
        <v>4382</v>
      </c>
      <c r="B4578" t="str">
        <f>"300835"</f>
        <v>300835</v>
      </c>
      <c r="C4578" t="s">
        <v>9198</v>
      </c>
      <c r="D4578" t="s">
        <v>234</v>
      </c>
      <c r="F4578">
        <v>-30890754</v>
      </c>
      <c r="G4578">
        <v>-11053167</v>
      </c>
      <c r="H4578">
        <v>-4205796</v>
      </c>
      <c r="P4578">
        <v>68</v>
      </c>
      <c r="Q4578" t="s">
        <v>9199</v>
      </c>
    </row>
    <row r="4579" spans="1:17" x14ac:dyDescent="0.3">
      <c r="A4579" t="s">
        <v>4382</v>
      </c>
      <c r="B4579" t="str">
        <f>"300836"</f>
        <v>300836</v>
      </c>
      <c r="C4579" t="s">
        <v>9200</v>
      </c>
      <c r="D4579" t="s">
        <v>78</v>
      </c>
      <c r="F4579">
        <v>-111936264</v>
      </c>
      <c r="G4579">
        <v>-117118709</v>
      </c>
      <c r="H4579">
        <v>-30237749</v>
      </c>
      <c r="P4579">
        <v>61</v>
      </c>
      <c r="Q4579" t="s">
        <v>9201</v>
      </c>
    </row>
    <row r="4580" spans="1:17" x14ac:dyDescent="0.3">
      <c r="A4580" t="s">
        <v>4382</v>
      </c>
      <c r="B4580" t="str">
        <f>"300837"</f>
        <v>300837</v>
      </c>
      <c r="C4580" t="s">
        <v>9202</v>
      </c>
      <c r="D4580" t="s">
        <v>78</v>
      </c>
      <c r="F4580">
        <v>-2808408</v>
      </c>
      <c r="G4580">
        <v>7260609</v>
      </c>
      <c r="H4580">
        <v>38082094</v>
      </c>
      <c r="P4580">
        <v>155</v>
      </c>
      <c r="Q4580" t="s">
        <v>9203</v>
      </c>
    </row>
    <row r="4581" spans="1:17" x14ac:dyDescent="0.3">
      <c r="A4581" t="s">
        <v>4382</v>
      </c>
      <c r="B4581" t="str">
        <f>"300838"</f>
        <v>300838</v>
      </c>
      <c r="C4581" t="s">
        <v>9204</v>
      </c>
      <c r="D4581" t="s">
        <v>78</v>
      </c>
      <c r="F4581">
        <v>-54803328</v>
      </c>
      <c r="G4581">
        <v>-10079558</v>
      </c>
      <c r="H4581">
        <v>-4196075</v>
      </c>
      <c r="P4581">
        <v>39</v>
      </c>
      <c r="Q4581" t="s">
        <v>9205</v>
      </c>
    </row>
    <row r="4582" spans="1:17" x14ac:dyDescent="0.3">
      <c r="A4582" t="s">
        <v>4382</v>
      </c>
      <c r="B4582" t="str">
        <f>"300839"</f>
        <v>300839</v>
      </c>
      <c r="C4582" t="s">
        <v>9206</v>
      </c>
      <c r="D4582" t="s">
        <v>70</v>
      </c>
      <c r="F4582">
        <v>-252799157</v>
      </c>
      <c r="G4582">
        <v>-478475699</v>
      </c>
      <c r="H4582">
        <v>-261680805</v>
      </c>
      <c r="P4582">
        <v>58</v>
      </c>
      <c r="Q4582" t="s">
        <v>9207</v>
      </c>
    </row>
    <row r="4583" spans="1:17" x14ac:dyDescent="0.3">
      <c r="A4583" t="s">
        <v>4382</v>
      </c>
      <c r="B4583" t="str">
        <f>"300840"</f>
        <v>300840</v>
      </c>
      <c r="C4583" t="s">
        <v>9208</v>
      </c>
      <c r="D4583" t="s">
        <v>227</v>
      </c>
      <c r="F4583">
        <v>21267080</v>
      </c>
      <c r="G4583">
        <v>-103697828</v>
      </c>
      <c r="H4583">
        <v>29496424</v>
      </c>
      <c r="P4583">
        <v>64</v>
      </c>
      <c r="Q4583" t="s">
        <v>9209</v>
      </c>
    </row>
    <row r="4584" spans="1:17" x14ac:dyDescent="0.3">
      <c r="A4584" t="s">
        <v>4382</v>
      </c>
      <c r="B4584" t="str">
        <f>"300841"</f>
        <v>300841</v>
      </c>
      <c r="C4584" t="s">
        <v>9210</v>
      </c>
      <c r="D4584" t="s">
        <v>113</v>
      </c>
      <c r="F4584">
        <v>-236078642</v>
      </c>
      <c r="G4584">
        <v>200905772</v>
      </c>
      <c r="H4584">
        <v>123057637</v>
      </c>
      <c r="P4584">
        <v>314</v>
      </c>
      <c r="Q4584" t="s">
        <v>9211</v>
      </c>
    </row>
    <row r="4585" spans="1:17" x14ac:dyDescent="0.3">
      <c r="A4585" t="s">
        <v>4382</v>
      </c>
      <c r="B4585" t="str">
        <f>"300842"</f>
        <v>300842</v>
      </c>
      <c r="C4585" t="s">
        <v>9212</v>
      </c>
      <c r="D4585" t="s">
        <v>188</v>
      </c>
      <c r="F4585">
        <v>-468993968</v>
      </c>
      <c r="G4585">
        <v>-321031140</v>
      </c>
      <c r="H4585">
        <v>58288981</v>
      </c>
      <c r="P4585">
        <v>131</v>
      </c>
      <c r="Q4585" t="s">
        <v>9213</v>
      </c>
    </row>
    <row r="4586" spans="1:17" x14ac:dyDescent="0.3">
      <c r="A4586" t="s">
        <v>4382</v>
      </c>
      <c r="B4586" t="str">
        <f>"300843"</f>
        <v>300843</v>
      </c>
      <c r="C4586" t="s">
        <v>9214</v>
      </c>
      <c r="D4586" t="s">
        <v>150</v>
      </c>
      <c r="F4586">
        <v>-155033362</v>
      </c>
      <c r="G4586">
        <v>-83322598</v>
      </c>
      <c r="H4586">
        <v>-94829512</v>
      </c>
      <c r="P4586">
        <v>80</v>
      </c>
      <c r="Q4586" t="s">
        <v>9215</v>
      </c>
    </row>
    <row r="4587" spans="1:17" x14ac:dyDescent="0.3">
      <c r="A4587" t="s">
        <v>4382</v>
      </c>
      <c r="B4587" t="str">
        <f>"300844"</f>
        <v>300844</v>
      </c>
      <c r="C4587" t="s">
        <v>9216</v>
      </c>
      <c r="D4587" t="s">
        <v>95</v>
      </c>
      <c r="F4587">
        <v>-95244034</v>
      </c>
      <c r="P4587">
        <v>16</v>
      </c>
      <c r="Q4587" t="s">
        <v>9217</v>
      </c>
    </row>
    <row r="4588" spans="1:17" x14ac:dyDescent="0.3">
      <c r="A4588" t="s">
        <v>4382</v>
      </c>
      <c r="B4588" t="str">
        <f>"300845"</f>
        <v>300845</v>
      </c>
      <c r="C4588" t="s">
        <v>9218</v>
      </c>
      <c r="D4588" t="s">
        <v>212</v>
      </c>
      <c r="F4588">
        <v>-110289801</v>
      </c>
      <c r="G4588">
        <v>-106010389</v>
      </c>
      <c r="H4588">
        <v>-72519132</v>
      </c>
      <c r="P4588">
        <v>83</v>
      </c>
      <c r="Q4588" t="s">
        <v>9219</v>
      </c>
    </row>
    <row r="4589" spans="1:17" x14ac:dyDescent="0.3">
      <c r="A4589" t="s">
        <v>4382</v>
      </c>
      <c r="B4589" t="str">
        <f>"300846"</f>
        <v>300846</v>
      </c>
      <c r="C4589" t="s">
        <v>9220</v>
      </c>
      <c r="D4589" t="s">
        <v>212</v>
      </c>
      <c r="F4589">
        <v>-262010705</v>
      </c>
      <c r="G4589">
        <v>-208497727</v>
      </c>
      <c r="H4589">
        <v>-13478309</v>
      </c>
      <c r="J4589">
        <v>19672931</v>
      </c>
      <c r="P4589">
        <v>78</v>
      </c>
      <c r="Q4589" t="s">
        <v>9221</v>
      </c>
    </row>
    <row r="4590" spans="1:17" x14ac:dyDescent="0.3">
      <c r="A4590" t="s">
        <v>4382</v>
      </c>
      <c r="B4590" t="str">
        <f>"300847"</f>
        <v>300847</v>
      </c>
      <c r="C4590" t="s">
        <v>9222</v>
      </c>
      <c r="D4590" t="s">
        <v>133</v>
      </c>
      <c r="F4590">
        <v>-14357336</v>
      </c>
      <c r="G4590">
        <v>14345334</v>
      </c>
      <c r="H4590">
        <v>12257683</v>
      </c>
      <c r="P4590">
        <v>53</v>
      </c>
      <c r="Q4590" t="s">
        <v>9223</v>
      </c>
    </row>
    <row r="4591" spans="1:17" x14ac:dyDescent="0.3">
      <c r="A4591" t="s">
        <v>4382</v>
      </c>
      <c r="B4591" t="str">
        <f>"300848"</f>
        <v>300848</v>
      </c>
      <c r="C4591" t="s">
        <v>9224</v>
      </c>
      <c r="D4591" t="s">
        <v>133</v>
      </c>
      <c r="F4591">
        <v>6443855</v>
      </c>
      <c r="G4591">
        <v>-22718664</v>
      </c>
      <c r="H4591">
        <v>16574902</v>
      </c>
      <c r="P4591">
        <v>125</v>
      </c>
      <c r="Q4591" t="s">
        <v>9225</v>
      </c>
    </row>
    <row r="4592" spans="1:17" x14ac:dyDescent="0.3">
      <c r="A4592" t="s">
        <v>4382</v>
      </c>
      <c r="B4592" t="str">
        <f>"300849"</f>
        <v>300849</v>
      </c>
      <c r="C4592" t="s">
        <v>9226</v>
      </c>
      <c r="D4592" t="s">
        <v>481</v>
      </c>
      <c r="F4592">
        <v>-103804206</v>
      </c>
      <c r="G4592">
        <v>-15022249</v>
      </c>
      <c r="H4592">
        <v>35378389</v>
      </c>
      <c r="P4592">
        <v>44</v>
      </c>
      <c r="Q4592" t="s">
        <v>9227</v>
      </c>
    </row>
    <row r="4593" spans="1:17" x14ac:dyDescent="0.3">
      <c r="A4593" t="s">
        <v>4382</v>
      </c>
      <c r="B4593" t="str">
        <f>"300850"</f>
        <v>300850</v>
      </c>
      <c r="C4593" t="s">
        <v>9228</v>
      </c>
      <c r="D4593" t="s">
        <v>188</v>
      </c>
      <c r="F4593">
        <v>-816814025</v>
      </c>
      <c r="G4593">
        <v>183246708</v>
      </c>
      <c r="H4593">
        <v>-42834966</v>
      </c>
      <c r="P4593">
        <v>264</v>
      </c>
      <c r="Q4593" t="s">
        <v>9229</v>
      </c>
    </row>
    <row r="4594" spans="1:17" x14ac:dyDescent="0.3">
      <c r="A4594" t="s">
        <v>4382</v>
      </c>
      <c r="B4594" t="str">
        <f>"300851"</f>
        <v>300851</v>
      </c>
      <c r="C4594" t="s">
        <v>9230</v>
      </c>
      <c r="D4594" t="s">
        <v>78</v>
      </c>
      <c r="F4594">
        <v>-10420398</v>
      </c>
      <c r="G4594">
        <v>-29005329</v>
      </c>
      <c r="H4594">
        <v>76158613</v>
      </c>
      <c r="P4594">
        <v>45</v>
      </c>
      <c r="Q4594" t="s">
        <v>9231</v>
      </c>
    </row>
    <row r="4595" spans="1:17" x14ac:dyDescent="0.3">
      <c r="A4595" t="s">
        <v>4382</v>
      </c>
      <c r="B4595" t="str">
        <f>"300852"</f>
        <v>300852</v>
      </c>
      <c r="C4595" t="s">
        <v>9232</v>
      </c>
      <c r="D4595" t="s">
        <v>150</v>
      </c>
      <c r="F4595">
        <v>-157861179</v>
      </c>
      <c r="G4595">
        <v>22703650</v>
      </c>
      <c r="H4595">
        <v>29327853</v>
      </c>
      <c r="P4595">
        <v>104</v>
      </c>
      <c r="Q4595" t="s">
        <v>9233</v>
      </c>
    </row>
    <row r="4596" spans="1:17" x14ac:dyDescent="0.3">
      <c r="A4596" t="s">
        <v>4382</v>
      </c>
      <c r="B4596" t="str">
        <f>"300853"</f>
        <v>300853</v>
      </c>
      <c r="C4596" t="s">
        <v>9234</v>
      </c>
      <c r="D4596" t="s">
        <v>78</v>
      </c>
      <c r="F4596">
        <v>-185122760</v>
      </c>
      <c r="G4596">
        <v>-92785605</v>
      </c>
      <c r="H4596">
        <v>-49539462</v>
      </c>
      <c r="P4596">
        <v>143</v>
      </c>
      <c r="Q4596" t="s">
        <v>9235</v>
      </c>
    </row>
    <row r="4597" spans="1:17" x14ac:dyDescent="0.3">
      <c r="A4597" t="s">
        <v>4382</v>
      </c>
      <c r="B4597" t="str">
        <f>"300854"</f>
        <v>300854</v>
      </c>
      <c r="C4597" t="s">
        <v>9236</v>
      </c>
      <c r="D4597" t="s">
        <v>33</v>
      </c>
      <c r="F4597">
        <v>-97897474</v>
      </c>
      <c r="P4597">
        <v>19</v>
      </c>
      <c r="Q4597" t="s">
        <v>9237</v>
      </c>
    </row>
    <row r="4598" spans="1:17" x14ac:dyDescent="0.3">
      <c r="A4598" t="s">
        <v>4382</v>
      </c>
      <c r="B4598" t="str">
        <f>"300855"</f>
        <v>300855</v>
      </c>
      <c r="C4598" t="s">
        <v>9238</v>
      </c>
      <c r="D4598" t="s">
        <v>234</v>
      </c>
      <c r="F4598">
        <v>-48683528</v>
      </c>
      <c r="G4598">
        <v>45818826</v>
      </c>
      <c r="H4598">
        <v>17725039</v>
      </c>
      <c r="P4598">
        <v>140</v>
      </c>
      <c r="Q4598" t="s">
        <v>9239</v>
      </c>
    </row>
    <row r="4599" spans="1:17" x14ac:dyDescent="0.3">
      <c r="A4599" t="s">
        <v>4382</v>
      </c>
      <c r="B4599" t="str">
        <f>"300856"</f>
        <v>300856</v>
      </c>
      <c r="C4599" t="s">
        <v>9240</v>
      </c>
      <c r="D4599" t="s">
        <v>481</v>
      </c>
      <c r="F4599">
        <v>-43094708</v>
      </c>
      <c r="G4599">
        <v>83871240</v>
      </c>
      <c r="H4599">
        <v>5858963</v>
      </c>
      <c r="P4599">
        <v>131</v>
      </c>
      <c r="Q4599" t="s">
        <v>9241</v>
      </c>
    </row>
    <row r="4600" spans="1:17" x14ac:dyDescent="0.3">
      <c r="A4600" t="s">
        <v>4382</v>
      </c>
      <c r="B4600" t="str">
        <f>"300857"</f>
        <v>300857</v>
      </c>
      <c r="C4600" t="s">
        <v>9242</v>
      </c>
      <c r="D4600" t="s">
        <v>150</v>
      </c>
      <c r="F4600">
        <v>25475276</v>
      </c>
      <c r="G4600">
        <v>-58415070</v>
      </c>
      <c r="H4600">
        <v>-43434937</v>
      </c>
      <c r="P4600">
        <v>59</v>
      </c>
      <c r="Q4600" t="s">
        <v>9243</v>
      </c>
    </row>
    <row r="4601" spans="1:17" x14ac:dyDescent="0.3">
      <c r="A4601" t="s">
        <v>4382</v>
      </c>
      <c r="B4601" t="str">
        <f>"300858"</f>
        <v>300858</v>
      </c>
      <c r="C4601" t="s">
        <v>9244</v>
      </c>
      <c r="D4601" t="s">
        <v>133</v>
      </c>
      <c r="F4601">
        <v>4590858</v>
      </c>
      <c r="G4601">
        <v>39435684</v>
      </c>
      <c r="H4601">
        <v>23791771</v>
      </c>
      <c r="P4601">
        <v>77</v>
      </c>
      <c r="Q4601" t="s">
        <v>9245</v>
      </c>
    </row>
    <row r="4602" spans="1:17" x14ac:dyDescent="0.3">
      <c r="A4602" t="s">
        <v>4382</v>
      </c>
      <c r="B4602" t="str">
        <f>"300859"</f>
        <v>300859</v>
      </c>
      <c r="C4602" t="s">
        <v>9246</v>
      </c>
      <c r="D4602" t="s">
        <v>110</v>
      </c>
      <c r="F4602">
        <v>70427582</v>
      </c>
      <c r="G4602">
        <v>-48426612</v>
      </c>
      <c r="H4602">
        <v>105706554</v>
      </c>
      <c r="P4602">
        <v>69</v>
      </c>
      <c r="Q4602" t="s">
        <v>9247</v>
      </c>
    </row>
    <row r="4603" spans="1:17" x14ac:dyDescent="0.3">
      <c r="A4603" t="s">
        <v>4382</v>
      </c>
      <c r="B4603" t="str">
        <f>"300860"</f>
        <v>300860</v>
      </c>
      <c r="C4603" t="s">
        <v>9248</v>
      </c>
      <c r="D4603" t="s">
        <v>110</v>
      </c>
      <c r="F4603">
        <v>-101323552</v>
      </c>
      <c r="G4603">
        <v>22737682</v>
      </c>
      <c r="H4603">
        <v>164187166</v>
      </c>
      <c r="P4603">
        <v>95</v>
      </c>
      <c r="Q4603" t="s">
        <v>9249</v>
      </c>
    </row>
    <row r="4604" spans="1:17" x14ac:dyDescent="0.3">
      <c r="A4604" t="s">
        <v>4382</v>
      </c>
      <c r="B4604" t="str">
        <f>"300861"</f>
        <v>300861</v>
      </c>
      <c r="C4604" t="s">
        <v>9250</v>
      </c>
      <c r="D4604" t="s">
        <v>78</v>
      </c>
      <c r="F4604">
        <v>164850755</v>
      </c>
      <c r="G4604">
        <v>145248872</v>
      </c>
      <c r="H4604">
        <v>264172977</v>
      </c>
      <c r="P4604">
        <v>147</v>
      </c>
      <c r="Q4604" t="s">
        <v>9251</v>
      </c>
    </row>
    <row r="4605" spans="1:17" x14ac:dyDescent="0.3">
      <c r="A4605" t="s">
        <v>4382</v>
      </c>
      <c r="B4605" t="str">
        <f>"300862"</f>
        <v>300862</v>
      </c>
      <c r="C4605" t="s">
        <v>9252</v>
      </c>
      <c r="D4605" t="s">
        <v>78</v>
      </c>
      <c r="F4605">
        <v>-175484759</v>
      </c>
      <c r="G4605">
        <v>-185811537</v>
      </c>
      <c r="H4605">
        <v>-176064673</v>
      </c>
      <c r="P4605">
        <v>68</v>
      </c>
      <c r="Q4605" t="s">
        <v>9253</v>
      </c>
    </row>
    <row r="4606" spans="1:17" x14ac:dyDescent="0.3">
      <c r="A4606" t="s">
        <v>4382</v>
      </c>
      <c r="B4606" t="str">
        <f>"300863"</f>
        <v>300863</v>
      </c>
      <c r="C4606" t="s">
        <v>9254</v>
      </c>
      <c r="D4606" t="s">
        <v>27</v>
      </c>
      <c r="F4606">
        <v>-386182459</v>
      </c>
      <c r="G4606">
        <v>-216848272</v>
      </c>
      <c r="H4606">
        <v>-6568064</v>
      </c>
      <c r="P4606">
        <v>75</v>
      </c>
      <c r="Q4606" t="s">
        <v>9255</v>
      </c>
    </row>
    <row r="4607" spans="1:17" x14ac:dyDescent="0.3">
      <c r="A4607" t="s">
        <v>4382</v>
      </c>
      <c r="B4607" t="str">
        <f>"300864"</f>
        <v>300864</v>
      </c>
      <c r="C4607" t="s">
        <v>9256</v>
      </c>
      <c r="D4607" t="s">
        <v>33</v>
      </c>
      <c r="F4607">
        <v>-28046189</v>
      </c>
      <c r="G4607">
        <v>-7703984</v>
      </c>
      <c r="H4607">
        <v>33627180</v>
      </c>
      <c r="P4607">
        <v>121</v>
      </c>
      <c r="Q4607" t="s">
        <v>9257</v>
      </c>
    </row>
    <row r="4608" spans="1:17" x14ac:dyDescent="0.3">
      <c r="A4608" t="s">
        <v>4382</v>
      </c>
      <c r="B4608" t="str">
        <f>"300865"</f>
        <v>300865</v>
      </c>
      <c r="C4608" t="s">
        <v>9258</v>
      </c>
      <c r="D4608" t="s">
        <v>78</v>
      </c>
      <c r="F4608">
        <v>-135600718</v>
      </c>
      <c r="G4608">
        <v>6321331</v>
      </c>
      <c r="H4608">
        <v>27646135</v>
      </c>
      <c r="P4608">
        <v>43</v>
      </c>
      <c r="Q4608" t="s">
        <v>9259</v>
      </c>
    </row>
    <row r="4609" spans="1:17" x14ac:dyDescent="0.3">
      <c r="A4609" t="s">
        <v>4382</v>
      </c>
      <c r="B4609" t="str">
        <f>"300866"</f>
        <v>300866</v>
      </c>
      <c r="C4609" t="s">
        <v>9260</v>
      </c>
      <c r="D4609" t="s">
        <v>150</v>
      </c>
      <c r="F4609">
        <v>-214645353</v>
      </c>
      <c r="G4609">
        <v>37945200</v>
      </c>
      <c r="H4609">
        <v>308381123</v>
      </c>
      <c r="P4609">
        <v>311</v>
      </c>
      <c r="Q4609" t="s">
        <v>9261</v>
      </c>
    </row>
    <row r="4610" spans="1:17" x14ac:dyDescent="0.3">
      <c r="A4610" t="s">
        <v>4382</v>
      </c>
      <c r="B4610" t="str">
        <f>"300867"</f>
        <v>300867</v>
      </c>
      <c r="C4610" t="s">
        <v>9262</v>
      </c>
      <c r="D4610" t="s">
        <v>33</v>
      </c>
      <c r="F4610">
        <v>-670986081</v>
      </c>
      <c r="G4610">
        <v>-669710647</v>
      </c>
      <c r="H4610">
        <v>-129057494</v>
      </c>
      <c r="P4610">
        <v>103</v>
      </c>
      <c r="Q4610" t="s">
        <v>9263</v>
      </c>
    </row>
    <row r="4611" spans="1:17" x14ac:dyDescent="0.3">
      <c r="A4611" t="s">
        <v>4382</v>
      </c>
      <c r="B4611" t="str">
        <f>"300868"</f>
        <v>300868</v>
      </c>
      <c r="C4611" t="s">
        <v>9264</v>
      </c>
      <c r="D4611" t="s">
        <v>150</v>
      </c>
      <c r="F4611">
        <v>-95238698</v>
      </c>
      <c r="G4611">
        <v>6643155</v>
      </c>
      <c r="H4611">
        <v>117997065</v>
      </c>
      <c r="P4611">
        <v>40</v>
      </c>
      <c r="Q4611" t="s">
        <v>9265</v>
      </c>
    </row>
    <row r="4612" spans="1:17" x14ac:dyDescent="0.3">
      <c r="A4612" t="s">
        <v>4382</v>
      </c>
      <c r="B4612" t="str">
        <f>"300869"</f>
        <v>300869</v>
      </c>
      <c r="C4612" t="s">
        <v>9266</v>
      </c>
      <c r="D4612" t="s">
        <v>113</v>
      </c>
      <c r="F4612">
        <v>-71668027</v>
      </c>
      <c r="G4612">
        <v>452797170</v>
      </c>
      <c r="H4612">
        <v>13321807</v>
      </c>
      <c r="P4612">
        <v>174</v>
      </c>
      <c r="Q4612" t="s">
        <v>9267</v>
      </c>
    </row>
    <row r="4613" spans="1:17" x14ac:dyDescent="0.3">
      <c r="A4613" t="s">
        <v>4382</v>
      </c>
      <c r="B4613" t="str">
        <f>"300870"</f>
        <v>300870</v>
      </c>
      <c r="C4613" t="s">
        <v>9268</v>
      </c>
      <c r="D4613" t="s">
        <v>188</v>
      </c>
      <c r="F4613">
        <v>-376847237</v>
      </c>
      <c r="G4613">
        <v>40208140</v>
      </c>
      <c r="H4613">
        <v>-28176790</v>
      </c>
      <c r="P4613">
        <v>131</v>
      </c>
      <c r="Q4613" t="s">
        <v>9269</v>
      </c>
    </row>
    <row r="4614" spans="1:17" x14ac:dyDescent="0.3">
      <c r="A4614" t="s">
        <v>4382</v>
      </c>
      <c r="B4614" t="str">
        <f>"300871"</f>
        <v>300871</v>
      </c>
      <c r="C4614" t="s">
        <v>9270</v>
      </c>
      <c r="D4614" t="s">
        <v>205</v>
      </c>
      <c r="F4614">
        <v>-375619540</v>
      </c>
      <c r="G4614">
        <v>-111441468</v>
      </c>
      <c r="H4614">
        <v>-31822490</v>
      </c>
      <c r="P4614">
        <v>84</v>
      </c>
      <c r="Q4614" t="s">
        <v>9271</v>
      </c>
    </row>
    <row r="4615" spans="1:17" x14ac:dyDescent="0.3">
      <c r="A4615" t="s">
        <v>4382</v>
      </c>
      <c r="B4615" t="str">
        <f>"300872"</f>
        <v>300872</v>
      </c>
      <c r="C4615" t="s">
        <v>9272</v>
      </c>
      <c r="D4615" t="s">
        <v>212</v>
      </c>
      <c r="F4615">
        <v>-485266731</v>
      </c>
      <c r="G4615">
        <v>-373757090</v>
      </c>
      <c r="H4615">
        <v>-295040423</v>
      </c>
      <c r="P4615">
        <v>74</v>
      </c>
      <c r="Q4615" t="s">
        <v>9273</v>
      </c>
    </row>
    <row r="4616" spans="1:17" x14ac:dyDescent="0.3">
      <c r="A4616" t="s">
        <v>4382</v>
      </c>
      <c r="B4616" t="str">
        <f>"300873"</f>
        <v>300873</v>
      </c>
      <c r="C4616" t="s">
        <v>9274</v>
      </c>
      <c r="D4616" t="s">
        <v>22</v>
      </c>
      <c r="F4616">
        <v>88839691</v>
      </c>
      <c r="G4616">
        <v>110534333</v>
      </c>
      <c r="H4616">
        <v>75039331</v>
      </c>
      <c r="P4616">
        <v>88</v>
      </c>
      <c r="Q4616" t="s">
        <v>9275</v>
      </c>
    </row>
    <row r="4617" spans="1:17" x14ac:dyDescent="0.3">
      <c r="A4617" t="s">
        <v>4382</v>
      </c>
      <c r="B4617" t="str">
        <f>"300875"</f>
        <v>300875</v>
      </c>
      <c r="C4617" t="s">
        <v>9276</v>
      </c>
      <c r="D4617" t="s">
        <v>92</v>
      </c>
      <c r="F4617">
        <v>23621009</v>
      </c>
      <c r="G4617">
        <v>-65766120</v>
      </c>
      <c r="H4617">
        <v>12398621</v>
      </c>
      <c r="P4617">
        <v>106</v>
      </c>
      <c r="Q4617" t="s">
        <v>9277</v>
      </c>
    </row>
    <row r="4618" spans="1:17" x14ac:dyDescent="0.3">
      <c r="A4618" t="s">
        <v>4382</v>
      </c>
      <c r="B4618" t="str">
        <f>"300876"</f>
        <v>300876</v>
      </c>
      <c r="C4618" t="s">
        <v>9278</v>
      </c>
      <c r="D4618" t="s">
        <v>133</v>
      </c>
      <c r="F4618">
        <v>-46746624</v>
      </c>
      <c r="G4618">
        <v>1757261</v>
      </c>
      <c r="H4618">
        <v>19137516</v>
      </c>
      <c r="P4618">
        <v>67</v>
      </c>
      <c r="Q4618" t="s">
        <v>9279</v>
      </c>
    </row>
    <row r="4619" spans="1:17" x14ac:dyDescent="0.3">
      <c r="A4619" t="s">
        <v>4382</v>
      </c>
      <c r="B4619" t="str">
        <f>"300877"</f>
        <v>300877</v>
      </c>
      <c r="C4619" t="s">
        <v>9280</v>
      </c>
      <c r="D4619" t="s">
        <v>227</v>
      </c>
      <c r="F4619">
        <v>-144327213</v>
      </c>
      <c r="G4619">
        <v>46739508</v>
      </c>
      <c r="H4619">
        <v>-89585762</v>
      </c>
      <c r="P4619">
        <v>75</v>
      </c>
      <c r="Q4619" t="s">
        <v>9281</v>
      </c>
    </row>
    <row r="4620" spans="1:17" x14ac:dyDescent="0.3">
      <c r="A4620" t="s">
        <v>4382</v>
      </c>
      <c r="B4620" t="str">
        <f>"300878"</f>
        <v>300878</v>
      </c>
      <c r="C4620" t="s">
        <v>9282</v>
      </c>
      <c r="D4620" t="s">
        <v>113</v>
      </c>
      <c r="F4620">
        <v>-217621801</v>
      </c>
      <c r="G4620">
        <v>-82961289</v>
      </c>
      <c r="H4620">
        <v>-10056458</v>
      </c>
      <c r="P4620">
        <v>132</v>
      </c>
      <c r="Q4620" t="s">
        <v>9283</v>
      </c>
    </row>
    <row r="4621" spans="1:17" x14ac:dyDescent="0.3">
      <c r="A4621" t="s">
        <v>4382</v>
      </c>
      <c r="B4621" t="str">
        <f>"300879"</f>
        <v>300879</v>
      </c>
      <c r="C4621" t="s">
        <v>9284</v>
      </c>
      <c r="D4621" t="s">
        <v>78</v>
      </c>
      <c r="F4621">
        <v>-179492427</v>
      </c>
      <c r="G4621">
        <v>211230342</v>
      </c>
      <c r="H4621">
        <v>-32001765</v>
      </c>
      <c r="P4621">
        <v>52</v>
      </c>
      <c r="Q4621" t="s">
        <v>9285</v>
      </c>
    </row>
    <row r="4622" spans="1:17" x14ac:dyDescent="0.3">
      <c r="A4622" t="s">
        <v>4382</v>
      </c>
      <c r="B4622" t="str">
        <f>"300880"</f>
        <v>300880</v>
      </c>
      <c r="C4622" t="s">
        <v>9286</v>
      </c>
      <c r="D4622" t="s">
        <v>188</v>
      </c>
      <c r="F4622">
        <v>-26555602</v>
      </c>
      <c r="G4622">
        <v>-9237472</v>
      </c>
      <c r="H4622">
        <v>-16677297</v>
      </c>
      <c r="P4622">
        <v>54</v>
      </c>
      <c r="Q4622" t="s">
        <v>9287</v>
      </c>
    </row>
    <row r="4623" spans="1:17" x14ac:dyDescent="0.3">
      <c r="A4623" t="s">
        <v>4382</v>
      </c>
      <c r="B4623" t="str">
        <f>"300881"</f>
        <v>300881</v>
      </c>
      <c r="C4623" t="s">
        <v>9288</v>
      </c>
      <c r="D4623" t="s">
        <v>38</v>
      </c>
      <c r="F4623">
        <v>36951524</v>
      </c>
      <c r="G4623">
        <v>-149950170</v>
      </c>
      <c r="H4623">
        <v>37441421</v>
      </c>
      <c r="P4623">
        <v>31</v>
      </c>
      <c r="Q4623" t="s">
        <v>9289</v>
      </c>
    </row>
    <row r="4624" spans="1:17" x14ac:dyDescent="0.3">
      <c r="A4624" t="s">
        <v>4382</v>
      </c>
      <c r="B4624" t="str">
        <f>"300882"</f>
        <v>300882</v>
      </c>
      <c r="C4624" t="s">
        <v>9290</v>
      </c>
      <c r="D4624" t="s">
        <v>188</v>
      </c>
      <c r="F4624">
        <v>-125584289</v>
      </c>
      <c r="G4624">
        <v>-195589501</v>
      </c>
      <c r="H4624">
        <v>-77915422</v>
      </c>
      <c r="P4624">
        <v>41</v>
      </c>
      <c r="Q4624" t="s">
        <v>9291</v>
      </c>
    </row>
    <row r="4625" spans="1:17" x14ac:dyDescent="0.3">
      <c r="A4625" t="s">
        <v>4382</v>
      </c>
      <c r="B4625" t="str">
        <f>"300883"</f>
        <v>300883</v>
      </c>
      <c r="C4625" t="s">
        <v>9292</v>
      </c>
      <c r="D4625" t="s">
        <v>161</v>
      </c>
      <c r="F4625">
        <v>-199246223</v>
      </c>
      <c r="G4625">
        <v>8723390</v>
      </c>
      <c r="H4625">
        <v>11532957</v>
      </c>
      <c r="P4625">
        <v>37</v>
      </c>
      <c r="Q4625" t="s">
        <v>9293</v>
      </c>
    </row>
    <row r="4626" spans="1:17" x14ac:dyDescent="0.3">
      <c r="A4626" t="s">
        <v>4382</v>
      </c>
      <c r="B4626" t="str">
        <f>"300884"</f>
        <v>300884</v>
      </c>
      <c r="C4626" t="s">
        <v>9294</v>
      </c>
      <c r="D4626" t="s">
        <v>212</v>
      </c>
      <c r="F4626">
        <v>-154886334</v>
      </c>
      <c r="G4626">
        <v>39637300</v>
      </c>
      <c r="H4626">
        <v>-13614000</v>
      </c>
      <c r="P4626">
        <v>68</v>
      </c>
      <c r="Q4626" t="s">
        <v>9295</v>
      </c>
    </row>
    <row r="4627" spans="1:17" x14ac:dyDescent="0.3">
      <c r="A4627" t="s">
        <v>4382</v>
      </c>
      <c r="B4627" t="str">
        <f>"300885"</f>
        <v>300885</v>
      </c>
      <c r="C4627" t="s">
        <v>9296</v>
      </c>
      <c r="D4627" t="s">
        <v>78</v>
      </c>
      <c r="F4627">
        <v>35390158</v>
      </c>
      <c r="G4627">
        <v>25034699</v>
      </c>
      <c r="H4627">
        <v>35488651</v>
      </c>
      <c r="P4627">
        <v>45</v>
      </c>
      <c r="Q4627" t="s">
        <v>9297</v>
      </c>
    </row>
    <row r="4628" spans="1:17" x14ac:dyDescent="0.3">
      <c r="A4628" t="s">
        <v>4382</v>
      </c>
      <c r="B4628" t="str">
        <f>"300886"</f>
        <v>300886</v>
      </c>
      <c r="C4628" t="s">
        <v>9298</v>
      </c>
      <c r="D4628" t="s">
        <v>481</v>
      </c>
      <c r="F4628">
        <v>13418177</v>
      </c>
      <c r="G4628">
        <v>-18169130</v>
      </c>
      <c r="H4628">
        <v>-824878</v>
      </c>
      <c r="P4628">
        <v>49</v>
      </c>
      <c r="Q4628" t="s">
        <v>9299</v>
      </c>
    </row>
    <row r="4629" spans="1:17" x14ac:dyDescent="0.3">
      <c r="A4629" t="s">
        <v>4382</v>
      </c>
      <c r="B4629" t="str">
        <f>"300887"</f>
        <v>300887</v>
      </c>
      <c r="C4629" t="s">
        <v>9300</v>
      </c>
      <c r="D4629" t="s">
        <v>110</v>
      </c>
      <c r="F4629">
        <v>-462961065</v>
      </c>
      <c r="G4629">
        <v>-190510845</v>
      </c>
      <c r="H4629">
        <v>-151586591</v>
      </c>
      <c r="P4629">
        <v>117</v>
      </c>
      <c r="Q4629" t="s">
        <v>9301</v>
      </c>
    </row>
    <row r="4630" spans="1:17" x14ac:dyDescent="0.3">
      <c r="A4630" t="s">
        <v>4382</v>
      </c>
      <c r="B4630" t="str">
        <f>"300888"</f>
        <v>300888</v>
      </c>
      <c r="C4630" t="s">
        <v>9302</v>
      </c>
      <c r="D4630" t="s">
        <v>481</v>
      </c>
      <c r="F4630">
        <v>104462204</v>
      </c>
      <c r="G4630">
        <v>3697035294</v>
      </c>
      <c r="H4630">
        <v>-121436861</v>
      </c>
      <c r="P4630">
        <v>457</v>
      </c>
      <c r="Q4630" t="s">
        <v>9303</v>
      </c>
    </row>
    <row r="4631" spans="1:17" x14ac:dyDescent="0.3">
      <c r="A4631" t="s">
        <v>4382</v>
      </c>
      <c r="B4631" t="str">
        <f>"300889"</f>
        <v>300889</v>
      </c>
      <c r="C4631" t="s">
        <v>9304</v>
      </c>
      <c r="D4631" t="s">
        <v>150</v>
      </c>
      <c r="F4631">
        <v>-208095649</v>
      </c>
      <c r="G4631">
        <v>-104102282</v>
      </c>
      <c r="H4631">
        <v>-117286220</v>
      </c>
      <c r="P4631">
        <v>37</v>
      </c>
      <c r="Q4631" t="s">
        <v>9305</v>
      </c>
    </row>
    <row r="4632" spans="1:17" x14ac:dyDescent="0.3">
      <c r="A4632" t="s">
        <v>4382</v>
      </c>
      <c r="B4632" t="str">
        <f>"300890"</f>
        <v>300890</v>
      </c>
      <c r="C4632" t="s">
        <v>9306</v>
      </c>
      <c r="D4632" t="s">
        <v>188</v>
      </c>
      <c r="F4632">
        <v>-71092155</v>
      </c>
      <c r="G4632">
        <v>-39077357</v>
      </c>
      <c r="H4632">
        <v>-11028659</v>
      </c>
      <c r="P4632">
        <v>63</v>
      </c>
      <c r="Q4632" t="s">
        <v>9307</v>
      </c>
    </row>
    <row r="4633" spans="1:17" x14ac:dyDescent="0.3">
      <c r="A4633" t="s">
        <v>4382</v>
      </c>
      <c r="B4633" t="str">
        <f>"300891"</f>
        <v>300891</v>
      </c>
      <c r="C4633" t="s">
        <v>9308</v>
      </c>
      <c r="D4633" t="s">
        <v>133</v>
      </c>
      <c r="F4633">
        <v>-51281189</v>
      </c>
      <c r="G4633">
        <v>-16569901</v>
      </c>
      <c r="H4633">
        <v>77297345</v>
      </c>
      <c r="P4633">
        <v>59</v>
      </c>
      <c r="Q4633" t="s">
        <v>9309</v>
      </c>
    </row>
    <row r="4634" spans="1:17" x14ac:dyDescent="0.3">
      <c r="A4634" t="s">
        <v>4382</v>
      </c>
      <c r="B4634" t="str">
        <f>"300892"</f>
        <v>300892</v>
      </c>
      <c r="C4634" t="s">
        <v>9310</v>
      </c>
      <c r="D4634" t="s">
        <v>120</v>
      </c>
      <c r="F4634">
        <v>-31256610</v>
      </c>
      <c r="G4634">
        <v>12349032</v>
      </c>
      <c r="H4634">
        <v>-60495806</v>
      </c>
      <c r="P4634">
        <v>99</v>
      </c>
      <c r="Q4634" t="s">
        <v>9311</v>
      </c>
    </row>
    <row r="4635" spans="1:17" x14ac:dyDescent="0.3">
      <c r="A4635" t="s">
        <v>4382</v>
      </c>
      <c r="B4635" t="str">
        <f>"300893"</f>
        <v>300893</v>
      </c>
      <c r="C4635" t="s">
        <v>9312</v>
      </c>
      <c r="D4635" t="s">
        <v>27</v>
      </c>
      <c r="F4635">
        <v>-102521401</v>
      </c>
      <c r="G4635">
        <v>5342559</v>
      </c>
      <c r="H4635">
        <v>32178409</v>
      </c>
      <c r="P4635">
        <v>49</v>
      </c>
      <c r="Q4635" t="s">
        <v>9313</v>
      </c>
    </row>
    <row r="4636" spans="1:17" x14ac:dyDescent="0.3">
      <c r="A4636" t="s">
        <v>4382</v>
      </c>
      <c r="B4636" t="str">
        <f>"300894"</f>
        <v>300894</v>
      </c>
      <c r="C4636" t="s">
        <v>9314</v>
      </c>
      <c r="D4636" t="s">
        <v>126</v>
      </c>
      <c r="F4636">
        <v>172521840</v>
      </c>
      <c r="G4636">
        <v>81891821</v>
      </c>
      <c r="H4636">
        <v>195521900</v>
      </c>
      <c r="P4636">
        <v>232</v>
      </c>
      <c r="Q4636" t="s">
        <v>9315</v>
      </c>
    </row>
    <row r="4637" spans="1:17" x14ac:dyDescent="0.3">
      <c r="A4637" t="s">
        <v>4382</v>
      </c>
      <c r="B4637" t="str">
        <f>"300895"</f>
        <v>300895</v>
      </c>
      <c r="C4637" t="s">
        <v>9316</v>
      </c>
      <c r="D4637" t="s">
        <v>212</v>
      </c>
      <c r="F4637">
        <v>-162472081</v>
      </c>
      <c r="G4637">
        <v>-32971782</v>
      </c>
      <c r="H4637">
        <v>-120809291</v>
      </c>
      <c r="P4637">
        <v>48</v>
      </c>
      <c r="Q4637" t="s">
        <v>9317</v>
      </c>
    </row>
    <row r="4638" spans="1:17" x14ac:dyDescent="0.3">
      <c r="A4638" t="s">
        <v>4382</v>
      </c>
      <c r="B4638" t="str">
        <f>"300896"</f>
        <v>300896</v>
      </c>
      <c r="C4638" t="s">
        <v>9318</v>
      </c>
      <c r="D4638" t="s">
        <v>481</v>
      </c>
      <c r="F4638">
        <v>655601476</v>
      </c>
      <c r="G4638">
        <v>239925950</v>
      </c>
      <c r="H4638">
        <v>197782657</v>
      </c>
      <c r="P4638">
        <v>1332</v>
      </c>
      <c r="Q4638" t="s">
        <v>9319</v>
      </c>
    </row>
    <row r="4639" spans="1:17" x14ac:dyDescent="0.3">
      <c r="A4639" t="s">
        <v>4382</v>
      </c>
      <c r="B4639" t="str">
        <f>"300897"</f>
        <v>300897</v>
      </c>
      <c r="C4639" t="s">
        <v>9320</v>
      </c>
      <c r="D4639" t="s">
        <v>78</v>
      </c>
      <c r="F4639">
        <v>-111908255</v>
      </c>
      <c r="G4639">
        <v>-72044952</v>
      </c>
      <c r="H4639">
        <v>-58869395</v>
      </c>
      <c r="P4639">
        <v>50</v>
      </c>
      <c r="Q4639" t="s">
        <v>9321</v>
      </c>
    </row>
    <row r="4640" spans="1:17" x14ac:dyDescent="0.3">
      <c r="A4640" t="s">
        <v>4382</v>
      </c>
      <c r="B4640" t="str">
        <f>"300898"</f>
        <v>300898</v>
      </c>
      <c r="C4640" t="s">
        <v>9322</v>
      </c>
      <c r="D4640" t="s">
        <v>123</v>
      </c>
      <c r="F4640">
        <v>-4294850</v>
      </c>
      <c r="G4640">
        <v>-43342699</v>
      </c>
      <c r="H4640">
        <v>55558763</v>
      </c>
      <c r="I4640">
        <v>11881239</v>
      </c>
      <c r="P4640">
        <v>73</v>
      </c>
      <c r="Q4640" t="s">
        <v>9323</v>
      </c>
    </row>
    <row r="4641" spans="1:17" x14ac:dyDescent="0.3">
      <c r="A4641" t="s">
        <v>4382</v>
      </c>
      <c r="B4641" t="str">
        <f>"300899"</f>
        <v>300899</v>
      </c>
      <c r="C4641" t="s">
        <v>9324</v>
      </c>
      <c r="D4641" t="s">
        <v>33</v>
      </c>
      <c r="F4641">
        <v>28382048</v>
      </c>
      <c r="G4641">
        <v>-4935218</v>
      </c>
      <c r="H4641">
        <v>26580172</v>
      </c>
      <c r="P4641">
        <v>58</v>
      </c>
      <c r="Q4641" t="s">
        <v>9325</v>
      </c>
    </row>
    <row r="4642" spans="1:17" x14ac:dyDescent="0.3">
      <c r="A4642" t="s">
        <v>4382</v>
      </c>
      <c r="B4642" t="str">
        <f>"300900"</f>
        <v>300900</v>
      </c>
      <c r="C4642" t="s">
        <v>9326</v>
      </c>
      <c r="D4642" t="s">
        <v>92</v>
      </c>
      <c r="F4642">
        <v>-358809239</v>
      </c>
      <c r="G4642">
        <v>-112063801</v>
      </c>
      <c r="H4642">
        <v>-76170043</v>
      </c>
      <c r="P4642">
        <v>76</v>
      </c>
      <c r="Q4642" t="s">
        <v>9327</v>
      </c>
    </row>
    <row r="4643" spans="1:17" x14ac:dyDescent="0.3">
      <c r="A4643" t="s">
        <v>4382</v>
      </c>
      <c r="B4643" t="str">
        <f>"300901"</f>
        <v>300901</v>
      </c>
      <c r="C4643" t="s">
        <v>9328</v>
      </c>
      <c r="D4643" t="s">
        <v>227</v>
      </c>
      <c r="F4643">
        <v>-113272159</v>
      </c>
      <c r="G4643">
        <v>30137269</v>
      </c>
      <c r="H4643">
        <v>-27595462</v>
      </c>
      <c r="P4643">
        <v>45</v>
      </c>
      <c r="Q4643" t="s">
        <v>9329</v>
      </c>
    </row>
    <row r="4644" spans="1:17" x14ac:dyDescent="0.3">
      <c r="A4644" t="s">
        <v>4382</v>
      </c>
      <c r="B4644" t="str">
        <f>"300902"</f>
        <v>300902</v>
      </c>
      <c r="C4644" t="s">
        <v>9330</v>
      </c>
      <c r="D4644" t="s">
        <v>78</v>
      </c>
      <c r="F4644">
        <v>-25312755</v>
      </c>
      <c r="G4644">
        <v>-50522818</v>
      </c>
      <c r="H4644">
        <v>-32767019</v>
      </c>
      <c r="P4644">
        <v>40</v>
      </c>
      <c r="Q4644" t="s">
        <v>9331</v>
      </c>
    </row>
    <row r="4645" spans="1:17" x14ac:dyDescent="0.3">
      <c r="A4645" t="s">
        <v>4382</v>
      </c>
      <c r="B4645" t="str">
        <f>"300903"</f>
        <v>300903</v>
      </c>
      <c r="C4645" t="s">
        <v>9332</v>
      </c>
      <c r="D4645" t="s">
        <v>150</v>
      </c>
      <c r="F4645">
        <v>-380906072</v>
      </c>
      <c r="G4645">
        <v>-27687406</v>
      </c>
      <c r="H4645">
        <v>1963227</v>
      </c>
      <c r="P4645">
        <v>61</v>
      </c>
      <c r="Q4645" t="s">
        <v>9333</v>
      </c>
    </row>
    <row r="4646" spans="1:17" x14ac:dyDescent="0.3">
      <c r="A4646" t="s">
        <v>4382</v>
      </c>
      <c r="B4646" t="str">
        <f>"300905"</f>
        <v>300905</v>
      </c>
      <c r="C4646" t="s">
        <v>9334</v>
      </c>
      <c r="D4646" t="s">
        <v>133</v>
      </c>
      <c r="F4646">
        <v>-190787846</v>
      </c>
      <c r="G4646">
        <v>17354106</v>
      </c>
      <c r="H4646">
        <v>21003674</v>
      </c>
      <c r="P4646">
        <v>54</v>
      </c>
      <c r="Q4646" t="s">
        <v>9335</v>
      </c>
    </row>
    <row r="4647" spans="1:17" x14ac:dyDescent="0.3">
      <c r="A4647" t="s">
        <v>4382</v>
      </c>
      <c r="B4647" t="str">
        <f>"300906"</f>
        <v>300906</v>
      </c>
      <c r="C4647" t="s">
        <v>9336</v>
      </c>
      <c r="D4647" t="s">
        <v>78</v>
      </c>
      <c r="F4647">
        <v>19614312</v>
      </c>
      <c r="G4647">
        <v>-20014536</v>
      </c>
      <c r="H4647">
        <v>9495534</v>
      </c>
      <c r="P4647">
        <v>60</v>
      </c>
      <c r="Q4647" t="s">
        <v>9337</v>
      </c>
    </row>
    <row r="4648" spans="1:17" x14ac:dyDescent="0.3">
      <c r="A4648" t="s">
        <v>4382</v>
      </c>
      <c r="B4648" t="str">
        <f>"300907"</f>
        <v>300907</v>
      </c>
      <c r="C4648" t="s">
        <v>9338</v>
      </c>
      <c r="D4648" t="s">
        <v>188</v>
      </c>
      <c r="F4648">
        <v>-130191445</v>
      </c>
      <c r="G4648">
        <v>6493253</v>
      </c>
      <c r="H4648">
        <v>56753400</v>
      </c>
      <c r="P4648">
        <v>36</v>
      </c>
      <c r="Q4648" t="s">
        <v>9339</v>
      </c>
    </row>
    <row r="4649" spans="1:17" x14ac:dyDescent="0.3">
      <c r="A4649" t="s">
        <v>4382</v>
      </c>
      <c r="B4649" t="str">
        <f>"300908"</f>
        <v>300908</v>
      </c>
      <c r="C4649" t="s">
        <v>9340</v>
      </c>
      <c r="D4649" t="s">
        <v>123</v>
      </c>
      <c r="F4649">
        <v>-111124196</v>
      </c>
      <c r="G4649">
        <v>118899138</v>
      </c>
      <c r="H4649">
        <v>105102312</v>
      </c>
      <c r="P4649">
        <v>173</v>
      </c>
      <c r="Q4649" t="s">
        <v>9341</v>
      </c>
    </row>
    <row r="4650" spans="1:17" x14ac:dyDescent="0.3">
      <c r="A4650" t="s">
        <v>4382</v>
      </c>
      <c r="B4650" t="str">
        <f>"300909"</f>
        <v>300909</v>
      </c>
      <c r="C4650" t="s">
        <v>9342</v>
      </c>
      <c r="D4650" t="s">
        <v>150</v>
      </c>
      <c r="F4650">
        <v>-124597265</v>
      </c>
      <c r="G4650">
        <v>-6697404</v>
      </c>
      <c r="H4650">
        <v>-61505320</v>
      </c>
      <c r="P4650">
        <v>65</v>
      </c>
      <c r="Q4650" t="s">
        <v>9343</v>
      </c>
    </row>
    <row r="4651" spans="1:17" x14ac:dyDescent="0.3">
      <c r="A4651" t="s">
        <v>4382</v>
      </c>
      <c r="B4651" t="str">
        <f>"300910"</f>
        <v>300910</v>
      </c>
      <c r="C4651" t="s">
        <v>9344</v>
      </c>
      <c r="D4651" t="s">
        <v>133</v>
      </c>
      <c r="F4651">
        <v>-111869874</v>
      </c>
      <c r="G4651">
        <v>111810547</v>
      </c>
      <c r="H4651">
        <v>2896500</v>
      </c>
      <c r="P4651">
        <v>116</v>
      </c>
      <c r="Q4651" t="s">
        <v>9345</v>
      </c>
    </row>
    <row r="4652" spans="1:17" x14ac:dyDescent="0.3">
      <c r="A4652" t="s">
        <v>4382</v>
      </c>
      <c r="B4652" t="str">
        <f>"300911"</f>
        <v>300911</v>
      </c>
      <c r="C4652" t="s">
        <v>9346</v>
      </c>
      <c r="D4652" t="s">
        <v>126</v>
      </c>
      <c r="F4652">
        <v>149502544</v>
      </c>
      <c r="G4652">
        <v>119229357</v>
      </c>
      <c r="H4652">
        <v>53301781</v>
      </c>
      <c r="P4652">
        <v>151</v>
      </c>
      <c r="Q4652" t="s">
        <v>9347</v>
      </c>
    </row>
    <row r="4653" spans="1:17" x14ac:dyDescent="0.3">
      <c r="A4653" t="s">
        <v>4382</v>
      </c>
      <c r="B4653" t="str">
        <f>"300912"</f>
        <v>300912</v>
      </c>
      <c r="C4653" t="s">
        <v>9348</v>
      </c>
      <c r="D4653" t="s">
        <v>27</v>
      </c>
      <c r="F4653">
        <v>-113142256</v>
      </c>
      <c r="G4653">
        <v>-1273906</v>
      </c>
      <c r="H4653">
        <v>-14714863</v>
      </c>
      <c r="P4653">
        <v>39</v>
      </c>
      <c r="Q4653" t="s">
        <v>9349</v>
      </c>
    </row>
    <row r="4654" spans="1:17" x14ac:dyDescent="0.3">
      <c r="A4654" t="s">
        <v>4382</v>
      </c>
      <c r="B4654" t="str">
        <f>"300913"</f>
        <v>300913</v>
      </c>
      <c r="C4654" t="s">
        <v>9350</v>
      </c>
      <c r="D4654" t="s">
        <v>100</v>
      </c>
      <c r="F4654">
        <v>-75061865</v>
      </c>
      <c r="G4654">
        <v>18947046</v>
      </c>
      <c r="H4654">
        <v>40169601</v>
      </c>
      <c r="P4654">
        <v>33</v>
      </c>
      <c r="Q4654" t="s">
        <v>9351</v>
      </c>
    </row>
    <row r="4655" spans="1:17" x14ac:dyDescent="0.3">
      <c r="A4655" t="s">
        <v>4382</v>
      </c>
      <c r="B4655" t="str">
        <f>"300915"</f>
        <v>300915</v>
      </c>
      <c r="C4655" t="s">
        <v>9352</v>
      </c>
      <c r="D4655" t="s">
        <v>123</v>
      </c>
      <c r="F4655">
        <v>-5112530</v>
      </c>
      <c r="G4655">
        <v>-26291630</v>
      </c>
      <c r="H4655">
        <v>-53094535</v>
      </c>
      <c r="P4655">
        <v>102</v>
      </c>
      <c r="Q4655" t="s">
        <v>9353</v>
      </c>
    </row>
    <row r="4656" spans="1:17" x14ac:dyDescent="0.3">
      <c r="A4656" t="s">
        <v>4382</v>
      </c>
      <c r="B4656" t="str">
        <f>"300916"</f>
        <v>300916</v>
      </c>
      <c r="C4656" t="s">
        <v>9354</v>
      </c>
      <c r="D4656" t="s">
        <v>150</v>
      </c>
      <c r="F4656">
        <v>4026589</v>
      </c>
      <c r="G4656">
        <v>95306332</v>
      </c>
      <c r="H4656">
        <v>641900</v>
      </c>
      <c r="P4656">
        <v>79</v>
      </c>
      <c r="Q4656" t="s">
        <v>9355</v>
      </c>
    </row>
    <row r="4657" spans="1:17" x14ac:dyDescent="0.3">
      <c r="A4657" t="s">
        <v>4382</v>
      </c>
      <c r="B4657" t="str">
        <f>"300917"</f>
        <v>300917</v>
      </c>
      <c r="C4657" t="s">
        <v>9356</v>
      </c>
      <c r="D4657" t="s">
        <v>30</v>
      </c>
      <c r="F4657">
        <v>80386274</v>
      </c>
      <c r="G4657">
        <v>56716473</v>
      </c>
      <c r="H4657">
        <v>-4113187</v>
      </c>
      <c r="P4657">
        <v>80</v>
      </c>
      <c r="Q4657" t="s">
        <v>9357</v>
      </c>
    </row>
    <row r="4658" spans="1:17" x14ac:dyDescent="0.3">
      <c r="A4658" t="s">
        <v>4382</v>
      </c>
      <c r="B4658" t="str">
        <f>"300918"</f>
        <v>300918</v>
      </c>
      <c r="C4658" t="s">
        <v>9358</v>
      </c>
      <c r="D4658" t="s">
        <v>227</v>
      </c>
      <c r="F4658">
        <v>-64269100</v>
      </c>
      <c r="G4658">
        <v>115782958</v>
      </c>
      <c r="H4658">
        <v>-10550300</v>
      </c>
      <c r="P4658">
        <v>38</v>
      </c>
      <c r="Q4658" t="s">
        <v>9359</v>
      </c>
    </row>
    <row r="4659" spans="1:17" x14ac:dyDescent="0.3">
      <c r="A4659" t="s">
        <v>4382</v>
      </c>
      <c r="B4659" t="str">
        <f>"300919"</f>
        <v>300919</v>
      </c>
      <c r="C4659" t="s">
        <v>9360</v>
      </c>
      <c r="D4659" t="s">
        <v>188</v>
      </c>
      <c r="F4659">
        <v>-3931165218</v>
      </c>
      <c r="G4659">
        <v>-124143700</v>
      </c>
      <c r="H4659">
        <v>-419217600</v>
      </c>
      <c r="P4659">
        <v>175</v>
      </c>
      <c r="Q4659" t="s">
        <v>9361</v>
      </c>
    </row>
    <row r="4660" spans="1:17" x14ac:dyDescent="0.3">
      <c r="A4660" t="s">
        <v>4382</v>
      </c>
      <c r="B4660" t="str">
        <f>"300920"</f>
        <v>300920</v>
      </c>
      <c r="C4660" t="s">
        <v>9362</v>
      </c>
      <c r="D4660" t="s">
        <v>133</v>
      </c>
      <c r="F4660">
        <v>-69015497</v>
      </c>
      <c r="G4660">
        <v>-2647574</v>
      </c>
      <c r="H4660">
        <v>29789772</v>
      </c>
      <c r="P4660">
        <v>46</v>
      </c>
      <c r="Q4660" t="s">
        <v>9363</v>
      </c>
    </row>
    <row r="4661" spans="1:17" x14ac:dyDescent="0.3">
      <c r="A4661" t="s">
        <v>4382</v>
      </c>
      <c r="B4661" t="str">
        <f>"300921"</f>
        <v>300921</v>
      </c>
      <c r="C4661" t="s">
        <v>9364</v>
      </c>
      <c r="D4661" t="s">
        <v>100</v>
      </c>
      <c r="F4661">
        <v>-10836406</v>
      </c>
      <c r="G4661">
        <v>56190894</v>
      </c>
      <c r="H4661">
        <v>37147400</v>
      </c>
      <c r="P4661">
        <v>39</v>
      </c>
      <c r="Q4661" t="s">
        <v>9365</v>
      </c>
    </row>
    <row r="4662" spans="1:17" x14ac:dyDescent="0.3">
      <c r="A4662" t="s">
        <v>4382</v>
      </c>
      <c r="B4662" t="str">
        <f>"300922"</f>
        <v>300922</v>
      </c>
      <c r="C4662" t="s">
        <v>9366</v>
      </c>
      <c r="D4662" t="s">
        <v>92</v>
      </c>
      <c r="F4662">
        <v>23376589</v>
      </c>
      <c r="G4662">
        <v>15184662</v>
      </c>
      <c r="H4662">
        <v>2173343</v>
      </c>
      <c r="I4662">
        <v>22445862</v>
      </c>
      <c r="P4662">
        <v>83</v>
      </c>
      <c r="Q4662" t="s">
        <v>9367</v>
      </c>
    </row>
    <row r="4663" spans="1:17" x14ac:dyDescent="0.3">
      <c r="A4663" t="s">
        <v>4382</v>
      </c>
      <c r="B4663" t="str">
        <f>"300923"</f>
        <v>300923</v>
      </c>
      <c r="C4663" t="s">
        <v>9368</v>
      </c>
      <c r="D4663" t="s">
        <v>78</v>
      </c>
      <c r="F4663">
        <v>-52450346</v>
      </c>
      <c r="G4663">
        <v>24689330</v>
      </c>
      <c r="H4663">
        <v>2723057</v>
      </c>
      <c r="P4663">
        <v>28</v>
      </c>
      <c r="Q4663" t="s">
        <v>9369</v>
      </c>
    </row>
    <row r="4664" spans="1:17" x14ac:dyDescent="0.3">
      <c r="A4664" t="s">
        <v>4382</v>
      </c>
      <c r="B4664" t="str">
        <f>"300925"</f>
        <v>300925</v>
      </c>
      <c r="C4664" t="s">
        <v>9370</v>
      </c>
      <c r="D4664" t="s">
        <v>212</v>
      </c>
      <c r="F4664">
        <v>-279064404</v>
      </c>
      <c r="G4664">
        <v>-112264592</v>
      </c>
      <c r="H4664">
        <v>-70264300</v>
      </c>
      <c r="P4664">
        <v>72</v>
      </c>
      <c r="Q4664" t="s">
        <v>9371</v>
      </c>
    </row>
    <row r="4665" spans="1:17" x14ac:dyDescent="0.3">
      <c r="A4665" t="s">
        <v>4382</v>
      </c>
      <c r="B4665" t="str">
        <f>"300926"</f>
        <v>300926</v>
      </c>
      <c r="C4665" t="s">
        <v>9372</v>
      </c>
      <c r="D4665" t="s">
        <v>27</v>
      </c>
      <c r="F4665">
        <v>-69696508</v>
      </c>
      <c r="G4665">
        <v>3306475</v>
      </c>
      <c r="H4665">
        <v>39505500</v>
      </c>
      <c r="P4665">
        <v>45</v>
      </c>
      <c r="Q4665" t="s">
        <v>9373</v>
      </c>
    </row>
    <row r="4666" spans="1:17" x14ac:dyDescent="0.3">
      <c r="A4666" t="s">
        <v>4382</v>
      </c>
      <c r="B4666" t="str">
        <f>"300927"</f>
        <v>300927</v>
      </c>
      <c r="C4666" t="s">
        <v>9374</v>
      </c>
      <c r="D4666" t="s">
        <v>133</v>
      </c>
      <c r="F4666">
        <v>-30947947</v>
      </c>
      <c r="G4666">
        <v>-12013081</v>
      </c>
      <c r="H4666">
        <v>27265200</v>
      </c>
      <c r="P4666">
        <v>44</v>
      </c>
      <c r="Q4666" t="s">
        <v>9375</v>
      </c>
    </row>
    <row r="4667" spans="1:17" x14ac:dyDescent="0.3">
      <c r="A4667" t="s">
        <v>4382</v>
      </c>
      <c r="B4667" t="str">
        <f>"300928"</f>
        <v>300928</v>
      </c>
      <c r="C4667" t="s">
        <v>9376</v>
      </c>
      <c r="D4667" t="s">
        <v>27</v>
      </c>
      <c r="F4667">
        <v>-86393639</v>
      </c>
      <c r="G4667">
        <v>-102218790</v>
      </c>
      <c r="H4667">
        <v>-82763214</v>
      </c>
      <c r="P4667">
        <v>27</v>
      </c>
      <c r="Q4667" t="s">
        <v>9377</v>
      </c>
    </row>
    <row r="4668" spans="1:17" x14ac:dyDescent="0.3">
      <c r="A4668" t="s">
        <v>4382</v>
      </c>
      <c r="B4668" t="str">
        <f>"300929"</f>
        <v>300929</v>
      </c>
      <c r="C4668" t="s">
        <v>9378</v>
      </c>
      <c r="D4668" t="s">
        <v>33</v>
      </c>
      <c r="F4668">
        <v>-172112378</v>
      </c>
      <c r="G4668">
        <v>8893920</v>
      </c>
      <c r="H4668">
        <v>64470800</v>
      </c>
      <c r="P4668">
        <v>48</v>
      </c>
      <c r="Q4668" t="s">
        <v>9379</v>
      </c>
    </row>
    <row r="4669" spans="1:17" x14ac:dyDescent="0.3">
      <c r="A4669" t="s">
        <v>4382</v>
      </c>
      <c r="B4669" t="str">
        <f>"300930"</f>
        <v>300930</v>
      </c>
      <c r="C4669" t="s">
        <v>9380</v>
      </c>
      <c r="D4669" t="s">
        <v>234</v>
      </c>
      <c r="F4669">
        <v>24779798</v>
      </c>
      <c r="G4669">
        <v>6983284</v>
      </c>
      <c r="H4669">
        <v>-17222240</v>
      </c>
      <c r="P4669">
        <v>75</v>
      </c>
      <c r="Q4669" t="s">
        <v>9381</v>
      </c>
    </row>
    <row r="4670" spans="1:17" x14ac:dyDescent="0.3">
      <c r="A4670" t="s">
        <v>4382</v>
      </c>
      <c r="B4670" t="str">
        <f>"300931"</f>
        <v>300931</v>
      </c>
      <c r="C4670" t="s">
        <v>9382</v>
      </c>
      <c r="D4670" t="s">
        <v>78</v>
      </c>
      <c r="F4670">
        <v>-88613515</v>
      </c>
      <c r="G4670">
        <v>-16489481</v>
      </c>
      <c r="H4670">
        <v>29283000</v>
      </c>
      <c r="P4670">
        <v>31</v>
      </c>
      <c r="Q4670" t="s">
        <v>9383</v>
      </c>
    </row>
    <row r="4671" spans="1:17" x14ac:dyDescent="0.3">
      <c r="A4671" t="s">
        <v>4382</v>
      </c>
      <c r="B4671" t="str">
        <f>"300932"</f>
        <v>300932</v>
      </c>
      <c r="C4671" t="s">
        <v>9384</v>
      </c>
      <c r="D4671" t="s">
        <v>188</v>
      </c>
      <c r="F4671">
        <v>-180297946</v>
      </c>
      <c r="G4671">
        <v>-18571258</v>
      </c>
      <c r="H4671">
        <v>67878200</v>
      </c>
      <c r="P4671">
        <v>30</v>
      </c>
      <c r="Q4671" t="s">
        <v>9385</v>
      </c>
    </row>
    <row r="4672" spans="1:17" x14ac:dyDescent="0.3">
      <c r="A4672" t="s">
        <v>4382</v>
      </c>
      <c r="B4672" t="str">
        <f>"300933"</f>
        <v>300933</v>
      </c>
      <c r="C4672" t="s">
        <v>9386</v>
      </c>
      <c r="D4672" t="s">
        <v>188</v>
      </c>
      <c r="F4672">
        <v>-401087965</v>
      </c>
      <c r="G4672">
        <v>-307276340</v>
      </c>
      <c r="H4672">
        <v>-141703900</v>
      </c>
      <c r="P4672">
        <v>30</v>
      </c>
      <c r="Q4672" t="s">
        <v>9387</v>
      </c>
    </row>
    <row r="4673" spans="1:17" x14ac:dyDescent="0.3">
      <c r="A4673" t="s">
        <v>4382</v>
      </c>
      <c r="B4673" t="str">
        <f>"300935"</f>
        <v>300935</v>
      </c>
      <c r="C4673" t="s">
        <v>9388</v>
      </c>
      <c r="D4673" t="s">
        <v>212</v>
      </c>
      <c r="F4673">
        <v>-40956516</v>
      </c>
      <c r="G4673">
        <v>12042124</v>
      </c>
      <c r="H4673">
        <v>33525900</v>
      </c>
      <c r="P4673">
        <v>56</v>
      </c>
      <c r="Q4673" t="s">
        <v>9389</v>
      </c>
    </row>
    <row r="4674" spans="1:17" x14ac:dyDescent="0.3">
      <c r="A4674" t="s">
        <v>4382</v>
      </c>
      <c r="B4674" t="str">
        <f>"300936"</f>
        <v>300936</v>
      </c>
      <c r="C4674" t="s">
        <v>9390</v>
      </c>
      <c r="D4674" t="s">
        <v>150</v>
      </c>
      <c r="F4674">
        <v>-93934180</v>
      </c>
      <c r="G4674">
        <v>-15579583</v>
      </c>
      <c r="H4674">
        <v>-3107600</v>
      </c>
      <c r="P4674">
        <v>54</v>
      </c>
      <c r="Q4674" t="s">
        <v>9391</v>
      </c>
    </row>
    <row r="4675" spans="1:17" x14ac:dyDescent="0.3">
      <c r="A4675" t="s">
        <v>4382</v>
      </c>
      <c r="B4675" t="str">
        <f>"300937"</f>
        <v>300937</v>
      </c>
      <c r="C4675" t="s">
        <v>9392</v>
      </c>
      <c r="D4675" t="s">
        <v>113</v>
      </c>
      <c r="F4675">
        <v>-198683394</v>
      </c>
      <c r="G4675">
        <v>48267448</v>
      </c>
      <c r="H4675">
        <v>35397016</v>
      </c>
      <c r="P4675">
        <v>35</v>
      </c>
      <c r="Q4675" t="s">
        <v>9393</v>
      </c>
    </row>
    <row r="4676" spans="1:17" x14ac:dyDescent="0.3">
      <c r="A4676" t="s">
        <v>4382</v>
      </c>
      <c r="B4676" t="str">
        <f>"300938"</f>
        <v>300938</v>
      </c>
      <c r="C4676" t="s">
        <v>9394</v>
      </c>
      <c r="D4676" t="s">
        <v>110</v>
      </c>
      <c r="F4676">
        <v>-70374658</v>
      </c>
      <c r="G4676">
        <v>-31222591</v>
      </c>
      <c r="H4676">
        <v>-22464690</v>
      </c>
      <c r="P4676">
        <v>43</v>
      </c>
      <c r="Q4676" t="s">
        <v>9395</v>
      </c>
    </row>
    <row r="4677" spans="1:17" x14ac:dyDescent="0.3">
      <c r="A4677" t="s">
        <v>4382</v>
      </c>
      <c r="B4677" t="str">
        <f>"300939"</f>
        <v>300939</v>
      </c>
      <c r="C4677" t="s">
        <v>9396</v>
      </c>
      <c r="D4677" t="s">
        <v>150</v>
      </c>
      <c r="F4677">
        <v>-28471405</v>
      </c>
      <c r="G4677">
        <v>40073921</v>
      </c>
      <c r="H4677">
        <v>126981281</v>
      </c>
      <c r="P4677">
        <v>31</v>
      </c>
      <c r="Q4677" t="s">
        <v>9397</v>
      </c>
    </row>
    <row r="4678" spans="1:17" x14ac:dyDescent="0.3">
      <c r="A4678" t="s">
        <v>4382</v>
      </c>
      <c r="B4678" t="str">
        <f>"300940"</f>
        <v>300940</v>
      </c>
      <c r="C4678" t="s">
        <v>9398</v>
      </c>
      <c r="D4678" t="s">
        <v>150</v>
      </c>
      <c r="F4678">
        <v>-17035164</v>
      </c>
      <c r="G4678">
        <v>-48413489</v>
      </c>
      <c r="H4678">
        <v>-7818900</v>
      </c>
      <c r="P4678">
        <v>39</v>
      </c>
      <c r="Q4678" t="s">
        <v>9399</v>
      </c>
    </row>
    <row r="4679" spans="1:17" x14ac:dyDescent="0.3">
      <c r="A4679" t="s">
        <v>4382</v>
      </c>
      <c r="B4679" t="str">
        <f>"300941"</f>
        <v>300941</v>
      </c>
      <c r="C4679" t="s">
        <v>9400</v>
      </c>
      <c r="D4679" t="s">
        <v>212</v>
      </c>
      <c r="F4679">
        <v>-78534339</v>
      </c>
      <c r="G4679">
        <v>-40062842</v>
      </c>
      <c r="H4679">
        <v>-59321000</v>
      </c>
      <c r="I4679">
        <v>-65867314</v>
      </c>
      <c r="P4679">
        <v>69</v>
      </c>
      <c r="Q4679" t="s">
        <v>9401</v>
      </c>
    </row>
    <row r="4680" spans="1:17" x14ac:dyDescent="0.3">
      <c r="A4680" t="s">
        <v>4382</v>
      </c>
      <c r="B4680" t="str">
        <f>"300942"</f>
        <v>300942</v>
      </c>
      <c r="C4680" t="s">
        <v>9402</v>
      </c>
      <c r="D4680" t="s">
        <v>113</v>
      </c>
      <c r="F4680">
        <v>149307464</v>
      </c>
      <c r="G4680">
        <v>-11356088</v>
      </c>
      <c r="H4680">
        <v>18556600</v>
      </c>
      <c r="P4680">
        <v>98</v>
      </c>
      <c r="Q4680" t="s">
        <v>9403</v>
      </c>
    </row>
    <row r="4681" spans="1:17" x14ac:dyDescent="0.3">
      <c r="A4681" t="s">
        <v>4382</v>
      </c>
      <c r="B4681" t="str">
        <f>"300943"</f>
        <v>300943</v>
      </c>
      <c r="C4681" t="s">
        <v>9404</v>
      </c>
      <c r="D4681" t="s">
        <v>78</v>
      </c>
      <c r="F4681">
        <v>-28510003</v>
      </c>
      <c r="G4681">
        <v>6991569</v>
      </c>
      <c r="H4681">
        <v>65193203</v>
      </c>
      <c r="I4681">
        <v>-548213</v>
      </c>
      <c r="P4681">
        <v>35</v>
      </c>
      <c r="Q4681" t="s">
        <v>9405</v>
      </c>
    </row>
    <row r="4682" spans="1:17" x14ac:dyDescent="0.3">
      <c r="A4682" t="s">
        <v>4382</v>
      </c>
      <c r="B4682" t="str">
        <f>"300945"</f>
        <v>300945</v>
      </c>
      <c r="C4682" t="s">
        <v>9406</v>
      </c>
      <c r="D4682" t="s">
        <v>227</v>
      </c>
      <c r="F4682">
        <v>-110460389</v>
      </c>
      <c r="G4682">
        <v>79238958</v>
      </c>
      <c r="H4682">
        <v>55572700</v>
      </c>
      <c r="P4682">
        <v>36</v>
      </c>
      <c r="Q4682" t="s">
        <v>9407</v>
      </c>
    </row>
    <row r="4683" spans="1:17" x14ac:dyDescent="0.3">
      <c r="A4683" t="s">
        <v>4382</v>
      </c>
      <c r="B4683" t="str">
        <f>"300946"</f>
        <v>300946</v>
      </c>
      <c r="C4683" t="s">
        <v>9408</v>
      </c>
      <c r="D4683" t="s">
        <v>78</v>
      </c>
      <c r="F4683">
        <v>-38850414</v>
      </c>
      <c r="G4683">
        <v>-47579295</v>
      </c>
      <c r="H4683">
        <v>9223200</v>
      </c>
      <c r="P4683">
        <v>75</v>
      </c>
      <c r="Q4683" t="s">
        <v>9409</v>
      </c>
    </row>
    <row r="4684" spans="1:17" x14ac:dyDescent="0.3">
      <c r="A4684" t="s">
        <v>4382</v>
      </c>
      <c r="B4684" t="str">
        <f>"300947"</f>
        <v>300947</v>
      </c>
      <c r="C4684" t="s">
        <v>9410</v>
      </c>
      <c r="D4684" t="s">
        <v>120</v>
      </c>
      <c r="F4684">
        <v>346475905</v>
      </c>
      <c r="G4684">
        <v>71419974</v>
      </c>
      <c r="H4684">
        <v>75235155</v>
      </c>
      <c r="P4684">
        <v>28</v>
      </c>
      <c r="Q4684" t="s">
        <v>9411</v>
      </c>
    </row>
    <row r="4685" spans="1:17" x14ac:dyDescent="0.3">
      <c r="A4685" t="s">
        <v>4382</v>
      </c>
      <c r="B4685" t="str">
        <f>"300948"</f>
        <v>300948</v>
      </c>
      <c r="C4685" t="s">
        <v>9412</v>
      </c>
      <c r="D4685" t="s">
        <v>95</v>
      </c>
      <c r="F4685">
        <v>-110356217</v>
      </c>
      <c r="G4685">
        <v>63429361</v>
      </c>
      <c r="H4685">
        <v>28136645</v>
      </c>
      <c r="P4685">
        <v>38</v>
      </c>
      <c r="Q4685" t="s">
        <v>9413</v>
      </c>
    </row>
    <row r="4686" spans="1:17" x14ac:dyDescent="0.3">
      <c r="A4686" t="s">
        <v>4382</v>
      </c>
      <c r="B4686" t="str">
        <f>"300949"</f>
        <v>300949</v>
      </c>
      <c r="C4686" t="s">
        <v>9414</v>
      </c>
      <c r="D4686" t="s">
        <v>95</v>
      </c>
      <c r="F4686">
        <v>-94881697</v>
      </c>
      <c r="P4686">
        <v>39</v>
      </c>
      <c r="Q4686" t="s">
        <v>9415</v>
      </c>
    </row>
    <row r="4687" spans="1:17" x14ac:dyDescent="0.3">
      <c r="A4687" t="s">
        <v>4382</v>
      </c>
      <c r="B4687" t="str">
        <f>"300950"</f>
        <v>300950</v>
      </c>
      <c r="C4687" t="s">
        <v>9416</v>
      </c>
      <c r="D4687" t="s">
        <v>78</v>
      </c>
      <c r="F4687">
        <v>6559881</v>
      </c>
      <c r="G4687">
        <v>64698153</v>
      </c>
      <c r="P4687">
        <v>58</v>
      </c>
      <c r="Q4687" t="s">
        <v>9417</v>
      </c>
    </row>
    <row r="4688" spans="1:17" x14ac:dyDescent="0.3">
      <c r="A4688" t="s">
        <v>4382</v>
      </c>
      <c r="B4688" t="str">
        <f>"300951"</f>
        <v>300951</v>
      </c>
      <c r="C4688" t="s">
        <v>9418</v>
      </c>
      <c r="D4688" t="s">
        <v>150</v>
      </c>
      <c r="F4688">
        <v>167874626</v>
      </c>
      <c r="G4688">
        <v>55982309</v>
      </c>
      <c r="P4688">
        <v>67</v>
      </c>
      <c r="Q4688" t="s">
        <v>9419</v>
      </c>
    </row>
    <row r="4689" spans="1:17" x14ac:dyDescent="0.3">
      <c r="A4689" t="s">
        <v>4382</v>
      </c>
      <c r="B4689" t="str">
        <f>"300952"</f>
        <v>300952</v>
      </c>
      <c r="C4689" t="s">
        <v>9420</v>
      </c>
      <c r="D4689" t="s">
        <v>227</v>
      </c>
      <c r="F4689">
        <v>-135358824</v>
      </c>
      <c r="P4689">
        <v>38</v>
      </c>
      <c r="Q4689" t="s">
        <v>9421</v>
      </c>
    </row>
    <row r="4690" spans="1:17" x14ac:dyDescent="0.3">
      <c r="A4690" t="s">
        <v>4382</v>
      </c>
      <c r="B4690" t="str">
        <f>"300953"</f>
        <v>300953</v>
      </c>
      <c r="C4690" t="s">
        <v>9422</v>
      </c>
      <c r="D4690" t="s">
        <v>78</v>
      </c>
      <c r="F4690">
        <v>-547513604</v>
      </c>
      <c r="G4690">
        <v>-122756730</v>
      </c>
      <c r="P4690">
        <v>84</v>
      </c>
      <c r="Q4690" t="s">
        <v>9423</v>
      </c>
    </row>
    <row r="4691" spans="1:17" x14ac:dyDescent="0.3">
      <c r="A4691" t="s">
        <v>4382</v>
      </c>
      <c r="B4691" t="str">
        <f>"300955"</f>
        <v>300955</v>
      </c>
      <c r="C4691" t="s">
        <v>9424</v>
      </c>
      <c r="D4691" t="s">
        <v>481</v>
      </c>
      <c r="F4691">
        <v>-212907943</v>
      </c>
      <c r="G4691">
        <v>-45441403</v>
      </c>
      <c r="P4691">
        <v>43</v>
      </c>
      <c r="Q4691" t="s">
        <v>9425</v>
      </c>
    </row>
    <row r="4692" spans="1:17" x14ac:dyDescent="0.3">
      <c r="A4692" t="s">
        <v>4382</v>
      </c>
      <c r="B4692" t="str">
        <f>"300956"</f>
        <v>300956</v>
      </c>
      <c r="C4692" t="s">
        <v>9426</v>
      </c>
      <c r="D4692" t="s">
        <v>150</v>
      </c>
      <c r="F4692">
        <v>-382108822</v>
      </c>
      <c r="G4692">
        <v>-44753332</v>
      </c>
      <c r="P4692">
        <v>45</v>
      </c>
      <c r="Q4692" t="s">
        <v>9427</v>
      </c>
    </row>
    <row r="4693" spans="1:17" x14ac:dyDescent="0.3">
      <c r="A4693" t="s">
        <v>4382</v>
      </c>
      <c r="B4693" t="str">
        <f>"300957"</f>
        <v>300957</v>
      </c>
      <c r="C4693" t="s">
        <v>9428</v>
      </c>
      <c r="D4693" t="s">
        <v>481</v>
      </c>
      <c r="F4693">
        <v>181138719</v>
      </c>
      <c r="G4693">
        <v>4402241</v>
      </c>
      <c r="P4693">
        <v>350</v>
      </c>
      <c r="Q4693" t="s">
        <v>9429</v>
      </c>
    </row>
    <row r="4694" spans="1:17" x14ac:dyDescent="0.3">
      <c r="A4694" t="s">
        <v>4382</v>
      </c>
      <c r="B4694" t="str">
        <f>"300958"</f>
        <v>300958</v>
      </c>
      <c r="C4694" t="s">
        <v>9430</v>
      </c>
      <c r="D4694" t="s">
        <v>33</v>
      </c>
      <c r="F4694">
        <v>-31402351</v>
      </c>
      <c r="G4694">
        <v>-57580962</v>
      </c>
      <c r="H4694">
        <v>-131924836</v>
      </c>
      <c r="P4694">
        <v>29</v>
      </c>
      <c r="Q4694" t="s">
        <v>9431</v>
      </c>
    </row>
    <row r="4695" spans="1:17" x14ac:dyDescent="0.3">
      <c r="A4695" t="s">
        <v>4382</v>
      </c>
      <c r="B4695" t="str">
        <f>"300959"</f>
        <v>300959</v>
      </c>
      <c r="C4695" t="s">
        <v>9432</v>
      </c>
      <c r="D4695" t="s">
        <v>100</v>
      </c>
      <c r="F4695">
        <v>3888347</v>
      </c>
      <c r="G4695">
        <v>60730590</v>
      </c>
      <c r="P4695">
        <v>31</v>
      </c>
      <c r="Q4695" t="s">
        <v>9433</v>
      </c>
    </row>
    <row r="4696" spans="1:17" x14ac:dyDescent="0.3">
      <c r="A4696" t="s">
        <v>4382</v>
      </c>
      <c r="B4696" t="str">
        <f>"300960"</f>
        <v>300960</v>
      </c>
      <c r="C4696" t="s">
        <v>9434</v>
      </c>
      <c r="D4696" t="s">
        <v>78</v>
      </c>
      <c r="F4696">
        <v>-62812285</v>
      </c>
      <c r="G4696">
        <v>27715323</v>
      </c>
      <c r="P4696">
        <v>26</v>
      </c>
      <c r="Q4696" t="s">
        <v>9435</v>
      </c>
    </row>
    <row r="4697" spans="1:17" x14ac:dyDescent="0.3">
      <c r="A4697" t="s">
        <v>4382</v>
      </c>
      <c r="B4697" t="str">
        <f>"300961"</f>
        <v>300961</v>
      </c>
      <c r="C4697" t="s">
        <v>9436</v>
      </c>
      <c r="D4697" t="s">
        <v>33</v>
      </c>
      <c r="F4697">
        <v>-382940635</v>
      </c>
      <c r="P4697">
        <v>27</v>
      </c>
      <c r="Q4697" t="s">
        <v>9437</v>
      </c>
    </row>
    <row r="4698" spans="1:17" x14ac:dyDescent="0.3">
      <c r="A4698" t="s">
        <v>4382</v>
      </c>
      <c r="B4698" t="str">
        <f>"300962"</f>
        <v>300962</v>
      </c>
      <c r="C4698" t="s">
        <v>9438</v>
      </c>
      <c r="D4698" t="s">
        <v>110</v>
      </c>
      <c r="F4698">
        <v>123250209</v>
      </c>
      <c r="G4698">
        <v>43438637</v>
      </c>
      <c r="P4698">
        <v>32</v>
      </c>
      <c r="Q4698" t="s">
        <v>9439</v>
      </c>
    </row>
    <row r="4699" spans="1:17" x14ac:dyDescent="0.3">
      <c r="A4699" t="s">
        <v>4382</v>
      </c>
      <c r="B4699" t="str">
        <f>"300963"</f>
        <v>300963</v>
      </c>
      <c r="C4699" t="s">
        <v>9440</v>
      </c>
      <c r="D4699" t="s">
        <v>234</v>
      </c>
      <c r="F4699">
        <v>-118140610</v>
      </c>
      <c r="G4699">
        <v>12748925</v>
      </c>
      <c r="P4699">
        <v>35</v>
      </c>
      <c r="Q4699" t="s">
        <v>9441</v>
      </c>
    </row>
    <row r="4700" spans="1:17" x14ac:dyDescent="0.3">
      <c r="A4700" t="s">
        <v>4382</v>
      </c>
      <c r="B4700" t="str">
        <f>"300964"</f>
        <v>300964</v>
      </c>
      <c r="C4700" t="s">
        <v>9442</v>
      </c>
      <c r="D4700" t="s">
        <v>150</v>
      </c>
      <c r="F4700">
        <v>-15625499</v>
      </c>
      <c r="P4700">
        <v>20</v>
      </c>
      <c r="Q4700" t="s">
        <v>9443</v>
      </c>
    </row>
    <row r="4701" spans="1:17" x14ac:dyDescent="0.3">
      <c r="A4701" t="s">
        <v>4382</v>
      </c>
      <c r="B4701" t="str">
        <f>"300965"</f>
        <v>300965</v>
      </c>
      <c r="C4701" t="s">
        <v>9444</v>
      </c>
      <c r="D4701" t="s">
        <v>92</v>
      </c>
      <c r="F4701">
        <v>31620425</v>
      </c>
      <c r="P4701">
        <v>31</v>
      </c>
      <c r="Q4701" t="s">
        <v>9445</v>
      </c>
    </row>
    <row r="4702" spans="1:17" x14ac:dyDescent="0.3">
      <c r="A4702" t="s">
        <v>4382</v>
      </c>
      <c r="B4702" t="str">
        <f>"300966"</f>
        <v>300966</v>
      </c>
      <c r="C4702" t="s">
        <v>9446</v>
      </c>
      <c r="D4702" t="s">
        <v>113</v>
      </c>
      <c r="F4702">
        <v>-62138011</v>
      </c>
      <c r="G4702">
        <v>2611545</v>
      </c>
      <c r="P4702">
        <v>32</v>
      </c>
      <c r="Q4702" t="s">
        <v>9447</v>
      </c>
    </row>
    <row r="4703" spans="1:17" x14ac:dyDescent="0.3">
      <c r="A4703" t="s">
        <v>4382</v>
      </c>
      <c r="B4703" t="str">
        <f>"300967"</f>
        <v>300967</v>
      </c>
      <c r="C4703" t="s">
        <v>9448</v>
      </c>
      <c r="D4703" t="s">
        <v>205</v>
      </c>
      <c r="F4703">
        <v>27720430</v>
      </c>
      <c r="G4703">
        <v>-55662073</v>
      </c>
      <c r="H4703">
        <v>53603591</v>
      </c>
      <c r="P4703">
        <v>34</v>
      </c>
      <c r="Q4703" t="s">
        <v>9449</v>
      </c>
    </row>
    <row r="4704" spans="1:17" x14ac:dyDescent="0.3">
      <c r="A4704" t="s">
        <v>4382</v>
      </c>
      <c r="B4704" t="str">
        <f>"300968"</f>
        <v>300968</v>
      </c>
      <c r="C4704" t="s">
        <v>9450</v>
      </c>
      <c r="D4704" t="s">
        <v>150</v>
      </c>
      <c r="F4704">
        <v>18319559</v>
      </c>
      <c r="G4704">
        <v>144962743</v>
      </c>
      <c r="H4704">
        <v>104867318</v>
      </c>
      <c r="P4704">
        <v>31</v>
      </c>
      <c r="Q4704" t="s">
        <v>9451</v>
      </c>
    </row>
    <row r="4705" spans="1:17" x14ac:dyDescent="0.3">
      <c r="A4705" t="s">
        <v>4382</v>
      </c>
      <c r="B4705" t="str">
        <f>"300969"</f>
        <v>300969</v>
      </c>
      <c r="C4705" t="s">
        <v>9452</v>
      </c>
      <c r="D4705" t="s">
        <v>27</v>
      </c>
      <c r="F4705">
        <v>-54278640</v>
      </c>
      <c r="P4705">
        <v>42</v>
      </c>
      <c r="Q4705" t="s">
        <v>9453</v>
      </c>
    </row>
    <row r="4706" spans="1:17" x14ac:dyDescent="0.3">
      <c r="A4706" t="s">
        <v>4382</v>
      </c>
      <c r="B4706" t="str">
        <f>"300970"</f>
        <v>300970</v>
      </c>
      <c r="C4706" t="s">
        <v>9454</v>
      </c>
      <c r="D4706" t="s">
        <v>205</v>
      </c>
      <c r="F4706">
        <v>-149155460</v>
      </c>
      <c r="P4706">
        <v>25</v>
      </c>
      <c r="Q4706" t="s">
        <v>9455</v>
      </c>
    </row>
    <row r="4707" spans="1:17" x14ac:dyDescent="0.3">
      <c r="A4707" t="s">
        <v>4382</v>
      </c>
      <c r="B4707" t="str">
        <f>"300971"</f>
        <v>300971</v>
      </c>
      <c r="C4707" t="s">
        <v>9456</v>
      </c>
      <c r="D4707" t="s">
        <v>78</v>
      </c>
      <c r="F4707">
        <v>18565769</v>
      </c>
      <c r="G4707">
        <v>19255876</v>
      </c>
      <c r="P4707">
        <v>39</v>
      </c>
      <c r="Q4707" t="s">
        <v>9457</v>
      </c>
    </row>
    <row r="4708" spans="1:17" x14ac:dyDescent="0.3">
      <c r="A4708" t="s">
        <v>4382</v>
      </c>
      <c r="B4708" t="str">
        <f>"300972"</f>
        <v>300972</v>
      </c>
      <c r="C4708" t="s">
        <v>9458</v>
      </c>
      <c r="D4708" t="s">
        <v>205</v>
      </c>
      <c r="F4708">
        <v>12643597</v>
      </c>
      <c r="G4708">
        <v>74951545</v>
      </c>
      <c r="P4708">
        <v>22</v>
      </c>
      <c r="Q4708" t="s">
        <v>9459</v>
      </c>
    </row>
    <row r="4709" spans="1:17" x14ac:dyDescent="0.3">
      <c r="A4709" t="s">
        <v>4382</v>
      </c>
      <c r="B4709" t="str">
        <f>"300973"</f>
        <v>300973</v>
      </c>
      <c r="C4709" t="s">
        <v>9460</v>
      </c>
      <c r="D4709" t="s">
        <v>123</v>
      </c>
      <c r="F4709">
        <v>-397949769</v>
      </c>
      <c r="G4709">
        <v>57462095</v>
      </c>
      <c r="P4709">
        <v>140</v>
      </c>
      <c r="Q4709" t="s">
        <v>9461</v>
      </c>
    </row>
    <row r="4710" spans="1:17" x14ac:dyDescent="0.3">
      <c r="A4710" t="s">
        <v>4382</v>
      </c>
      <c r="B4710" t="str">
        <f>"300975"</f>
        <v>300975</v>
      </c>
      <c r="C4710" t="s">
        <v>9462</v>
      </c>
      <c r="D4710" t="s">
        <v>150</v>
      </c>
      <c r="F4710">
        <v>-756694893</v>
      </c>
      <c r="G4710">
        <v>-309484131</v>
      </c>
      <c r="H4710">
        <v>56148987</v>
      </c>
      <c r="P4710">
        <v>30</v>
      </c>
      <c r="Q4710" t="s">
        <v>9463</v>
      </c>
    </row>
    <row r="4711" spans="1:17" x14ac:dyDescent="0.3">
      <c r="A4711" t="s">
        <v>4382</v>
      </c>
      <c r="B4711" t="str">
        <f>"300976"</f>
        <v>300976</v>
      </c>
      <c r="C4711" t="s">
        <v>9464</v>
      </c>
      <c r="D4711" t="s">
        <v>150</v>
      </c>
      <c r="F4711">
        <v>-135619987</v>
      </c>
      <c r="G4711">
        <v>19264661</v>
      </c>
      <c r="P4711">
        <v>35</v>
      </c>
      <c r="Q4711" t="s">
        <v>9465</v>
      </c>
    </row>
    <row r="4712" spans="1:17" x14ac:dyDescent="0.3">
      <c r="A4712" t="s">
        <v>4382</v>
      </c>
      <c r="B4712" t="str">
        <f>"300977"</f>
        <v>300977</v>
      </c>
      <c r="C4712" t="s">
        <v>9466</v>
      </c>
      <c r="D4712" t="s">
        <v>95</v>
      </c>
      <c r="F4712">
        <v>-39120327</v>
      </c>
      <c r="P4712">
        <v>46</v>
      </c>
      <c r="Q4712" t="s">
        <v>9467</v>
      </c>
    </row>
    <row r="4713" spans="1:17" x14ac:dyDescent="0.3">
      <c r="A4713" t="s">
        <v>4382</v>
      </c>
      <c r="B4713" t="str">
        <f>"300978"</f>
        <v>300978</v>
      </c>
      <c r="C4713" t="s">
        <v>9468</v>
      </c>
      <c r="D4713" t="s">
        <v>27</v>
      </c>
      <c r="F4713">
        <v>31470442</v>
      </c>
      <c r="P4713">
        <v>37</v>
      </c>
      <c r="Q4713" t="s">
        <v>9469</v>
      </c>
    </row>
    <row r="4714" spans="1:17" x14ac:dyDescent="0.3">
      <c r="A4714" t="s">
        <v>4382</v>
      </c>
      <c r="B4714" t="str">
        <f>"300979"</f>
        <v>300979</v>
      </c>
      <c r="C4714" t="s">
        <v>9470</v>
      </c>
      <c r="D4714" t="s">
        <v>227</v>
      </c>
      <c r="F4714">
        <v>979029643</v>
      </c>
      <c r="G4714">
        <v>2253373957</v>
      </c>
      <c r="P4714">
        <v>98</v>
      </c>
      <c r="Q4714" t="s">
        <v>9471</v>
      </c>
    </row>
    <row r="4715" spans="1:17" x14ac:dyDescent="0.3">
      <c r="A4715" t="s">
        <v>4382</v>
      </c>
      <c r="B4715" t="str">
        <f>"300980"</f>
        <v>300980</v>
      </c>
      <c r="C4715" t="s">
        <v>9472</v>
      </c>
      <c r="D4715" t="s">
        <v>133</v>
      </c>
      <c r="F4715">
        <v>-86120141</v>
      </c>
      <c r="P4715">
        <v>77</v>
      </c>
      <c r="Q4715" t="s">
        <v>9473</v>
      </c>
    </row>
    <row r="4716" spans="1:17" x14ac:dyDescent="0.3">
      <c r="A4716" t="s">
        <v>4382</v>
      </c>
      <c r="B4716" t="str">
        <f>"300981"</f>
        <v>300981</v>
      </c>
      <c r="C4716" t="s">
        <v>9474</v>
      </c>
      <c r="D4716" t="s">
        <v>113</v>
      </c>
      <c r="F4716">
        <v>1163393112</v>
      </c>
      <c r="P4716">
        <v>127</v>
      </c>
      <c r="Q4716" t="s">
        <v>9475</v>
      </c>
    </row>
    <row r="4717" spans="1:17" x14ac:dyDescent="0.3">
      <c r="A4717" t="s">
        <v>4382</v>
      </c>
      <c r="B4717" t="str">
        <f>"300982"</f>
        <v>300982</v>
      </c>
      <c r="C4717" t="s">
        <v>9476</v>
      </c>
      <c r="D4717" t="s">
        <v>95</v>
      </c>
      <c r="F4717">
        <v>-260414425</v>
      </c>
      <c r="G4717">
        <v>35480949</v>
      </c>
      <c r="P4717">
        <v>65</v>
      </c>
      <c r="Q4717" t="s">
        <v>9477</v>
      </c>
    </row>
    <row r="4718" spans="1:17" x14ac:dyDescent="0.3">
      <c r="A4718" t="s">
        <v>4382</v>
      </c>
      <c r="B4718" t="str">
        <f>"300983"</f>
        <v>300983</v>
      </c>
      <c r="C4718" t="s">
        <v>9478</v>
      </c>
      <c r="D4718" t="s">
        <v>95</v>
      </c>
      <c r="F4718">
        <v>-230212896</v>
      </c>
      <c r="P4718">
        <v>34</v>
      </c>
      <c r="Q4718" t="s">
        <v>9479</v>
      </c>
    </row>
    <row r="4719" spans="1:17" x14ac:dyDescent="0.3">
      <c r="A4719" t="s">
        <v>4382</v>
      </c>
      <c r="B4719" t="str">
        <f>"300984"</f>
        <v>300984</v>
      </c>
      <c r="C4719" t="s">
        <v>9480</v>
      </c>
      <c r="D4719" t="s">
        <v>78</v>
      </c>
      <c r="F4719">
        <v>-183393629</v>
      </c>
      <c r="P4719">
        <v>18</v>
      </c>
      <c r="Q4719" t="s">
        <v>9481</v>
      </c>
    </row>
    <row r="4720" spans="1:17" x14ac:dyDescent="0.3">
      <c r="A4720" t="s">
        <v>4382</v>
      </c>
      <c r="B4720" t="str">
        <f>"300985"</f>
        <v>300985</v>
      </c>
      <c r="C4720" t="s">
        <v>9482</v>
      </c>
      <c r="D4720" t="s">
        <v>78</v>
      </c>
      <c r="F4720">
        <v>-177519816</v>
      </c>
      <c r="G4720">
        <v>-164642739</v>
      </c>
      <c r="P4720">
        <v>32</v>
      </c>
      <c r="Q4720" t="s">
        <v>9483</v>
      </c>
    </row>
    <row r="4721" spans="1:17" x14ac:dyDescent="0.3">
      <c r="A4721" t="s">
        <v>4382</v>
      </c>
      <c r="B4721" t="str">
        <f>"300986"</f>
        <v>300986</v>
      </c>
      <c r="C4721" t="s">
        <v>9484</v>
      </c>
      <c r="D4721" t="s">
        <v>234</v>
      </c>
      <c r="F4721">
        <v>-145788186</v>
      </c>
      <c r="G4721">
        <v>-40968111</v>
      </c>
      <c r="P4721">
        <v>34</v>
      </c>
      <c r="Q4721" t="s">
        <v>9485</v>
      </c>
    </row>
    <row r="4722" spans="1:17" x14ac:dyDescent="0.3">
      <c r="A4722" t="s">
        <v>4382</v>
      </c>
      <c r="B4722" t="str">
        <f>"300987"</f>
        <v>300987</v>
      </c>
      <c r="C4722" t="s">
        <v>9486</v>
      </c>
      <c r="D4722" t="s">
        <v>89</v>
      </c>
      <c r="F4722">
        <v>-43766721</v>
      </c>
      <c r="G4722">
        <v>6472725</v>
      </c>
      <c r="P4722">
        <v>24</v>
      </c>
      <c r="Q4722" t="s">
        <v>9487</v>
      </c>
    </row>
    <row r="4723" spans="1:17" x14ac:dyDescent="0.3">
      <c r="A4723" t="s">
        <v>4382</v>
      </c>
      <c r="B4723" t="str">
        <f>"300988"</f>
        <v>300988</v>
      </c>
      <c r="C4723" t="s">
        <v>9488</v>
      </c>
      <c r="D4723" t="s">
        <v>78</v>
      </c>
      <c r="F4723">
        <v>-99030044</v>
      </c>
      <c r="P4723">
        <v>20</v>
      </c>
      <c r="Q4723" t="s">
        <v>9489</v>
      </c>
    </row>
    <row r="4724" spans="1:17" x14ac:dyDescent="0.3">
      <c r="A4724" t="s">
        <v>4382</v>
      </c>
      <c r="B4724" t="str">
        <f>"300989"</f>
        <v>300989</v>
      </c>
      <c r="C4724" t="s">
        <v>9490</v>
      </c>
      <c r="D4724" t="s">
        <v>95</v>
      </c>
      <c r="F4724">
        <v>-74493762</v>
      </c>
      <c r="P4724">
        <v>32</v>
      </c>
      <c r="Q4724" t="s">
        <v>9491</v>
      </c>
    </row>
    <row r="4725" spans="1:17" x14ac:dyDescent="0.3">
      <c r="A4725" t="s">
        <v>4382</v>
      </c>
      <c r="B4725" t="str">
        <f>"300990"</f>
        <v>300990</v>
      </c>
      <c r="C4725" t="s">
        <v>9492</v>
      </c>
      <c r="D4725" t="s">
        <v>78</v>
      </c>
      <c r="F4725">
        <v>-110715433</v>
      </c>
      <c r="P4725">
        <v>42</v>
      </c>
      <c r="Q4725" t="s">
        <v>9493</v>
      </c>
    </row>
    <row r="4726" spans="1:17" x14ac:dyDescent="0.3">
      <c r="A4726" t="s">
        <v>4382</v>
      </c>
      <c r="B4726" t="str">
        <f>"300991"</f>
        <v>300991</v>
      </c>
      <c r="C4726" t="s">
        <v>9494</v>
      </c>
      <c r="D4726" t="s">
        <v>150</v>
      </c>
      <c r="F4726">
        <v>-207332702</v>
      </c>
      <c r="G4726">
        <v>-34701110</v>
      </c>
      <c r="P4726">
        <v>58</v>
      </c>
      <c r="Q4726" t="s">
        <v>9495</v>
      </c>
    </row>
    <row r="4727" spans="1:17" x14ac:dyDescent="0.3">
      <c r="A4727" t="s">
        <v>4382</v>
      </c>
      <c r="B4727" t="str">
        <f>"300992"</f>
        <v>300992</v>
      </c>
      <c r="C4727" t="s">
        <v>9496</v>
      </c>
      <c r="D4727" t="s">
        <v>78</v>
      </c>
      <c r="F4727">
        <v>-48126785</v>
      </c>
      <c r="G4727">
        <v>-6523030</v>
      </c>
      <c r="P4727">
        <v>26</v>
      </c>
      <c r="Q4727" t="s">
        <v>9497</v>
      </c>
    </row>
    <row r="4728" spans="1:17" x14ac:dyDescent="0.3">
      <c r="A4728" t="s">
        <v>4382</v>
      </c>
      <c r="B4728" t="str">
        <f>"300993"</f>
        <v>300993</v>
      </c>
      <c r="C4728" t="s">
        <v>9498</v>
      </c>
      <c r="D4728" t="s">
        <v>161</v>
      </c>
      <c r="F4728">
        <v>-51158587</v>
      </c>
      <c r="G4728">
        <v>41532705</v>
      </c>
      <c r="P4728">
        <v>31</v>
      </c>
      <c r="Q4728" t="s">
        <v>9499</v>
      </c>
    </row>
    <row r="4729" spans="1:17" x14ac:dyDescent="0.3">
      <c r="A4729" t="s">
        <v>4382</v>
      </c>
      <c r="B4729" t="str">
        <f>"300994"</f>
        <v>300994</v>
      </c>
      <c r="C4729" t="s">
        <v>9500</v>
      </c>
      <c r="D4729" t="s">
        <v>27</v>
      </c>
      <c r="F4729">
        <v>-7350084</v>
      </c>
      <c r="G4729">
        <v>182509111</v>
      </c>
      <c r="P4729">
        <v>21</v>
      </c>
      <c r="Q4729" t="s">
        <v>9501</v>
      </c>
    </row>
    <row r="4730" spans="1:17" x14ac:dyDescent="0.3">
      <c r="A4730" t="s">
        <v>4382</v>
      </c>
      <c r="B4730" t="str">
        <f>"300995"</f>
        <v>300995</v>
      </c>
      <c r="C4730" t="s">
        <v>9502</v>
      </c>
      <c r="D4730" t="s">
        <v>133</v>
      </c>
      <c r="F4730">
        <v>-7633106</v>
      </c>
      <c r="G4730">
        <v>-28586740</v>
      </c>
      <c r="P4730">
        <v>26</v>
      </c>
      <c r="Q4730" t="s">
        <v>9503</v>
      </c>
    </row>
    <row r="4731" spans="1:17" x14ac:dyDescent="0.3">
      <c r="A4731" t="s">
        <v>4382</v>
      </c>
      <c r="B4731" t="str">
        <f>"300996"</f>
        <v>300996</v>
      </c>
      <c r="C4731" t="s">
        <v>9504</v>
      </c>
      <c r="D4731" t="s">
        <v>212</v>
      </c>
      <c r="F4731">
        <v>-83257989</v>
      </c>
      <c r="P4731">
        <v>42</v>
      </c>
      <c r="Q4731" t="s">
        <v>9505</v>
      </c>
    </row>
    <row r="4732" spans="1:17" x14ac:dyDescent="0.3">
      <c r="A4732" t="s">
        <v>4382</v>
      </c>
      <c r="B4732" t="str">
        <f>"300997"</f>
        <v>300997</v>
      </c>
      <c r="C4732" t="s">
        <v>9506</v>
      </c>
      <c r="D4732" t="s">
        <v>123</v>
      </c>
      <c r="F4732">
        <v>29919195</v>
      </c>
      <c r="G4732">
        <v>7217611</v>
      </c>
      <c r="P4732">
        <v>39</v>
      </c>
      <c r="Q4732" t="s">
        <v>9507</v>
      </c>
    </row>
    <row r="4733" spans="1:17" x14ac:dyDescent="0.3">
      <c r="A4733" t="s">
        <v>4382</v>
      </c>
      <c r="B4733" t="str">
        <f>"300998"</f>
        <v>300998</v>
      </c>
      <c r="C4733" t="s">
        <v>9508</v>
      </c>
      <c r="D4733" t="s">
        <v>27</v>
      </c>
      <c r="F4733">
        <v>-16969198</v>
      </c>
      <c r="P4733">
        <v>26</v>
      </c>
      <c r="Q4733" t="s">
        <v>9509</v>
      </c>
    </row>
    <row r="4734" spans="1:17" x14ac:dyDescent="0.3">
      <c r="A4734" t="s">
        <v>4382</v>
      </c>
      <c r="B4734" t="str">
        <f>"300999"</f>
        <v>300999</v>
      </c>
      <c r="C4734" t="s">
        <v>9510</v>
      </c>
      <c r="D4734" t="s">
        <v>205</v>
      </c>
      <c r="F4734">
        <v>-1948845000</v>
      </c>
      <c r="G4734">
        <v>4775003000</v>
      </c>
      <c r="H4734">
        <v>11022226000</v>
      </c>
      <c r="P4734">
        <v>1181</v>
      </c>
      <c r="Q4734" t="s">
        <v>9511</v>
      </c>
    </row>
    <row r="4735" spans="1:17" x14ac:dyDescent="0.3">
      <c r="A4735" t="s">
        <v>4382</v>
      </c>
      <c r="B4735" t="str">
        <f>"301000"</f>
        <v>301000</v>
      </c>
      <c r="C4735" t="s">
        <v>9512</v>
      </c>
      <c r="D4735" t="s">
        <v>27</v>
      </c>
      <c r="F4735">
        <v>-23161783</v>
      </c>
      <c r="P4735">
        <v>25</v>
      </c>
      <c r="Q4735" t="s">
        <v>9513</v>
      </c>
    </row>
    <row r="4736" spans="1:17" x14ac:dyDescent="0.3">
      <c r="A4736" t="s">
        <v>4382</v>
      </c>
      <c r="B4736" t="str">
        <f>"301001"</f>
        <v>301001</v>
      </c>
      <c r="C4736" t="s">
        <v>9514</v>
      </c>
      <c r="D4736" t="s">
        <v>120</v>
      </c>
      <c r="F4736">
        <v>21659682</v>
      </c>
      <c r="G4736">
        <v>89010397</v>
      </c>
      <c r="P4736">
        <v>23</v>
      </c>
      <c r="Q4736" t="s">
        <v>9515</v>
      </c>
    </row>
    <row r="4737" spans="1:17" x14ac:dyDescent="0.3">
      <c r="A4737" t="s">
        <v>4382</v>
      </c>
      <c r="B4737" t="str">
        <f>"301002"</f>
        <v>301002</v>
      </c>
      <c r="C4737" t="s">
        <v>9516</v>
      </c>
      <c r="D4737" t="s">
        <v>188</v>
      </c>
      <c r="F4737">
        <v>-161960830</v>
      </c>
      <c r="G4737">
        <v>12348403</v>
      </c>
      <c r="P4737">
        <v>43</v>
      </c>
      <c r="Q4737" t="s">
        <v>9517</v>
      </c>
    </row>
    <row r="4738" spans="1:17" x14ac:dyDescent="0.3">
      <c r="A4738" t="s">
        <v>4382</v>
      </c>
      <c r="B4738" t="str">
        <f>"301003"</f>
        <v>301003</v>
      </c>
      <c r="C4738" t="s">
        <v>9518</v>
      </c>
      <c r="D4738" t="s">
        <v>133</v>
      </c>
      <c r="F4738">
        <v>50929277</v>
      </c>
      <c r="P4738">
        <v>31</v>
      </c>
      <c r="Q4738" t="s">
        <v>9519</v>
      </c>
    </row>
    <row r="4739" spans="1:17" x14ac:dyDescent="0.3">
      <c r="A4739" t="s">
        <v>4382</v>
      </c>
      <c r="B4739" t="str">
        <f>"301004"</f>
        <v>301004</v>
      </c>
      <c r="C4739" t="s">
        <v>9520</v>
      </c>
      <c r="D4739" t="s">
        <v>161</v>
      </c>
      <c r="F4739">
        <v>7232073</v>
      </c>
      <c r="P4739">
        <v>25</v>
      </c>
      <c r="Q4739" t="s">
        <v>9521</v>
      </c>
    </row>
    <row r="4740" spans="1:17" x14ac:dyDescent="0.3">
      <c r="A4740" t="s">
        <v>4382</v>
      </c>
      <c r="B4740" t="str">
        <f>"301005"</f>
        <v>301005</v>
      </c>
      <c r="C4740" t="s">
        <v>9522</v>
      </c>
      <c r="D4740" t="s">
        <v>27</v>
      </c>
      <c r="F4740">
        <v>-24253738</v>
      </c>
      <c r="P4740">
        <v>23</v>
      </c>
      <c r="Q4740" t="s">
        <v>9523</v>
      </c>
    </row>
    <row r="4741" spans="1:17" x14ac:dyDescent="0.3">
      <c r="A4741" t="s">
        <v>4382</v>
      </c>
      <c r="B4741" t="str">
        <f>"301006"</f>
        <v>301006</v>
      </c>
      <c r="C4741" t="s">
        <v>9524</v>
      </c>
      <c r="D4741" t="s">
        <v>78</v>
      </c>
      <c r="F4741">
        <v>26787855</v>
      </c>
      <c r="G4741">
        <v>81916899</v>
      </c>
      <c r="P4741">
        <v>50</v>
      </c>
      <c r="Q4741" t="s">
        <v>9525</v>
      </c>
    </row>
    <row r="4742" spans="1:17" x14ac:dyDescent="0.3">
      <c r="A4742" t="s">
        <v>4382</v>
      </c>
      <c r="B4742" t="str">
        <f>"301007"</f>
        <v>301007</v>
      </c>
      <c r="C4742" t="s">
        <v>9526</v>
      </c>
      <c r="D4742" t="s">
        <v>27</v>
      </c>
      <c r="F4742">
        <v>-85862234</v>
      </c>
      <c r="G4742">
        <v>-37698387</v>
      </c>
      <c r="P4742">
        <v>44</v>
      </c>
      <c r="Q4742" t="s">
        <v>9527</v>
      </c>
    </row>
    <row r="4743" spans="1:17" x14ac:dyDescent="0.3">
      <c r="A4743" t="s">
        <v>4382</v>
      </c>
      <c r="B4743" t="str">
        <f>"301008"</f>
        <v>301008</v>
      </c>
      <c r="C4743" t="s">
        <v>9528</v>
      </c>
      <c r="D4743" t="s">
        <v>126</v>
      </c>
      <c r="F4743">
        <v>-66172146</v>
      </c>
      <c r="P4743">
        <v>36</v>
      </c>
      <c r="Q4743" t="s">
        <v>9529</v>
      </c>
    </row>
    <row r="4744" spans="1:17" x14ac:dyDescent="0.3">
      <c r="A4744" t="s">
        <v>4382</v>
      </c>
      <c r="B4744" t="str">
        <f>"301009"</f>
        <v>301009</v>
      </c>
      <c r="C4744" t="s">
        <v>9530</v>
      </c>
      <c r="D4744" t="s">
        <v>481</v>
      </c>
      <c r="F4744">
        <v>-223919599</v>
      </c>
      <c r="G4744">
        <v>60991401</v>
      </c>
      <c r="P4744">
        <v>59</v>
      </c>
      <c r="Q4744" t="s">
        <v>9531</v>
      </c>
    </row>
    <row r="4745" spans="1:17" x14ac:dyDescent="0.3">
      <c r="A4745" t="s">
        <v>4382</v>
      </c>
      <c r="B4745" t="str">
        <f>"301010"</f>
        <v>301010</v>
      </c>
      <c r="C4745" t="s">
        <v>9532</v>
      </c>
      <c r="D4745" t="s">
        <v>350</v>
      </c>
      <c r="F4745">
        <v>-131387469</v>
      </c>
      <c r="G4745">
        <v>25113295</v>
      </c>
      <c r="P4745">
        <v>33</v>
      </c>
      <c r="Q4745" t="s">
        <v>9533</v>
      </c>
    </row>
    <row r="4746" spans="1:17" x14ac:dyDescent="0.3">
      <c r="A4746" t="s">
        <v>4382</v>
      </c>
      <c r="B4746" t="str">
        <f>"301011"</f>
        <v>301011</v>
      </c>
      <c r="C4746" t="s">
        <v>9534</v>
      </c>
      <c r="D4746" t="s">
        <v>78</v>
      </c>
      <c r="F4746">
        <v>-82461798</v>
      </c>
      <c r="G4746">
        <v>-45126242</v>
      </c>
      <c r="P4746">
        <v>28</v>
      </c>
      <c r="Q4746" t="s">
        <v>9535</v>
      </c>
    </row>
    <row r="4747" spans="1:17" x14ac:dyDescent="0.3">
      <c r="A4747" t="s">
        <v>4382</v>
      </c>
      <c r="B4747" t="str">
        <f>"301012"</f>
        <v>301012</v>
      </c>
      <c r="C4747" t="s">
        <v>9536</v>
      </c>
      <c r="D4747" t="s">
        <v>188</v>
      </c>
      <c r="F4747">
        <v>-82746856</v>
      </c>
      <c r="G4747">
        <v>-15035229</v>
      </c>
      <c r="P4747">
        <v>23</v>
      </c>
      <c r="Q4747" t="s">
        <v>9537</v>
      </c>
    </row>
    <row r="4748" spans="1:17" x14ac:dyDescent="0.3">
      <c r="A4748" t="s">
        <v>4382</v>
      </c>
      <c r="B4748" t="str">
        <f>"301013"</f>
        <v>301013</v>
      </c>
      <c r="C4748" t="s">
        <v>9538</v>
      </c>
      <c r="D4748" t="s">
        <v>78</v>
      </c>
      <c r="F4748">
        <v>-263776078</v>
      </c>
      <c r="G4748">
        <v>-52740065</v>
      </c>
      <c r="P4748">
        <v>20</v>
      </c>
      <c r="Q4748" t="s">
        <v>9539</v>
      </c>
    </row>
    <row r="4749" spans="1:17" x14ac:dyDescent="0.3">
      <c r="A4749" t="s">
        <v>4382</v>
      </c>
      <c r="B4749" t="str">
        <f>"301015"</f>
        <v>301015</v>
      </c>
      <c r="C4749" t="s">
        <v>9540</v>
      </c>
      <c r="D4749" t="s">
        <v>113</v>
      </c>
      <c r="F4749">
        <v>-14257366</v>
      </c>
      <c r="G4749">
        <v>-672158393</v>
      </c>
      <c r="P4749">
        <v>45</v>
      </c>
      <c r="Q4749" t="s">
        <v>9541</v>
      </c>
    </row>
    <row r="4750" spans="1:17" x14ac:dyDescent="0.3">
      <c r="A4750" t="s">
        <v>4382</v>
      </c>
      <c r="B4750" t="str">
        <f>"301016"</f>
        <v>301016</v>
      </c>
      <c r="C4750" t="s">
        <v>9542</v>
      </c>
      <c r="D4750" t="s">
        <v>78</v>
      </c>
      <c r="F4750">
        <v>-75281424</v>
      </c>
      <c r="P4750">
        <v>35</v>
      </c>
      <c r="Q4750" t="s">
        <v>9543</v>
      </c>
    </row>
    <row r="4751" spans="1:17" x14ac:dyDescent="0.3">
      <c r="A4751" t="s">
        <v>4382</v>
      </c>
      <c r="B4751" t="str">
        <f>"301017"</f>
        <v>301017</v>
      </c>
      <c r="C4751" t="s">
        <v>9544</v>
      </c>
      <c r="D4751" t="s">
        <v>113</v>
      </c>
      <c r="F4751">
        <v>72386952</v>
      </c>
      <c r="G4751">
        <v>38341502</v>
      </c>
      <c r="P4751">
        <v>36</v>
      </c>
      <c r="Q4751" t="s">
        <v>9545</v>
      </c>
    </row>
    <row r="4752" spans="1:17" x14ac:dyDescent="0.3">
      <c r="A4752" t="s">
        <v>4382</v>
      </c>
      <c r="B4752" t="str">
        <f>"301018"</f>
        <v>301018</v>
      </c>
      <c r="C4752" t="s">
        <v>9546</v>
      </c>
      <c r="D4752" t="s">
        <v>78</v>
      </c>
      <c r="F4752">
        <v>-335268039</v>
      </c>
      <c r="P4752">
        <v>37</v>
      </c>
      <c r="Q4752" t="s">
        <v>9547</v>
      </c>
    </row>
    <row r="4753" spans="1:17" x14ac:dyDescent="0.3">
      <c r="A4753" t="s">
        <v>4382</v>
      </c>
      <c r="B4753" t="str">
        <f>"301019"</f>
        <v>301019</v>
      </c>
      <c r="C4753" t="s">
        <v>9548</v>
      </c>
      <c r="D4753" t="s">
        <v>133</v>
      </c>
      <c r="F4753">
        <v>59860671</v>
      </c>
      <c r="G4753">
        <v>22171000</v>
      </c>
      <c r="P4753">
        <v>39</v>
      </c>
      <c r="Q4753" t="s">
        <v>9549</v>
      </c>
    </row>
    <row r="4754" spans="1:17" x14ac:dyDescent="0.3">
      <c r="A4754" t="s">
        <v>4382</v>
      </c>
      <c r="B4754" t="str">
        <f>"301020"</f>
        <v>301020</v>
      </c>
      <c r="C4754" t="s">
        <v>9550</v>
      </c>
      <c r="D4754" t="s">
        <v>27</v>
      </c>
      <c r="F4754">
        <v>94018575</v>
      </c>
      <c r="G4754">
        <v>74688244</v>
      </c>
      <c r="P4754">
        <v>54</v>
      </c>
      <c r="Q4754" t="s">
        <v>9551</v>
      </c>
    </row>
    <row r="4755" spans="1:17" x14ac:dyDescent="0.3">
      <c r="A4755" t="s">
        <v>4382</v>
      </c>
      <c r="B4755" t="str">
        <f>"301021"</f>
        <v>301021</v>
      </c>
      <c r="C4755" t="s">
        <v>9552</v>
      </c>
      <c r="D4755" t="s">
        <v>78</v>
      </c>
      <c r="F4755">
        <v>896227</v>
      </c>
      <c r="G4755">
        <v>13717477</v>
      </c>
      <c r="P4755">
        <v>35</v>
      </c>
      <c r="Q4755" t="s">
        <v>9553</v>
      </c>
    </row>
    <row r="4756" spans="1:17" x14ac:dyDescent="0.3">
      <c r="A4756" t="s">
        <v>4382</v>
      </c>
      <c r="B4756" t="str">
        <f>"301022"</f>
        <v>301022</v>
      </c>
      <c r="C4756" t="s">
        <v>9554</v>
      </c>
      <c r="D4756" t="s">
        <v>27</v>
      </c>
      <c r="F4756">
        <v>-9849950</v>
      </c>
      <c r="P4756">
        <v>24</v>
      </c>
      <c r="Q4756" t="s">
        <v>9555</v>
      </c>
    </row>
    <row r="4757" spans="1:17" x14ac:dyDescent="0.3">
      <c r="A4757" t="s">
        <v>4382</v>
      </c>
      <c r="B4757" t="str">
        <f>"301023"</f>
        <v>301023</v>
      </c>
      <c r="C4757" t="s">
        <v>9556</v>
      </c>
      <c r="D4757" t="s">
        <v>188</v>
      </c>
      <c r="F4757">
        <v>20492606</v>
      </c>
      <c r="P4757">
        <v>22</v>
      </c>
      <c r="Q4757" t="s">
        <v>9557</v>
      </c>
    </row>
    <row r="4758" spans="1:17" x14ac:dyDescent="0.3">
      <c r="A4758" t="s">
        <v>4382</v>
      </c>
      <c r="B4758" t="str">
        <f>"301024"</f>
        <v>301024</v>
      </c>
      <c r="C4758" t="s">
        <v>9558</v>
      </c>
      <c r="D4758" t="s">
        <v>95</v>
      </c>
      <c r="F4758">
        <v>-78349854</v>
      </c>
      <c r="P4758">
        <v>22</v>
      </c>
      <c r="Q4758" t="s">
        <v>9559</v>
      </c>
    </row>
    <row r="4759" spans="1:17" x14ac:dyDescent="0.3">
      <c r="A4759" t="s">
        <v>4382</v>
      </c>
      <c r="B4759" t="str">
        <f>"301025"</f>
        <v>301025</v>
      </c>
      <c r="C4759" t="s">
        <v>9560</v>
      </c>
      <c r="D4759" t="s">
        <v>89</v>
      </c>
      <c r="F4759">
        <v>-9999322</v>
      </c>
      <c r="G4759">
        <v>24749422</v>
      </c>
      <c r="P4759">
        <v>24</v>
      </c>
      <c r="Q4759" t="s">
        <v>9561</v>
      </c>
    </row>
    <row r="4760" spans="1:17" x14ac:dyDescent="0.3">
      <c r="A4760" t="s">
        <v>4382</v>
      </c>
      <c r="B4760" t="str">
        <f>"301026"</f>
        <v>301026</v>
      </c>
      <c r="C4760" t="s">
        <v>9562</v>
      </c>
      <c r="D4760" t="s">
        <v>234</v>
      </c>
      <c r="F4760">
        <v>184632052</v>
      </c>
      <c r="G4760">
        <v>144489720</v>
      </c>
      <c r="P4760">
        <v>41</v>
      </c>
      <c r="Q4760" t="s">
        <v>9563</v>
      </c>
    </row>
    <row r="4761" spans="1:17" x14ac:dyDescent="0.3">
      <c r="A4761" t="s">
        <v>4382</v>
      </c>
      <c r="B4761" t="str">
        <f>"301027"</f>
        <v>301027</v>
      </c>
      <c r="C4761" t="s">
        <v>9564</v>
      </c>
      <c r="D4761" t="s">
        <v>95</v>
      </c>
      <c r="F4761">
        <v>-156307792</v>
      </c>
      <c r="G4761">
        <v>-50692607</v>
      </c>
      <c r="P4761">
        <v>25</v>
      </c>
      <c r="Q4761" t="s">
        <v>9565</v>
      </c>
    </row>
    <row r="4762" spans="1:17" x14ac:dyDescent="0.3">
      <c r="A4762" t="s">
        <v>4382</v>
      </c>
      <c r="B4762" t="str">
        <f>"301028"</f>
        <v>301028</v>
      </c>
      <c r="C4762" t="s">
        <v>9566</v>
      </c>
      <c r="D4762" t="s">
        <v>78</v>
      </c>
      <c r="F4762">
        <v>3668335</v>
      </c>
      <c r="G4762">
        <v>53802616</v>
      </c>
      <c r="P4762">
        <v>53</v>
      </c>
      <c r="Q4762" t="s">
        <v>9567</v>
      </c>
    </row>
    <row r="4763" spans="1:17" x14ac:dyDescent="0.3">
      <c r="A4763" t="s">
        <v>4382</v>
      </c>
      <c r="B4763" t="str">
        <f>"301029"</f>
        <v>301029</v>
      </c>
      <c r="C4763" t="s">
        <v>9568</v>
      </c>
      <c r="D4763" t="s">
        <v>78</v>
      </c>
      <c r="F4763">
        <v>-159285216</v>
      </c>
      <c r="G4763">
        <v>-96852546</v>
      </c>
      <c r="P4763">
        <v>67</v>
      </c>
      <c r="Q4763" t="s">
        <v>9569</v>
      </c>
    </row>
    <row r="4764" spans="1:17" x14ac:dyDescent="0.3">
      <c r="A4764" t="s">
        <v>4382</v>
      </c>
      <c r="B4764" t="str">
        <f>"301030"</f>
        <v>301030</v>
      </c>
      <c r="C4764" t="s">
        <v>9570</v>
      </c>
      <c r="D4764" t="s">
        <v>33</v>
      </c>
      <c r="F4764">
        <v>-285137836</v>
      </c>
      <c r="G4764">
        <v>-148750338</v>
      </c>
      <c r="H4764">
        <v>-196100400</v>
      </c>
      <c r="P4764">
        <v>19</v>
      </c>
      <c r="Q4764" t="s">
        <v>9571</v>
      </c>
    </row>
    <row r="4765" spans="1:17" x14ac:dyDescent="0.3">
      <c r="A4765" t="s">
        <v>4382</v>
      </c>
      <c r="B4765" t="str">
        <f>"301031"</f>
        <v>301031</v>
      </c>
      <c r="C4765" t="s">
        <v>9572</v>
      </c>
      <c r="D4765" t="s">
        <v>150</v>
      </c>
      <c r="F4765">
        <v>-93665815</v>
      </c>
      <c r="G4765">
        <v>3149810</v>
      </c>
      <c r="P4765">
        <v>77</v>
      </c>
      <c r="Q4765" t="s">
        <v>9573</v>
      </c>
    </row>
    <row r="4766" spans="1:17" x14ac:dyDescent="0.3">
      <c r="A4766" t="s">
        <v>4382</v>
      </c>
      <c r="B4766" t="str">
        <f>"301032"</f>
        <v>301032</v>
      </c>
      <c r="C4766" t="s">
        <v>9574</v>
      </c>
      <c r="D4766" t="s">
        <v>78</v>
      </c>
      <c r="F4766">
        <v>-501308180</v>
      </c>
      <c r="G4766">
        <v>-34715015</v>
      </c>
      <c r="P4766">
        <v>19</v>
      </c>
      <c r="Q4766" t="s">
        <v>9575</v>
      </c>
    </row>
    <row r="4767" spans="1:17" x14ac:dyDescent="0.3">
      <c r="A4767" t="s">
        <v>4382</v>
      </c>
      <c r="B4767" t="str">
        <f>"301033"</f>
        <v>301033</v>
      </c>
      <c r="C4767" t="s">
        <v>9576</v>
      </c>
      <c r="D4767" t="s">
        <v>113</v>
      </c>
      <c r="F4767">
        <v>-74026502</v>
      </c>
      <c r="G4767">
        <v>-25583064</v>
      </c>
      <c r="P4767">
        <v>31</v>
      </c>
      <c r="Q4767" t="s">
        <v>9577</v>
      </c>
    </row>
    <row r="4768" spans="1:17" x14ac:dyDescent="0.3">
      <c r="A4768" t="s">
        <v>4382</v>
      </c>
      <c r="B4768" t="str">
        <f>"301035"</f>
        <v>301035</v>
      </c>
      <c r="C4768" t="s">
        <v>9578</v>
      </c>
      <c r="D4768" t="s">
        <v>133</v>
      </c>
      <c r="F4768">
        <v>-71982520</v>
      </c>
      <c r="G4768">
        <v>556595822</v>
      </c>
      <c r="P4768">
        <v>40</v>
      </c>
      <c r="Q4768" t="s">
        <v>9579</v>
      </c>
    </row>
    <row r="4769" spans="1:17" x14ac:dyDescent="0.3">
      <c r="A4769" t="s">
        <v>4382</v>
      </c>
      <c r="B4769" t="str">
        <f>"301036"</f>
        <v>301036</v>
      </c>
      <c r="C4769" t="s">
        <v>9580</v>
      </c>
      <c r="D4769" t="s">
        <v>133</v>
      </c>
      <c r="F4769">
        <v>-102792468</v>
      </c>
      <c r="G4769">
        <v>81279272</v>
      </c>
      <c r="P4769">
        <v>20</v>
      </c>
      <c r="Q4769" t="s">
        <v>9581</v>
      </c>
    </row>
    <row r="4770" spans="1:17" x14ac:dyDescent="0.3">
      <c r="A4770" t="s">
        <v>4382</v>
      </c>
      <c r="B4770" t="str">
        <f>"301037"</f>
        <v>301037</v>
      </c>
      <c r="C4770" t="s">
        <v>9582</v>
      </c>
      <c r="D4770" t="s">
        <v>133</v>
      </c>
      <c r="F4770">
        <v>-275756948</v>
      </c>
      <c r="G4770">
        <v>73774397</v>
      </c>
      <c r="P4770">
        <v>13</v>
      </c>
      <c r="Q4770" t="s">
        <v>9583</v>
      </c>
    </row>
    <row r="4771" spans="1:17" x14ac:dyDescent="0.3">
      <c r="A4771" t="s">
        <v>4382</v>
      </c>
      <c r="B4771" t="str">
        <f>"301038"</f>
        <v>301038</v>
      </c>
      <c r="C4771" t="s">
        <v>9584</v>
      </c>
      <c r="D4771" t="s">
        <v>95</v>
      </c>
      <c r="F4771">
        <v>-231795871</v>
      </c>
      <c r="G4771">
        <v>-203159196</v>
      </c>
      <c r="P4771">
        <v>21</v>
      </c>
      <c r="Q4771" t="s">
        <v>9585</v>
      </c>
    </row>
    <row r="4772" spans="1:17" x14ac:dyDescent="0.3">
      <c r="A4772" t="s">
        <v>4382</v>
      </c>
      <c r="B4772" t="str">
        <f>"301039"</f>
        <v>301039</v>
      </c>
      <c r="C4772" t="s">
        <v>9586</v>
      </c>
      <c r="D4772" t="s">
        <v>27</v>
      </c>
      <c r="F4772">
        <v>-874941377</v>
      </c>
      <c r="G4772">
        <v>978684777</v>
      </c>
      <c r="P4772">
        <v>35</v>
      </c>
      <c r="Q4772" t="s">
        <v>9587</v>
      </c>
    </row>
    <row r="4773" spans="1:17" x14ac:dyDescent="0.3">
      <c r="A4773" t="s">
        <v>4382</v>
      </c>
      <c r="B4773" t="str">
        <f>"301040"</f>
        <v>301040</v>
      </c>
      <c r="C4773" t="s">
        <v>9588</v>
      </c>
      <c r="D4773" t="s">
        <v>188</v>
      </c>
      <c r="F4773">
        <v>4445432</v>
      </c>
      <c r="G4773">
        <v>50911288</v>
      </c>
      <c r="P4773">
        <v>22</v>
      </c>
      <c r="Q4773" t="s">
        <v>9589</v>
      </c>
    </row>
    <row r="4774" spans="1:17" x14ac:dyDescent="0.3">
      <c r="A4774" t="s">
        <v>4382</v>
      </c>
      <c r="B4774" t="str">
        <f>"301041"</f>
        <v>301041</v>
      </c>
      <c r="C4774" t="s">
        <v>9590</v>
      </c>
      <c r="D4774" t="s">
        <v>150</v>
      </c>
      <c r="F4774">
        <v>-36130164</v>
      </c>
      <c r="G4774">
        <v>7671233</v>
      </c>
      <c r="P4774">
        <v>31</v>
      </c>
      <c r="Q4774" t="s">
        <v>9591</v>
      </c>
    </row>
    <row r="4775" spans="1:17" x14ac:dyDescent="0.3">
      <c r="A4775" t="s">
        <v>4382</v>
      </c>
      <c r="B4775" t="str">
        <f>"301042"</f>
        <v>301042</v>
      </c>
      <c r="C4775" t="s">
        <v>9592</v>
      </c>
      <c r="D4775" t="s">
        <v>212</v>
      </c>
      <c r="F4775">
        <v>-110624816</v>
      </c>
      <c r="P4775">
        <v>14</v>
      </c>
      <c r="Q4775" t="s">
        <v>9593</v>
      </c>
    </row>
    <row r="4776" spans="1:17" x14ac:dyDescent="0.3">
      <c r="A4776" t="s">
        <v>4382</v>
      </c>
      <c r="B4776" t="str">
        <f>"301043"</f>
        <v>301043</v>
      </c>
      <c r="C4776" t="s">
        <v>9594</v>
      </c>
      <c r="D4776" t="s">
        <v>78</v>
      </c>
      <c r="F4776">
        <v>-20816881</v>
      </c>
      <c r="P4776">
        <v>18</v>
      </c>
      <c r="Q4776" t="s">
        <v>9595</v>
      </c>
    </row>
    <row r="4777" spans="1:17" x14ac:dyDescent="0.3">
      <c r="A4777" t="s">
        <v>4382</v>
      </c>
      <c r="B4777" t="str">
        <f>"301045"</f>
        <v>301045</v>
      </c>
      <c r="C4777" t="s">
        <v>9596</v>
      </c>
      <c r="D4777" t="s">
        <v>150</v>
      </c>
      <c r="F4777">
        <v>-42018049</v>
      </c>
      <c r="G4777">
        <v>5082458</v>
      </c>
      <c r="P4777">
        <v>17</v>
      </c>
      <c r="Q4777" t="s">
        <v>9597</v>
      </c>
    </row>
    <row r="4778" spans="1:17" x14ac:dyDescent="0.3">
      <c r="A4778" t="s">
        <v>4382</v>
      </c>
      <c r="B4778" t="str">
        <f>"301046"</f>
        <v>301046</v>
      </c>
      <c r="C4778" t="s">
        <v>9598</v>
      </c>
      <c r="D4778" t="s">
        <v>95</v>
      </c>
      <c r="F4778">
        <v>-17711034</v>
      </c>
      <c r="G4778">
        <v>-73707190</v>
      </c>
      <c r="P4778">
        <v>33</v>
      </c>
      <c r="Q4778" t="s">
        <v>9599</v>
      </c>
    </row>
    <row r="4779" spans="1:17" x14ac:dyDescent="0.3">
      <c r="A4779" t="s">
        <v>4382</v>
      </c>
      <c r="B4779" t="str">
        <f>"301047"</f>
        <v>301047</v>
      </c>
      <c r="C4779" t="s">
        <v>9600</v>
      </c>
      <c r="D4779" t="s">
        <v>113</v>
      </c>
      <c r="F4779">
        <v>434830769</v>
      </c>
      <c r="G4779">
        <v>528189705</v>
      </c>
      <c r="P4779">
        <v>71</v>
      </c>
      <c r="Q4779" t="s">
        <v>9601</v>
      </c>
    </row>
    <row r="4780" spans="1:17" x14ac:dyDescent="0.3">
      <c r="A4780" t="s">
        <v>4382</v>
      </c>
      <c r="B4780" t="str">
        <f>"301048"</f>
        <v>301048</v>
      </c>
      <c r="C4780" t="s">
        <v>9602</v>
      </c>
      <c r="D4780" t="s">
        <v>78</v>
      </c>
      <c r="F4780">
        <v>-308183885</v>
      </c>
      <c r="G4780">
        <v>13959082</v>
      </c>
      <c r="P4780">
        <v>16</v>
      </c>
      <c r="Q4780" t="s">
        <v>9603</v>
      </c>
    </row>
    <row r="4781" spans="1:17" x14ac:dyDescent="0.3">
      <c r="A4781" t="s">
        <v>4382</v>
      </c>
      <c r="B4781" t="str">
        <f>"301049"</f>
        <v>301049</v>
      </c>
      <c r="C4781" t="s">
        <v>9604</v>
      </c>
      <c r="D4781" t="s">
        <v>33</v>
      </c>
      <c r="F4781">
        <v>-2124494</v>
      </c>
      <c r="P4781">
        <v>26</v>
      </c>
      <c r="Q4781" t="s">
        <v>9605</v>
      </c>
    </row>
    <row r="4782" spans="1:17" x14ac:dyDescent="0.3">
      <c r="A4782" t="s">
        <v>4382</v>
      </c>
      <c r="B4782" t="str">
        <f>"301050"</f>
        <v>301050</v>
      </c>
      <c r="C4782" t="s">
        <v>9606</v>
      </c>
      <c r="D4782" t="s">
        <v>92</v>
      </c>
      <c r="F4782">
        <v>53138718</v>
      </c>
      <c r="G4782">
        <v>-94885206</v>
      </c>
      <c r="P4782">
        <v>31</v>
      </c>
      <c r="Q4782" t="s">
        <v>9607</v>
      </c>
    </row>
    <row r="4783" spans="1:17" x14ac:dyDescent="0.3">
      <c r="A4783" t="s">
        <v>4382</v>
      </c>
      <c r="B4783" t="str">
        <f>"301051"</f>
        <v>301051</v>
      </c>
      <c r="C4783" t="s">
        <v>9608</v>
      </c>
      <c r="D4783" t="s">
        <v>150</v>
      </c>
      <c r="F4783">
        <v>-37398107</v>
      </c>
      <c r="P4783">
        <v>18</v>
      </c>
      <c r="Q4783" t="s">
        <v>9609</v>
      </c>
    </row>
    <row r="4784" spans="1:17" x14ac:dyDescent="0.3">
      <c r="A4784" t="s">
        <v>4382</v>
      </c>
      <c r="B4784" t="str">
        <f>"301052"</f>
        <v>301052</v>
      </c>
      <c r="C4784" t="s">
        <v>9610</v>
      </c>
      <c r="D4784" t="s">
        <v>89</v>
      </c>
      <c r="F4784">
        <v>13787855</v>
      </c>
      <c r="G4784">
        <v>-35558699</v>
      </c>
      <c r="P4784">
        <v>16</v>
      </c>
      <c r="Q4784" t="s">
        <v>9611</v>
      </c>
    </row>
    <row r="4785" spans="1:17" x14ac:dyDescent="0.3">
      <c r="A4785" t="s">
        <v>4382</v>
      </c>
      <c r="B4785" t="str">
        <f>"301053"</f>
        <v>301053</v>
      </c>
      <c r="C4785" t="s">
        <v>9612</v>
      </c>
      <c r="D4785" t="s">
        <v>78</v>
      </c>
      <c r="F4785">
        <v>-11672760</v>
      </c>
      <c r="G4785">
        <v>-16198814</v>
      </c>
      <c r="P4785">
        <v>24</v>
      </c>
      <c r="Q4785" t="s">
        <v>9613</v>
      </c>
    </row>
    <row r="4786" spans="1:17" x14ac:dyDescent="0.3">
      <c r="A4786" t="s">
        <v>4382</v>
      </c>
      <c r="B4786" t="str">
        <f>"301055"</f>
        <v>301055</v>
      </c>
      <c r="C4786" t="s">
        <v>9614</v>
      </c>
      <c r="D4786" t="s">
        <v>161</v>
      </c>
      <c r="F4786">
        <v>-78377282</v>
      </c>
      <c r="P4786">
        <v>28</v>
      </c>
      <c r="Q4786" t="s">
        <v>9615</v>
      </c>
    </row>
    <row r="4787" spans="1:17" x14ac:dyDescent="0.3">
      <c r="A4787" t="s">
        <v>4382</v>
      </c>
      <c r="B4787" t="str">
        <f>"301056"</f>
        <v>301056</v>
      </c>
      <c r="C4787" t="s">
        <v>9616</v>
      </c>
      <c r="D4787" t="s">
        <v>78</v>
      </c>
      <c r="F4787">
        <v>24835819</v>
      </c>
      <c r="G4787">
        <v>70453226</v>
      </c>
      <c r="P4787">
        <v>16</v>
      </c>
      <c r="Q4787" t="s">
        <v>9617</v>
      </c>
    </row>
    <row r="4788" spans="1:17" x14ac:dyDescent="0.3">
      <c r="A4788" t="s">
        <v>4382</v>
      </c>
      <c r="B4788" t="str">
        <f>"301057"</f>
        <v>301057</v>
      </c>
      <c r="C4788" t="s">
        <v>9618</v>
      </c>
      <c r="D4788" t="s">
        <v>133</v>
      </c>
      <c r="F4788">
        <v>-57778450</v>
      </c>
      <c r="P4788">
        <v>16</v>
      </c>
      <c r="Q4788" t="s">
        <v>9619</v>
      </c>
    </row>
    <row r="4789" spans="1:17" x14ac:dyDescent="0.3">
      <c r="A4789" t="s">
        <v>4382</v>
      </c>
      <c r="B4789" t="str">
        <f>"301058"</f>
        <v>301058</v>
      </c>
      <c r="C4789" t="s">
        <v>9620</v>
      </c>
      <c r="D4789" t="s">
        <v>95</v>
      </c>
      <c r="F4789">
        <v>-102401822</v>
      </c>
      <c r="G4789">
        <v>-59932099</v>
      </c>
      <c r="P4789">
        <v>24</v>
      </c>
      <c r="Q4789" t="s">
        <v>9621</v>
      </c>
    </row>
    <row r="4790" spans="1:17" x14ac:dyDescent="0.3">
      <c r="A4790" t="s">
        <v>4382</v>
      </c>
      <c r="B4790" t="str">
        <f>"301059"</f>
        <v>301059</v>
      </c>
      <c r="C4790" t="s">
        <v>9622</v>
      </c>
      <c r="D4790" t="s">
        <v>133</v>
      </c>
      <c r="F4790">
        <v>-81892429</v>
      </c>
      <c r="G4790">
        <v>35495879</v>
      </c>
      <c r="P4790">
        <v>21</v>
      </c>
      <c r="Q4790" t="s">
        <v>9623</v>
      </c>
    </row>
    <row r="4791" spans="1:17" x14ac:dyDescent="0.3">
      <c r="A4791" t="s">
        <v>4382</v>
      </c>
      <c r="B4791" t="str">
        <f>"301060"</f>
        <v>301060</v>
      </c>
      <c r="C4791" t="s">
        <v>9624</v>
      </c>
      <c r="D4791" t="s">
        <v>113</v>
      </c>
      <c r="F4791">
        <v>-78902633</v>
      </c>
      <c r="G4791">
        <v>-3075863</v>
      </c>
      <c r="P4791">
        <v>41</v>
      </c>
      <c r="Q4791" t="s">
        <v>9625</v>
      </c>
    </row>
    <row r="4792" spans="1:17" x14ac:dyDescent="0.3">
      <c r="A4792" t="s">
        <v>4382</v>
      </c>
      <c r="B4792" t="str">
        <f>"301061"</f>
        <v>301061</v>
      </c>
      <c r="C4792" t="s">
        <v>9626</v>
      </c>
      <c r="D4792" t="s">
        <v>161</v>
      </c>
      <c r="F4792">
        <v>98663739</v>
      </c>
      <c r="P4792">
        <v>28</v>
      </c>
      <c r="Q4792" t="s">
        <v>9627</v>
      </c>
    </row>
    <row r="4793" spans="1:17" x14ac:dyDescent="0.3">
      <c r="A4793" t="s">
        <v>4382</v>
      </c>
      <c r="B4793" t="str">
        <f>"301062"</f>
        <v>301062</v>
      </c>
      <c r="C4793" t="s">
        <v>9628</v>
      </c>
      <c r="D4793" t="s">
        <v>161</v>
      </c>
      <c r="F4793">
        <v>2881797</v>
      </c>
      <c r="G4793">
        <v>14341277</v>
      </c>
      <c r="P4793">
        <v>13</v>
      </c>
      <c r="Q4793" t="s">
        <v>9629</v>
      </c>
    </row>
    <row r="4794" spans="1:17" x14ac:dyDescent="0.3">
      <c r="A4794" t="s">
        <v>4382</v>
      </c>
      <c r="B4794" t="str">
        <f>"301063"</f>
        <v>301063</v>
      </c>
      <c r="C4794" t="s">
        <v>9630</v>
      </c>
      <c r="D4794" t="s">
        <v>78</v>
      </c>
      <c r="F4794">
        <v>-76242600</v>
      </c>
      <c r="G4794">
        <v>-121368445</v>
      </c>
      <c r="P4794">
        <v>17</v>
      </c>
      <c r="Q4794" t="s">
        <v>9631</v>
      </c>
    </row>
    <row r="4795" spans="1:17" x14ac:dyDescent="0.3">
      <c r="A4795" t="s">
        <v>4382</v>
      </c>
      <c r="B4795" t="str">
        <f>"301065"</f>
        <v>301065</v>
      </c>
      <c r="C4795" t="s">
        <v>9632</v>
      </c>
      <c r="D4795" t="s">
        <v>133</v>
      </c>
      <c r="F4795">
        <v>-27285776</v>
      </c>
      <c r="P4795">
        <v>12</v>
      </c>
      <c r="Q4795" t="s">
        <v>9633</v>
      </c>
    </row>
    <row r="4796" spans="1:17" x14ac:dyDescent="0.3">
      <c r="A4796" t="s">
        <v>4382</v>
      </c>
      <c r="B4796" t="str">
        <f>"301066"</f>
        <v>301066</v>
      </c>
      <c r="C4796" t="s">
        <v>9634</v>
      </c>
      <c r="D4796" t="s">
        <v>227</v>
      </c>
      <c r="F4796">
        <v>-55812850</v>
      </c>
      <c r="G4796">
        <v>3963314</v>
      </c>
      <c r="P4796">
        <v>21</v>
      </c>
      <c r="Q4796" t="s">
        <v>9635</v>
      </c>
    </row>
    <row r="4797" spans="1:17" x14ac:dyDescent="0.3">
      <c r="A4797" t="s">
        <v>4382</v>
      </c>
      <c r="B4797" t="str">
        <f>"301067"</f>
        <v>301067</v>
      </c>
      <c r="C4797" t="s">
        <v>9636</v>
      </c>
      <c r="D4797" t="s">
        <v>150</v>
      </c>
      <c r="F4797">
        <v>-56961503</v>
      </c>
      <c r="G4797">
        <v>27114651</v>
      </c>
      <c r="P4797">
        <v>18</v>
      </c>
      <c r="Q4797" t="s">
        <v>9637</v>
      </c>
    </row>
    <row r="4798" spans="1:17" x14ac:dyDescent="0.3">
      <c r="A4798" t="s">
        <v>4382</v>
      </c>
      <c r="B4798" t="str">
        <f>"301068"</f>
        <v>301068</v>
      </c>
      <c r="C4798" t="s">
        <v>9638</v>
      </c>
      <c r="D4798" t="s">
        <v>33</v>
      </c>
      <c r="F4798">
        <v>-63959671</v>
      </c>
      <c r="G4798">
        <v>-130792097</v>
      </c>
      <c r="P4798">
        <v>14</v>
      </c>
      <c r="Q4798" t="s">
        <v>9639</v>
      </c>
    </row>
    <row r="4799" spans="1:17" x14ac:dyDescent="0.3">
      <c r="A4799" t="s">
        <v>4382</v>
      </c>
      <c r="B4799" t="str">
        <f>"301069"</f>
        <v>301069</v>
      </c>
      <c r="C4799" t="s">
        <v>9640</v>
      </c>
      <c r="D4799" t="s">
        <v>133</v>
      </c>
      <c r="F4799">
        <v>-23814869</v>
      </c>
      <c r="G4799">
        <v>105268595</v>
      </c>
      <c r="P4799">
        <v>29</v>
      </c>
      <c r="Q4799" t="s">
        <v>9641</v>
      </c>
    </row>
    <row r="4800" spans="1:17" x14ac:dyDescent="0.3">
      <c r="A4800" t="s">
        <v>4382</v>
      </c>
      <c r="B4800" t="str">
        <f>"301070"</f>
        <v>301070</v>
      </c>
      <c r="C4800" t="s">
        <v>9642</v>
      </c>
      <c r="D4800" t="s">
        <v>78</v>
      </c>
      <c r="F4800">
        <v>-28060660</v>
      </c>
      <c r="P4800">
        <v>19</v>
      </c>
      <c r="Q4800" t="s">
        <v>9643</v>
      </c>
    </row>
    <row r="4801" spans="1:17" x14ac:dyDescent="0.3">
      <c r="A4801" t="s">
        <v>4382</v>
      </c>
      <c r="B4801" t="str">
        <f>"301071"</f>
        <v>301071</v>
      </c>
      <c r="C4801" t="s">
        <v>9644</v>
      </c>
      <c r="D4801" t="s">
        <v>78</v>
      </c>
      <c r="F4801">
        <v>-59736239</v>
      </c>
      <c r="G4801">
        <v>13078851</v>
      </c>
      <c r="P4801">
        <v>78</v>
      </c>
      <c r="Q4801" t="s">
        <v>9645</v>
      </c>
    </row>
    <row r="4802" spans="1:17" x14ac:dyDescent="0.3">
      <c r="A4802" t="s">
        <v>4382</v>
      </c>
      <c r="B4802" t="str">
        <f>"301072"</f>
        <v>301072</v>
      </c>
      <c r="C4802" t="s">
        <v>9646</v>
      </c>
      <c r="D4802" t="s">
        <v>27</v>
      </c>
      <c r="F4802">
        <v>-54396237</v>
      </c>
      <c r="G4802">
        <v>15186680</v>
      </c>
      <c r="P4802">
        <v>17</v>
      </c>
      <c r="Q4802" t="s">
        <v>9647</v>
      </c>
    </row>
    <row r="4803" spans="1:17" x14ac:dyDescent="0.3">
      <c r="A4803" t="s">
        <v>4382</v>
      </c>
      <c r="B4803" t="str">
        <f>"301073"</f>
        <v>301073</v>
      </c>
      <c r="C4803" t="s">
        <v>9648</v>
      </c>
      <c r="D4803" t="s">
        <v>110</v>
      </c>
      <c r="F4803">
        <v>74494878</v>
      </c>
      <c r="G4803">
        <v>-21474728</v>
      </c>
      <c r="P4803">
        <v>22</v>
      </c>
      <c r="Q4803" t="s">
        <v>9649</v>
      </c>
    </row>
    <row r="4804" spans="1:17" x14ac:dyDescent="0.3">
      <c r="A4804" t="s">
        <v>4382</v>
      </c>
      <c r="B4804" t="str">
        <f>"301075"</f>
        <v>301075</v>
      </c>
      <c r="C4804" t="s">
        <v>9650</v>
      </c>
      <c r="D4804" t="s">
        <v>113</v>
      </c>
      <c r="F4804">
        <v>35553260</v>
      </c>
      <c r="P4804">
        <v>22</v>
      </c>
      <c r="Q4804" t="s">
        <v>9651</v>
      </c>
    </row>
    <row r="4805" spans="1:17" x14ac:dyDescent="0.3">
      <c r="A4805" t="s">
        <v>4382</v>
      </c>
      <c r="B4805" t="str">
        <f>"301076"</f>
        <v>301076</v>
      </c>
      <c r="C4805" t="s">
        <v>9652</v>
      </c>
      <c r="D4805" t="s">
        <v>133</v>
      </c>
      <c r="F4805">
        <v>-20823392</v>
      </c>
      <c r="P4805">
        <v>20</v>
      </c>
      <c r="Q4805" t="s">
        <v>9653</v>
      </c>
    </row>
    <row r="4806" spans="1:17" x14ac:dyDescent="0.3">
      <c r="A4806" t="s">
        <v>4382</v>
      </c>
      <c r="B4806" t="str">
        <f>"301077"</f>
        <v>301077</v>
      </c>
      <c r="C4806" t="s">
        <v>9654</v>
      </c>
      <c r="D4806" t="s">
        <v>133</v>
      </c>
      <c r="F4806">
        <v>-26158713</v>
      </c>
      <c r="G4806">
        <v>32814869</v>
      </c>
      <c r="P4806">
        <v>30</v>
      </c>
      <c r="Q4806" t="s">
        <v>9655</v>
      </c>
    </row>
    <row r="4807" spans="1:17" x14ac:dyDescent="0.3">
      <c r="A4807" t="s">
        <v>4382</v>
      </c>
      <c r="B4807" t="str">
        <f>"301078"</f>
        <v>301078</v>
      </c>
      <c r="C4807" t="s">
        <v>9656</v>
      </c>
      <c r="D4807" t="s">
        <v>120</v>
      </c>
      <c r="F4807">
        <v>-1448397</v>
      </c>
      <c r="G4807">
        <v>248315466</v>
      </c>
      <c r="P4807">
        <v>23</v>
      </c>
      <c r="Q4807" t="s">
        <v>9657</v>
      </c>
    </row>
    <row r="4808" spans="1:17" x14ac:dyDescent="0.3">
      <c r="A4808" t="s">
        <v>4382</v>
      </c>
      <c r="B4808" t="str">
        <f>"301079"</f>
        <v>301079</v>
      </c>
      <c r="C4808" t="s">
        <v>9658</v>
      </c>
      <c r="D4808" t="s">
        <v>78</v>
      </c>
      <c r="F4808">
        <v>-35451933</v>
      </c>
      <c r="G4808">
        <v>16636887</v>
      </c>
      <c r="P4808">
        <v>22</v>
      </c>
      <c r="Q4808" t="s">
        <v>9659</v>
      </c>
    </row>
    <row r="4809" spans="1:17" x14ac:dyDescent="0.3">
      <c r="A4809" t="s">
        <v>4382</v>
      </c>
      <c r="B4809" t="str">
        <f>"301080"</f>
        <v>301080</v>
      </c>
      <c r="C4809" t="s">
        <v>9660</v>
      </c>
      <c r="D4809" t="s">
        <v>113</v>
      </c>
      <c r="F4809">
        <v>38762821</v>
      </c>
      <c r="P4809">
        <v>52</v>
      </c>
      <c r="Q4809" t="s">
        <v>9661</v>
      </c>
    </row>
    <row r="4810" spans="1:17" x14ac:dyDescent="0.3">
      <c r="A4810" t="s">
        <v>4382</v>
      </c>
      <c r="B4810" t="str">
        <f>"301081"</f>
        <v>301081</v>
      </c>
      <c r="C4810" t="s">
        <v>9662</v>
      </c>
      <c r="D4810" t="s">
        <v>33</v>
      </c>
      <c r="F4810">
        <v>-2001512</v>
      </c>
      <c r="G4810">
        <v>-25113888</v>
      </c>
      <c r="P4810">
        <v>21</v>
      </c>
      <c r="Q4810" t="s">
        <v>9663</v>
      </c>
    </row>
    <row r="4811" spans="1:17" x14ac:dyDescent="0.3">
      <c r="A4811" t="s">
        <v>4382</v>
      </c>
      <c r="B4811" t="str">
        <f>"301082"</f>
        <v>301082</v>
      </c>
      <c r="C4811" t="s">
        <v>9664</v>
      </c>
      <c r="D4811" t="s">
        <v>188</v>
      </c>
      <c r="F4811">
        <v>-72328342</v>
      </c>
      <c r="G4811">
        <v>2564790</v>
      </c>
      <c r="P4811">
        <v>17</v>
      </c>
      <c r="Q4811" t="s">
        <v>9665</v>
      </c>
    </row>
    <row r="4812" spans="1:17" x14ac:dyDescent="0.3">
      <c r="A4812" t="s">
        <v>4382</v>
      </c>
      <c r="B4812" t="str">
        <f>"301083"</f>
        <v>301083</v>
      </c>
      <c r="C4812" t="s">
        <v>9666</v>
      </c>
      <c r="D4812" t="s">
        <v>78</v>
      </c>
      <c r="F4812">
        <v>910748</v>
      </c>
      <c r="G4812">
        <v>11224309</v>
      </c>
      <c r="P4812">
        <v>16</v>
      </c>
      <c r="Q4812" t="s">
        <v>9667</v>
      </c>
    </row>
    <row r="4813" spans="1:17" x14ac:dyDescent="0.3">
      <c r="A4813" t="s">
        <v>4382</v>
      </c>
      <c r="B4813" t="str">
        <f>"301085"</f>
        <v>301085</v>
      </c>
      <c r="C4813" t="s">
        <v>9668</v>
      </c>
      <c r="D4813" t="s">
        <v>212</v>
      </c>
      <c r="F4813">
        <v>-134290121</v>
      </c>
      <c r="P4813">
        <v>16</v>
      </c>
      <c r="Q4813" t="s">
        <v>9669</v>
      </c>
    </row>
    <row r="4814" spans="1:17" x14ac:dyDescent="0.3">
      <c r="A4814" t="s">
        <v>4382</v>
      </c>
      <c r="B4814" t="str">
        <f>"301086"</f>
        <v>301086</v>
      </c>
      <c r="C4814" t="s">
        <v>9670</v>
      </c>
      <c r="D4814" t="s">
        <v>150</v>
      </c>
      <c r="F4814">
        <v>-106923670</v>
      </c>
      <c r="P4814">
        <v>28</v>
      </c>
      <c r="Q4814" t="s">
        <v>9671</v>
      </c>
    </row>
    <row r="4815" spans="1:17" x14ac:dyDescent="0.3">
      <c r="A4815" t="s">
        <v>4382</v>
      </c>
      <c r="B4815" t="str">
        <f>"301087"</f>
        <v>301087</v>
      </c>
      <c r="C4815" t="s">
        <v>9672</v>
      </c>
      <c r="D4815" t="s">
        <v>113</v>
      </c>
      <c r="F4815">
        <v>-195003008</v>
      </c>
      <c r="G4815">
        <v>-69090857</v>
      </c>
      <c r="P4815">
        <v>33</v>
      </c>
      <c r="Q4815" t="s">
        <v>9673</v>
      </c>
    </row>
    <row r="4816" spans="1:17" x14ac:dyDescent="0.3">
      <c r="A4816" t="s">
        <v>4382</v>
      </c>
      <c r="B4816" t="str">
        <f>"301088"</f>
        <v>301088</v>
      </c>
      <c r="C4816" t="s">
        <v>9674</v>
      </c>
      <c r="D4816" t="s">
        <v>227</v>
      </c>
      <c r="F4816">
        <v>-116233645</v>
      </c>
      <c r="G4816">
        <v>39538469</v>
      </c>
      <c r="P4816">
        <v>28</v>
      </c>
      <c r="Q4816" t="s">
        <v>9675</v>
      </c>
    </row>
    <row r="4817" spans="1:17" x14ac:dyDescent="0.3">
      <c r="A4817" t="s">
        <v>4382</v>
      </c>
      <c r="B4817" t="str">
        <f>"301089"</f>
        <v>301089</v>
      </c>
      <c r="C4817" t="s">
        <v>9676</v>
      </c>
      <c r="D4817" t="s">
        <v>113</v>
      </c>
      <c r="F4817">
        <v>24211028</v>
      </c>
      <c r="G4817">
        <v>18288764</v>
      </c>
      <c r="P4817">
        <v>37</v>
      </c>
      <c r="Q4817" t="s">
        <v>9677</v>
      </c>
    </row>
    <row r="4818" spans="1:17" x14ac:dyDescent="0.3">
      <c r="A4818" t="s">
        <v>4382</v>
      </c>
      <c r="B4818" t="str">
        <f>"301090"</f>
        <v>301090</v>
      </c>
      <c r="C4818" t="s">
        <v>9678</v>
      </c>
      <c r="D4818" t="s">
        <v>133</v>
      </c>
      <c r="F4818">
        <v>-785484505</v>
      </c>
      <c r="G4818">
        <v>203609238</v>
      </c>
      <c r="P4818">
        <v>18</v>
      </c>
      <c r="Q4818" t="s">
        <v>9679</v>
      </c>
    </row>
    <row r="4819" spans="1:17" x14ac:dyDescent="0.3">
      <c r="A4819" t="s">
        <v>4382</v>
      </c>
      <c r="B4819" t="str">
        <f>"301091"</f>
        <v>301091</v>
      </c>
      <c r="C4819" t="s">
        <v>9680</v>
      </c>
      <c r="D4819" t="s">
        <v>95</v>
      </c>
      <c r="F4819">
        <v>-499057005</v>
      </c>
      <c r="G4819">
        <v>-225553639</v>
      </c>
      <c r="P4819">
        <v>25</v>
      </c>
      <c r="Q4819" t="s">
        <v>9681</v>
      </c>
    </row>
    <row r="4820" spans="1:17" x14ac:dyDescent="0.3">
      <c r="A4820" t="s">
        <v>4382</v>
      </c>
      <c r="B4820" t="str">
        <f>"301092"</f>
        <v>301092</v>
      </c>
      <c r="C4820" t="s">
        <v>9682</v>
      </c>
      <c r="D4820" t="s">
        <v>133</v>
      </c>
      <c r="F4820">
        <v>35787279</v>
      </c>
      <c r="G4820">
        <v>53779614</v>
      </c>
      <c r="P4820">
        <v>22</v>
      </c>
      <c r="Q4820" t="s">
        <v>9683</v>
      </c>
    </row>
    <row r="4821" spans="1:17" x14ac:dyDescent="0.3">
      <c r="A4821" t="s">
        <v>4382</v>
      </c>
      <c r="B4821" t="str">
        <f>"301093"</f>
        <v>301093</v>
      </c>
      <c r="C4821" t="s">
        <v>9684</v>
      </c>
      <c r="D4821" t="s">
        <v>113</v>
      </c>
      <c r="F4821">
        <v>28296762</v>
      </c>
      <c r="P4821">
        <v>30</v>
      </c>
      <c r="Q4821" t="s">
        <v>9685</v>
      </c>
    </row>
    <row r="4822" spans="1:17" x14ac:dyDescent="0.3">
      <c r="A4822" t="s">
        <v>4382</v>
      </c>
      <c r="B4822" t="str">
        <f>"301096"</f>
        <v>301096</v>
      </c>
      <c r="C4822" t="s">
        <v>9686</v>
      </c>
      <c r="D4822" t="s">
        <v>113</v>
      </c>
      <c r="F4822">
        <v>-76697861</v>
      </c>
      <c r="G4822">
        <v>-109962828</v>
      </c>
      <c r="P4822">
        <v>26</v>
      </c>
      <c r="Q4822" t="s">
        <v>9687</v>
      </c>
    </row>
    <row r="4823" spans="1:17" x14ac:dyDescent="0.3">
      <c r="A4823" t="s">
        <v>4382</v>
      </c>
      <c r="B4823" t="str">
        <f>"301098"</f>
        <v>301098</v>
      </c>
      <c r="C4823" t="s">
        <v>9688</v>
      </c>
      <c r="D4823" t="s">
        <v>95</v>
      </c>
      <c r="F4823">
        <v>-157957181</v>
      </c>
      <c r="G4823">
        <v>-187863931</v>
      </c>
      <c r="P4823">
        <v>13</v>
      </c>
      <c r="Q4823" t="s">
        <v>9689</v>
      </c>
    </row>
    <row r="4824" spans="1:17" x14ac:dyDescent="0.3">
      <c r="A4824" t="s">
        <v>4382</v>
      </c>
      <c r="B4824" t="str">
        <f>"301099"</f>
        <v>301099</v>
      </c>
      <c r="C4824" t="s">
        <v>9690</v>
      </c>
      <c r="D4824" t="s">
        <v>150</v>
      </c>
      <c r="F4824">
        <v>-425524977</v>
      </c>
      <c r="G4824">
        <v>-265058683</v>
      </c>
      <c r="P4824">
        <v>16</v>
      </c>
      <c r="Q4824" t="s">
        <v>9691</v>
      </c>
    </row>
    <row r="4825" spans="1:17" x14ac:dyDescent="0.3">
      <c r="A4825" t="s">
        <v>4382</v>
      </c>
      <c r="B4825" t="str">
        <f>"301100"</f>
        <v>301100</v>
      </c>
      <c r="C4825" t="s">
        <v>9692</v>
      </c>
      <c r="D4825" t="s">
        <v>133</v>
      </c>
      <c r="F4825">
        <v>-35266142</v>
      </c>
      <c r="G4825">
        <v>82395115</v>
      </c>
      <c r="P4825">
        <v>11</v>
      </c>
      <c r="Q4825" t="s">
        <v>9693</v>
      </c>
    </row>
    <row r="4826" spans="1:17" x14ac:dyDescent="0.3">
      <c r="A4826" t="s">
        <v>4382</v>
      </c>
      <c r="B4826" t="str">
        <f>"301101"</f>
        <v>301101</v>
      </c>
      <c r="C4826" t="s">
        <v>9694</v>
      </c>
      <c r="D4826" t="s">
        <v>161</v>
      </c>
      <c r="F4826">
        <v>38051704</v>
      </c>
      <c r="G4826">
        <v>-5931821</v>
      </c>
      <c r="P4826">
        <v>19</v>
      </c>
      <c r="Q4826" t="s">
        <v>9695</v>
      </c>
    </row>
    <row r="4827" spans="1:17" x14ac:dyDescent="0.3">
      <c r="A4827" t="s">
        <v>4382</v>
      </c>
      <c r="B4827" t="str">
        <f>"301106"</f>
        <v>301106</v>
      </c>
      <c r="C4827" t="s">
        <v>9696</v>
      </c>
      <c r="F4827">
        <v>-12453520</v>
      </c>
      <c r="G4827">
        <v>2204825</v>
      </c>
      <c r="P4827">
        <v>8</v>
      </c>
      <c r="Q4827" t="s">
        <v>9697</v>
      </c>
    </row>
    <row r="4828" spans="1:17" x14ac:dyDescent="0.3">
      <c r="A4828" t="s">
        <v>4382</v>
      </c>
      <c r="B4828" t="str">
        <f>"301108"</f>
        <v>301108</v>
      </c>
      <c r="C4828" t="s">
        <v>9698</v>
      </c>
      <c r="D4828" t="s">
        <v>481</v>
      </c>
      <c r="F4828">
        <v>122710591</v>
      </c>
      <c r="G4828">
        <v>43845819</v>
      </c>
      <c r="P4828">
        <v>24</v>
      </c>
      <c r="Q4828" t="s">
        <v>9699</v>
      </c>
    </row>
    <row r="4829" spans="1:17" x14ac:dyDescent="0.3">
      <c r="A4829" t="s">
        <v>4382</v>
      </c>
      <c r="B4829" t="str">
        <f>"301111"</f>
        <v>301111</v>
      </c>
      <c r="C4829" t="s">
        <v>9700</v>
      </c>
      <c r="D4829" t="s">
        <v>113</v>
      </c>
      <c r="F4829">
        <v>63834142</v>
      </c>
      <c r="G4829">
        <v>6404757</v>
      </c>
      <c r="P4829">
        <v>28</v>
      </c>
      <c r="Q4829" t="s">
        <v>9701</v>
      </c>
    </row>
    <row r="4830" spans="1:17" x14ac:dyDescent="0.3">
      <c r="A4830" t="s">
        <v>4382</v>
      </c>
      <c r="B4830" t="str">
        <f>"301113"</f>
        <v>301113</v>
      </c>
      <c r="C4830" t="s">
        <v>9702</v>
      </c>
      <c r="D4830" t="s">
        <v>161</v>
      </c>
      <c r="F4830">
        <v>42480984</v>
      </c>
      <c r="G4830">
        <v>24617288</v>
      </c>
      <c r="P4830">
        <v>27</v>
      </c>
      <c r="Q4830" t="s">
        <v>9703</v>
      </c>
    </row>
    <row r="4831" spans="1:17" x14ac:dyDescent="0.3">
      <c r="A4831" t="s">
        <v>4382</v>
      </c>
      <c r="B4831" t="str">
        <f>"301116"</f>
        <v>301116</v>
      </c>
      <c r="C4831" t="s">
        <v>9704</v>
      </c>
      <c r="D4831" t="s">
        <v>205</v>
      </c>
      <c r="F4831">
        <v>-470733577</v>
      </c>
      <c r="G4831">
        <v>-262402546</v>
      </c>
      <c r="P4831">
        <v>11</v>
      </c>
      <c r="Q4831" t="s">
        <v>9705</v>
      </c>
    </row>
    <row r="4832" spans="1:17" x14ac:dyDescent="0.3">
      <c r="A4832" t="s">
        <v>4382</v>
      </c>
      <c r="B4832" t="str">
        <f>"301117"</f>
        <v>301117</v>
      </c>
      <c r="C4832" t="s">
        <v>9706</v>
      </c>
      <c r="D4832" t="s">
        <v>212</v>
      </c>
      <c r="F4832">
        <v>-63434463</v>
      </c>
      <c r="G4832">
        <v>-55301517</v>
      </c>
      <c r="P4832">
        <v>9</v>
      </c>
      <c r="Q4832" t="s">
        <v>9707</v>
      </c>
    </row>
    <row r="4833" spans="1:17" x14ac:dyDescent="0.3">
      <c r="A4833" t="s">
        <v>4382</v>
      </c>
      <c r="B4833" t="str">
        <f>"301118"</f>
        <v>301118</v>
      </c>
      <c r="C4833" t="s">
        <v>9708</v>
      </c>
      <c r="D4833" t="s">
        <v>133</v>
      </c>
      <c r="F4833">
        <v>111954649</v>
      </c>
      <c r="G4833">
        <v>55239429</v>
      </c>
      <c r="P4833">
        <v>16</v>
      </c>
      <c r="Q4833" t="s">
        <v>9709</v>
      </c>
    </row>
    <row r="4834" spans="1:17" x14ac:dyDescent="0.3">
      <c r="A4834" t="s">
        <v>4382</v>
      </c>
      <c r="B4834" t="str">
        <f>"301119"</f>
        <v>301119</v>
      </c>
      <c r="C4834" t="s">
        <v>9710</v>
      </c>
      <c r="D4834" t="s">
        <v>27</v>
      </c>
      <c r="F4834">
        <v>19256935</v>
      </c>
      <c r="G4834">
        <v>29686946</v>
      </c>
      <c r="P4834">
        <v>12</v>
      </c>
      <c r="Q4834" t="s">
        <v>9711</v>
      </c>
    </row>
    <row r="4835" spans="1:17" x14ac:dyDescent="0.3">
      <c r="A4835" t="s">
        <v>4382</v>
      </c>
      <c r="B4835" t="str">
        <f>"301122"</f>
        <v>301122</v>
      </c>
      <c r="C4835" t="s">
        <v>9712</v>
      </c>
      <c r="F4835">
        <v>32251542</v>
      </c>
      <c r="G4835">
        <v>84484328</v>
      </c>
      <c r="P4835">
        <v>14</v>
      </c>
      <c r="Q4835" t="s">
        <v>9713</v>
      </c>
    </row>
    <row r="4836" spans="1:17" x14ac:dyDescent="0.3">
      <c r="A4836" t="s">
        <v>4382</v>
      </c>
      <c r="B4836" t="str">
        <f>"301123"</f>
        <v>301123</v>
      </c>
      <c r="C4836" t="s">
        <v>9714</v>
      </c>
      <c r="F4836">
        <v>-15427112</v>
      </c>
      <c r="P4836">
        <v>6</v>
      </c>
      <c r="Q4836" t="s">
        <v>9715</v>
      </c>
    </row>
    <row r="4837" spans="1:17" x14ac:dyDescent="0.3">
      <c r="A4837" t="s">
        <v>4382</v>
      </c>
      <c r="B4837" t="str">
        <f>"301126"</f>
        <v>301126</v>
      </c>
      <c r="C4837" t="s">
        <v>9716</v>
      </c>
      <c r="D4837" t="s">
        <v>113</v>
      </c>
      <c r="F4837">
        <v>-355956074</v>
      </c>
      <c r="G4837">
        <v>-418414387</v>
      </c>
      <c r="P4837">
        <v>14</v>
      </c>
      <c r="Q4837" t="s">
        <v>9717</v>
      </c>
    </row>
    <row r="4838" spans="1:17" x14ac:dyDescent="0.3">
      <c r="A4838" t="s">
        <v>4382</v>
      </c>
      <c r="B4838" t="str">
        <f>"301127"</f>
        <v>301127</v>
      </c>
      <c r="C4838" t="s">
        <v>9718</v>
      </c>
      <c r="D4838" t="s">
        <v>33</v>
      </c>
      <c r="F4838">
        <v>-172981587</v>
      </c>
      <c r="G4838">
        <v>66779851</v>
      </c>
      <c r="P4838">
        <v>13</v>
      </c>
      <c r="Q4838" t="s">
        <v>9719</v>
      </c>
    </row>
    <row r="4839" spans="1:17" x14ac:dyDescent="0.3">
      <c r="A4839" t="s">
        <v>4382</v>
      </c>
      <c r="B4839" t="str">
        <f>"301128"</f>
        <v>301128</v>
      </c>
      <c r="C4839" t="s">
        <v>9720</v>
      </c>
      <c r="D4839" t="s">
        <v>78</v>
      </c>
      <c r="F4839">
        <v>-55216967</v>
      </c>
      <c r="G4839">
        <v>-31114498</v>
      </c>
      <c r="P4839">
        <v>12</v>
      </c>
      <c r="Q4839" t="s">
        <v>9721</v>
      </c>
    </row>
    <row r="4840" spans="1:17" x14ac:dyDescent="0.3">
      <c r="A4840" t="s">
        <v>4382</v>
      </c>
      <c r="B4840" t="str">
        <f>"301129"</f>
        <v>301129</v>
      </c>
      <c r="C4840" t="s">
        <v>9722</v>
      </c>
      <c r="D4840" t="s">
        <v>78</v>
      </c>
      <c r="F4840">
        <v>-159418707</v>
      </c>
      <c r="G4840">
        <v>-123759953</v>
      </c>
      <c r="P4840">
        <v>22</v>
      </c>
      <c r="Q4840" t="s">
        <v>9723</v>
      </c>
    </row>
    <row r="4841" spans="1:17" x14ac:dyDescent="0.3">
      <c r="A4841" t="s">
        <v>4382</v>
      </c>
      <c r="B4841" t="str">
        <f>"301130"</f>
        <v>301130</v>
      </c>
      <c r="C4841" t="s">
        <v>9724</v>
      </c>
      <c r="F4841">
        <v>12636001</v>
      </c>
      <c r="G4841">
        <v>36092608</v>
      </c>
      <c r="P4841">
        <v>7</v>
      </c>
      <c r="Q4841" t="s">
        <v>9725</v>
      </c>
    </row>
    <row r="4842" spans="1:17" x14ac:dyDescent="0.3">
      <c r="A4842" t="s">
        <v>4382</v>
      </c>
      <c r="B4842" t="str">
        <f>"301133"</f>
        <v>301133</v>
      </c>
      <c r="C4842" t="s">
        <v>9726</v>
      </c>
      <c r="D4842" t="s">
        <v>27</v>
      </c>
      <c r="F4842">
        <v>-114069273</v>
      </c>
      <c r="G4842">
        <v>-56685084</v>
      </c>
      <c r="P4842">
        <v>15</v>
      </c>
      <c r="Q4842" t="s">
        <v>9727</v>
      </c>
    </row>
    <row r="4843" spans="1:17" x14ac:dyDescent="0.3">
      <c r="A4843" t="s">
        <v>4382</v>
      </c>
      <c r="B4843" t="str">
        <f>"301136"</f>
        <v>301136</v>
      </c>
      <c r="C4843" t="s">
        <v>9728</v>
      </c>
      <c r="D4843" t="s">
        <v>95</v>
      </c>
      <c r="F4843">
        <v>-145777660</v>
      </c>
      <c r="G4843">
        <v>-88829067</v>
      </c>
      <c r="P4843">
        <v>9</v>
      </c>
      <c r="Q4843" t="s">
        <v>9729</v>
      </c>
    </row>
    <row r="4844" spans="1:17" x14ac:dyDescent="0.3">
      <c r="A4844" t="s">
        <v>4382</v>
      </c>
      <c r="B4844" t="str">
        <f>"301138"</f>
        <v>301138</v>
      </c>
      <c r="C4844" t="s">
        <v>9730</v>
      </c>
      <c r="D4844" t="s">
        <v>78</v>
      </c>
      <c r="F4844">
        <v>129890098</v>
      </c>
      <c r="G4844">
        <v>33205821</v>
      </c>
      <c r="P4844">
        <v>16</v>
      </c>
      <c r="Q4844" t="s">
        <v>9731</v>
      </c>
    </row>
    <row r="4845" spans="1:17" x14ac:dyDescent="0.3">
      <c r="A4845" t="s">
        <v>4382</v>
      </c>
      <c r="B4845" t="str">
        <f>"301149"</f>
        <v>301149</v>
      </c>
      <c r="C4845" t="s">
        <v>9732</v>
      </c>
      <c r="D4845" t="s">
        <v>133</v>
      </c>
      <c r="F4845">
        <v>-80800401</v>
      </c>
      <c r="G4845">
        <v>-32794133</v>
      </c>
      <c r="P4845">
        <v>17</v>
      </c>
      <c r="Q4845" t="s">
        <v>9733</v>
      </c>
    </row>
    <row r="4846" spans="1:17" x14ac:dyDescent="0.3">
      <c r="A4846" t="s">
        <v>4382</v>
      </c>
      <c r="B4846" t="str">
        <f>"301155"</f>
        <v>301155</v>
      </c>
      <c r="C4846" t="s">
        <v>9734</v>
      </c>
      <c r="D4846" t="s">
        <v>188</v>
      </c>
      <c r="F4846">
        <v>316056483</v>
      </c>
      <c r="G4846">
        <v>-96179274</v>
      </c>
      <c r="P4846">
        <v>40</v>
      </c>
      <c r="Q4846" t="s">
        <v>9735</v>
      </c>
    </row>
    <row r="4847" spans="1:17" x14ac:dyDescent="0.3">
      <c r="A4847" t="s">
        <v>4382</v>
      </c>
      <c r="B4847" t="str">
        <f>"301158"</f>
        <v>301158</v>
      </c>
      <c r="C4847" t="s">
        <v>9736</v>
      </c>
      <c r="D4847" t="s">
        <v>78</v>
      </c>
      <c r="F4847">
        <v>-28057333</v>
      </c>
      <c r="G4847">
        <v>-28964390</v>
      </c>
      <c r="P4847">
        <v>12</v>
      </c>
      <c r="Q4847" t="s">
        <v>9737</v>
      </c>
    </row>
    <row r="4848" spans="1:17" x14ac:dyDescent="0.3">
      <c r="A4848" t="s">
        <v>4382</v>
      </c>
      <c r="B4848" t="str">
        <f>"301159"</f>
        <v>301159</v>
      </c>
      <c r="C4848" t="s">
        <v>9738</v>
      </c>
      <c r="D4848" t="s">
        <v>212</v>
      </c>
      <c r="F4848">
        <v>-76821153</v>
      </c>
      <c r="G4848">
        <v>-41162231</v>
      </c>
      <c r="P4848">
        <v>10</v>
      </c>
      <c r="Q4848" t="s">
        <v>9739</v>
      </c>
    </row>
    <row r="4849" spans="1:17" x14ac:dyDescent="0.3">
      <c r="A4849" t="s">
        <v>4382</v>
      </c>
      <c r="B4849" t="str">
        <f>"301166"</f>
        <v>301166</v>
      </c>
      <c r="C4849" t="s">
        <v>9740</v>
      </c>
      <c r="D4849" t="s">
        <v>113</v>
      </c>
      <c r="F4849">
        <v>-29043201</v>
      </c>
      <c r="G4849">
        <v>-2493900</v>
      </c>
      <c r="P4849">
        <v>21</v>
      </c>
      <c r="Q4849" t="s">
        <v>9741</v>
      </c>
    </row>
    <row r="4850" spans="1:17" x14ac:dyDescent="0.3">
      <c r="A4850" t="s">
        <v>4382</v>
      </c>
      <c r="B4850" t="str">
        <f>"301167"</f>
        <v>301167</v>
      </c>
      <c r="C4850" t="s">
        <v>9742</v>
      </c>
      <c r="D4850" t="s">
        <v>95</v>
      </c>
      <c r="F4850">
        <v>-75043468</v>
      </c>
      <c r="G4850">
        <v>-48779422</v>
      </c>
      <c r="P4850">
        <v>17</v>
      </c>
      <c r="Q4850" t="s">
        <v>9743</v>
      </c>
    </row>
    <row r="4851" spans="1:17" x14ac:dyDescent="0.3">
      <c r="A4851" t="s">
        <v>4382</v>
      </c>
      <c r="B4851" t="str">
        <f>"301168"</f>
        <v>301168</v>
      </c>
      <c r="C4851" t="s">
        <v>9744</v>
      </c>
      <c r="D4851" t="s">
        <v>188</v>
      </c>
      <c r="F4851">
        <v>28664459</v>
      </c>
      <c r="G4851">
        <v>23649238</v>
      </c>
      <c r="P4851">
        <v>14</v>
      </c>
      <c r="Q4851" t="s">
        <v>9745</v>
      </c>
    </row>
    <row r="4852" spans="1:17" x14ac:dyDescent="0.3">
      <c r="A4852" t="s">
        <v>4382</v>
      </c>
      <c r="B4852" t="str">
        <f>"301169"</f>
        <v>301169</v>
      </c>
      <c r="C4852" t="s">
        <v>9746</v>
      </c>
      <c r="D4852" t="s">
        <v>110</v>
      </c>
      <c r="F4852">
        <v>-54013334</v>
      </c>
      <c r="G4852">
        <v>-38422640</v>
      </c>
      <c r="P4852">
        <v>15</v>
      </c>
      <c r="Q4852" t="s">
        <v>9747</v>
      </c>
    </row>
    <row r="4853" spans="1:17" x14ac:dyDescent="0.3">
      <c r="A4853" t="s">
        <v>4382</v>
      </c>
      <c r="B4853" t="str">
        <f>"301177"</f>
        <v>301177</v>
      </c>
      <c r="C4853" t="s">
        <v>9748</v>
      </c>
      <c r="D4853" t="s">
        <v>227</v>
      </c>
      <c r="F4853">
        <v>1080436888</v>
      </c>
      <c r="G4853">
        <v>511418266</v>
      </c>
      <c r="P4853">
        <v>31</v>
      </c>
      <c r="Q4853" t="s">
        <v>9749</v>
      </c>
    </row>
    <row r="4854" spans="1:17" x14ac:dyDescent="0.3">
      <c r="A4854" t="s">
        <v>4382</v>
      </c>
      <c r="B4854" t="str">
        <f>"301178"</f>
        <v>301178</v>
      </c>
      <c r="C4854" t="s">
        <v>9750</v>
      </c>
      <c r="D4854" t="s">
        <v>212</v>
      </c>
      <c r="F4854">
        <v>-116519566</v>
      </c>
      <c r="G4854">
        <v>-30103873</v>
      </c>
      <c r="P4854">
        <v>15</v>
      </c>
      <c r="Q4854" t="s">
        <v>9751</v>
      </c>
    </row>
    <row r="4855" spans="1:17" x14ac:dyDescent="0.3">
      <c r="A4855" t="s">
        <v>4382</v>
      </c>
      <c r="B4855" t="str">
        <f>"301179"</f>
        <v>301179</v>
      </c>
      <c r="C4855" t="s">
        <v>9752</v>
      </c>
      <c r="D4855" t="s">
        <v>188</v>
      </c>
      <c r="F4855">
        <v>149924736</v>
      </c>
      <c r="G4855">
        <v>-16897126</v>
      </c>
      <c r="P4855">
        <v>17</v>
      </c>
      <c r="Q4855" t="s">
        <v>9753</v>
      </c>
    </row>
    <row r="4856" spans="1:17" x14ac:dyDescent="0.3">
      <c r="A4856" t="s">
        <v>4382</v>
      </c>
      <c r="B4856" t="str">
        <f>"301180"</f>
        <v>301180</v>
      </c>
      <c r="C4856" t="s">
        <v>9754</v>
      </c>
      <c r="D4856" t="s">
        <v>150</v>
      </c>
      <c r="F4856">
        <v>-4529979</v>
      </c>
      <c r="G4856">
        <v>-155262268</v>
      </c>
      <c r="P4856">
        <v>15</v>
      </c>
      <c r="Q4856" t="s">
        <v>9755</v>
      </c>
    </row>
    <row r="4857" spans="1:17" x14ac:dyDescent="0.3">
      <c r="A4857" t="s">
        <v>4382</v>
      </c>
      <c r="B4857" t="str">
        <f>"301181"</f>
        <v>301181</v>
      </c>
      <c r="C4857" t="s">
        <v>9756</v>
      </c>
      <c r="F4857">
        <v>40635328</v>
      </c>
      <c r="G4857">
        <v>65332515</v>
      </c>
      <c r="P4857">
        <v>5</v>
      </c>
      <c r="Q4857" t="s">
        <v>9757</v>
      </c>
    </row>
    <row r="4858" spans="1:17" x14ac:dyDescent="0.3">
      <c r="A4858" t="s">
        <v>4382</v>
      </c>
      <c r="B4858" t="str">
        <f>"301182"</f>
        <v>301182</v>
      </c>
      <c r="C4858" t="s">
        <v>9758</v>
      </c>
      <c r="D4858" t="s">
        <v>150</v>
      </c>
      <c r="F4858">
        <v>-18678671</v>
      </c>
      <c r="G4858">
        <v>-21970436</v>
      </c>
      <c r="P4858">
        <v>11</v>
      </c>
      <c r="Q4858" t="s">
        <v>9759</v>
      </c>
    </row>
    <row r="4859" spans="1:17" x14ac:dyDescent="0.3">
      <c r="A4859" t="s">
        <v>4382</v>
      </c>
      <c r="B4859" t="str">
        <f>"301185"</f>
        <v>301185</v>
      </c>
      <c r="C4859" t="s">
        <v>9760</v>
      </c>
      <c r="D4859" t="s">
        <v>212</v>
      </c>
      <c r="F4859">
        <v>7529185</v>
      </c>
      <c r="G4859">
        <v>-8679780</v>
      </c>
      <c r="P4859">
        <v>20</v>
      </c>
      <c r="Q4859" t="s">
        <v>9761</v>
      </c>
    </row>
    <row r="4860" spans="1:17" x14ac:dyDescent="0.3">
      <c r="A4860" t="s">
        <v>4382</v>
      </c>
      <c r="B4860" t="str">
        <f>"301186"</f>
        <v>301186</v>
      </c>
      <c r="C4860" t="s">
        <v>9762</v>
      </c>
      <c r="D4860" t="s">
        <v>27</v>
      </c>
      <c r="F4860">
        <v>-26530570</v>
      </c>
      <c r="G4860">
        <v>44460805</v>
      </c>
      <c r="P4860">
        <v>10</v>
      </c>
      <c r="Q4860" t="s">
        <v>9763</v>
      </c>
    </row>
    <row r="4861" spans="1:17" x14ac:dyDescent="0.3">
      <c r="A4861" t="s">
        <v>4382</v>
      </c>
      <c r="B4861" t="str">
        <f>"301187"</f>
        <v>301187</v>
      </c>
      <c r="C4861" t="s">
        <v>9764</v>
      </c>
      <c r="G4861">
        <v>65573960</v>
      </c>
      <c r="P4861">
        <v>1</v>
      </c>
      <c r="Q4861" t="s">
        <v>9765</v>
      </c>
    </row>
    <row r="4862" spans="1:17" x14ac:dyDescent="0.3">
      <c r="A4862" t="s">
        <v>4382</v>
      </c>
      <c r="B4862" t="str">
        <f>"301188"</f>
        <v>301188</v>
      </c>
      <c r="C4862" t="s">
        <v>9766</v>
      </c>
      <c r="D4862" t="s">
        <v>161</v>
      </c>
      <c r="F4862">
        <v>19375327</v>
      </c>
      <c r="G4862">
        <v>-18901695</v>
      </c>
      <c r="P4862">
        <v>18</v>
      </c>
      <c r="Q4862" t="s">
        <v>9767</v>
      </c>
    </row>
    <row r="4863" spans="1:17" x14ac:dyDescent="0.3">
      <c r="A4863" t="s">
        <v>4382</v>
      </c>
      <c r="B4863" t="str">
        <f>"301189"</f>
        <v>301189</v>
      </c>
      <c r="C4863" t="s">
        <v>9768</v>
      </c>
      <c r="D4863" t="s">
        <v>150</v>
      </c>
      <c r="F4863">
        <v>-5821092</v>
      </c>
      <c r="G4863">
        <v>103655462</v>
      </c>
      <c r="P4863">
        <v>10</v>
      </c>
      <c r="Q4863" t="s">
        <v>9769</v>
      </c>
    </row>
    <row r="4864" spans="1:17" x14ac:dyDescent="0.3">
      <c r="A4864" t="s">
        <v>4382</v>
      </c>
      <c r="B4864" t="str">
        <f>"301190"</f>
        <v>301190</v>
      </c>
      <c r="C4864" t="s">
        <v>9770</v>
      </c>
      <c r="D4864" t="s">
        <v>133</v>
      </c>
      <c r="F4864">
        <v>94289827</v>
      </c>
      <c r="G4864">
        <v>12882015</v>
      </c>
      <c r="P4864">
        <v>11</v>
      </c>
      <c r="Q4864" t="s">
        <v>9771</v>
      </c>
    </row>
    <row r="4865" spans="1:17" x14ac:dyDescent="0.3">
      <c r="A4865" t="s">
        <v>4382</v>
      </c>
      <c r="B4865" t="str">
        <f>"301193"</f>
        <v>301193</v>
      </c>
      <c r="C4865" t="s">
        <v>9772</v>
      </c>
      <c r="D4865" t="s">
        <v>161</v>
      </c>
      <c r="F4865">
        <v>-49781568</v>
      </c>
      <c r="G4865">
        <v>37635722</v>
      </c>
      <c r="P4865">
        <v>15</v>
      </c>
      <c r="Q4865" t="s">
        <v>9773</v>
      </c>
    </row>
    <row r="4866" spans="1:17" x14ac:dyDescent="0.3">
      <c r="A4866" t="s">
        <v>4382</v>
      </c>
      <c r="B4866" t="str">
        <f>"301196"</f>
        <v>301196</v>
      </c>
      <c r="C4866" t="s">
        <v>9774</v>
      </c>
      <c r="D4866" t="s">
        <v>133</v>
      </c>
      <c r="F4866">
        <v>-32374165</v>
      </c>
      <c r="G4866">
        <v>58382635</v>
      </c>
      <c r="P4866">
        <v>7</v>
      </c>
      <c r="Q4866" t="s">
        <v>9775</v>
      </c>
    </row>
    <row r="4867" spans="1:17" x14ac:dyDescent="0.3">
      <c r="A4867" t="s">
        <v>4382</v>
      </c>
      <c r="B4867" t="str">
        <f>"301198"</f>
        <v>301198</v>
      </c>
      <c r="C4867" t="s">
        <v>9776</v>
      </c>
      <c r="D4867" t="s">
        <v>161</v>
      </c>
      <c r="F4867">
        <v>-32797489</v>
      </c>
      <c r="G4867">
        <v>39670254</v>
      </c>
      <c r="P4867">
        <v>16</v>
      </c>
      <c r="Q4867" t="s">
        <v>9777</v>
      </c>
    </row>
    <row r="4868" spans="1:17" x14ac:dyDescent="0.3">
      <c r="A4868" t="s">
        <v>4382</v>
      </c>
      <c r="B4868" t="str">
        <f>"301199"</f>
        <v>301199</v>
      </c>
      <c r="C4868" t="s">
        <v>9778</v>
      </c>
      <c r="D4868" t="s">
        <v>78</v>
      </c>
      <c r="F4868">
        <v>-2663442</v>
      </c>
      <c r="G4868">
        <v>4615254</v>
      </c>
      <c r="P4868">
        <v>10</v>
      </c>
      <c r="Q4868" t="s">
        <v>9779</v>
      </c>
    </row>
    <row r="4869" spans="1:17" x14ac:dyDescent="0.3">
      <c r="A4869" t="s">
        <v>4382</v>
      </c>
      <c r="B4869" t="str">
        <f>"301200"</f>
        <v>301200</v>
      </c>
      <c r="C4869" t="s">
        <v>9780</v>
      </c>
      <c r="F4869">
        <v>-312295623</v>
      </c>
      <c r="G4869">
        <v>-93637251</v>
      </c>
      <c r="P4869">
        <v>13</v>
      </c>
      <c r="Q4869" t="s">
        <v>9781</v>
      </c>
    </row>
    <row r="4870" spans="1:17" x14ac:dyDescent="0.3">
      <c r="A4870" t="s">
        <v>4382</v>
      </c>
      <c r="B4870" t="str">
        <f>"301201"</f>
        <v>301201</v>
      </c>
      <c r="C4870" t="s">
        <v>9782</v>
      </c>
      <c r="D4870" t="s">
        <v>113</v>
      </c>
      <c r="F4870">
        <v>-28926545</v>
      </c>
      <c r="G4870">
        <v>49959537</v>
      </c>
      <c r="P4870">
        <v>18</v>
      </c>
      <c r="Q4870" t="s">
        <v>9783</v>
      </c>
    </row>
    <row r="4871" spans="1:17" x14ac:dyDescent="0.3">
      <c r="A4871" t="s">
        <v>4382</v>
      </c>
      <c r="B4871" t="str">
        <f>"301206"</f>
        <v>301206</v>
      </c>
      <c r="C4871" t="s">
        <v>9784</v>
      </c>
      <c r="F4871">
        <v>190542797</v>
      </c>
      <c r="G4871">
        <v>119300434</v>
      </c>
      <c r="P4871">
        <v>24</v>
      </c>
      <c r="Q4871" t="s">
        <v>9785</v>
      </c>
    </row>
    <row r="4872" spans="1:17" x14ac:dyDescent="0.3">
      <c r="A4872" t="s">
        <v>4382</v>
      </c>
      <c r="B4872" t="str">
        <f>"301207"</f>
        <v>301207</v>
      </c>
      <c r="C4872" t="s">
        <v>9786</v>
      </c>
      <c r="F4872">
        <v>-17980092</v>
      </c>
      <c r="G4872">
        <v>-271955436</v>
      </c>
      <c r="P4872">
        <v>19</v>
      </c>
      <c r="Q4872" t="s">
        <v>9787</v>
      </c>
    </row>
    <row r="4873" spans="1:17" x14ac:dyDescent="0.3">
      <c r="A4873" t="s">
        <v>4382</v>
      </c>
      <c r="B4873" t="str">
        <f>"301211"</f>
        <v>301211</v>
      </c>
      <c r="C4873" t="s">
        <v>9788</v>
      </c>
      <c r="D4873" t="s">
        <v>113</v>
      </c>
      <c r="F4873">
        <v>62543572</v>
      </c>
      <c r="G4873">
        <v>69973505</v>
      </c>
      <c r="P4873">
        <v>14</v>
      </c>
      <c r="Q4873" t="s">
        <v>9789</v>
      </c>
    </row>
    <row r="4874" spans="1:17" x14ac:dyDescent="0.3">
      <c r="A4874" t="s">
        <v>4382</v>
      </c>
      <c r="B4874" t="str">
        <f>"301213"</f>
        <v>301213</v>
      </c>
      <c r="C4874" t="s">
        <v>9790</v>
      </c>
      <c r="D4874" t="s">
        <v>92</v>
      </c>
      <c r="F4874">
        <v>-51539151</v>
      </c>
      <c r="G4874">
        <v>2211255</v>
      </c>
      <c r="P4874">
        <v>16</v>
      </c>
      <c r="Q4874" t="s">
        <v>9791</v>
      </c>
    </row>
    <row r="4875" spans="1:17" x14ac:dyDescent="0.3">
      <c r="A4875" t="s">
        <v>4382</v>
      </c>
      <c r="B4875" t="str">
        <f>"301215"</f>
        <v>301215</v>
      </c>
      <c r="C4875" t="s">
        <v>9792</v>
      </c>
      <c r="F4875">
        <v>19059821</v>
      </c>
      <c r="G4875">
        <v>-26569677</v>
      </c>
      <c r="P4875">
        <v>7</v>
      </c>
      <c r="Q4875" t="s">
        <v>9793</v>
      </c>
    </row>
    <row r="4876" spans="1:17" x14ac:dyDescent="0.3">
      <c r="A4876" t="s">
        <v>4382</v>
      </c>
      <c r="B4876" t="str">
        <f>"301217"</f>
        <v>301217</v>
      </c>
      <c r="C4876" t="s">
        <v>9794</v>
      </c>
      <c r="F4876">
        <v>53483816</v>
      </c>
      <c r="P4876">
        <v>16</v>
      </c>
      <c r="Q4876" t="s">
        <v>9795</v>
      </c>
    </row>
    <row r="4877" spans="1:17" x14ac:dyDescent="0.3">
      <c r="A4877" t="s">
        <v>4382</v>
      </c>
      <c r="B4877" t="str">
        <f>"301219"</f>
        <v>301219</v>
      </c>
      <c r="C4877" t="s">
        <v>9796</v>
      </c>
      <c r="G4877">
        <v>-280582726</v>
      </c>
      <c r="P4877">
        <v>8</v>
      </c>
      <c r="Q4877" t="s">
        <v>9797</v>
      </c>
    </row>
    <row r="4878" spans="1:17" x14ac:dyDescent="0.3">
      <c r="A4878" t="s">
        <v>4382</v>
      </c>
      <c r="B4878" t="str">
        <f>"301221"</f>
        <v>301221</v>
      </c>
      <c r="C4878" t="s">
        <v>9798</v>
      </c>
      <c r="D4878" t="s">
        <v>27</v>
      </c>
      <c r="F4878">
        <v>-73511009</v>
      </c>
      <c r="G4878">
        <v>39428459</v>
      </c>
      <c r="P4878">
        <v>16</v>
      </c>
      <c r="Q4878" t="s">
        <v>9799</v>
      </c>
    </row>
    <row r="4879" spans="1:17" x14ac:dyDescent="0.3">
      <c r="A4879" t="s">
        <v>4382</v>
      </c>
      <c r="B4879" t="str">
        <f>"301228"</f>
        <v>301228</v>
      </c>
      <c r="C4879" t="s">
        <v>9800</v>
      </c>
      <c r="F4879">
        <v>-19108664</v>
      </c>
      <c r="G4879">
        <v>-79802259</v>
      </c>
      <c r="P4879">
        <v>11</v>
      </c>
      <c r="Q4879" t="s">
        <v>9801</v>
      </c>
    </row>
    <row r="4880" spans="1:17" x14ac:dyDescent="0.3">
      <c r="A4880" t="s">
        <v>4382</v>
      </c>
      <c r="B4880" t="str">
        <f>"301229"</f>
        <v>301229</v>
      </c>
      <c r="C4880" t="s">
        <v>9802</v>
      </c>
      <c r="F4880">
        <v>7175401</v>
      </c>
      <c r="G4880">
        <v>-936148</v>
      </c>
      <c r="P4880">
        <v>6</v>
      </c>
      <c r="Q4880" t="s">
        <v>9803</v>
      </c>
    </row>
    <row r="4881" spans="1:17" x14ac:dyDescent="0.3">
      <c r="A4881" t="s">
        <v>4382</v>
      </c>
      <c r="B4881" t="str">
        <f>"301235"</f>
        <v>301235</v>
      </c>
      <c r="C4881" t="s">
        <v>9804</v>
      </c>
      <c r="F4881">
        <v>-128682507</v>
      </c>
      <c r="G4881">
        <v>-130390690</v>
      </c>
      <c r="P4881">
        <v>11</v>
      </c>
      <c r="Q4881" t="s">
        <v>9805</v>
      </c>
    </row>
    <row r="4882" spans="1:17" x14ac:dyDescent="0.3">
      <c r="A4882" t="s">
        <v>4382</v>
      </c>
      <c r="B4882" t="str">
        <f>"301236"</f>
        <v>301236</v>
      </c>
      <c r="C4882" t="s">
        <v>9806</v>
      </c>
      <c r="G4882">
        <v>791229868</v>
      </c>
      <c r="P4882">
        <v>4</v>
      </c>
      <c r="Q4882" t="s">
        <v>9807</v>
      </c>
    </row>
    <row r="4883" spans="1:17" x14ac:dyDescent="0.3">
      <c r="A4883" t="s">
        <v>4382</v>
      </c>
      <c r="B4883" t="str">
        <f>"301237"</f>
        <v>301237</v>
      </c>
      <c r="C4883" t="s">
        <v>9808</v>
      </c>
      <c r="F4883">
        <v>-11649097</v>
      </c>
      <c r="G4883">
        <v>-73993449</v>
      </c>
      <c r="P4883">
        <v>6</v>
      </c>
      <c r="Q4883" t="s">
        <v>9809</v>
      </c>
    </row>
    <row r="4884" spans="1:17" x14ac:dyDescent="0.3">
      <c r="A4884" t="s">
        <v>4382</v>
      </c>
      <c r="B4884" t="str">
        <f>"301268"</f>
        <v>301268</v>
      </c>
      <c r="C4884" t="s">
        <v>9810</v>
      </c>
      <c r="F4884">
        <v>-111734335</v>
      </c>
      <c r="P4884">
        <v>2</v>
      </c>
      <c r="Q4884" t="s">
        <v>9811</v>
      </c>
    </row>
    <row r="4886" spans="1:17" x14ac:dyDescent="0.3">
      <c r="A4886" t="s">
        <v>9812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筛选器_大陆_20220502_122834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2022-05-02T04:28:59Z</dcterms:created>
  <dcterms:modified xsi:type="dcterms:W3CDTF">2022-05-02T04:28:59Z</dcterms:modified>
</cp:coreProperties>
</file>