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7BD97C99-3B44-4D46-B05A-5CDEFB520691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122702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<sst xmlns="http://schemas.openxmlformats.org/spreadsheetml/2006/main" count="19512" uniqueCount="9959">
  <si>
    <t>交易所</t>
  </si>
  <si>
    <t>代码</t>
  </si>
  <si>
    <t>公司</t>
  </si>
  <si>
    <t>行业</t>
  </si>
  <si>
    <t>自由现金流量 累积 2022-12-31 (元)</t>
  </si>
  <si>
    <t>自由现金流量 累积 2021-12-31 (元)</t>
  </si>
  <si>
    <t>自由现金流量 累积 2020-12-31 (元)</t>
  </si>
  <si>
    <t>自由现金流量 累积 2019-12-31 (元)</t>
  </si>
  <si>
    <t>自由现金流量 累积 2018-12-31 (元)</t>
  </si>
  <si>
    <t>自由现金流量 累积 2017-12-31 (元)</t>
  </si>
  <si>
    <t>自由现金流量 累积 2016-12-31 (元)</t>
  </si>
  <si>
    <t>自由现金流量 累积 2015-12-31 (元)</t>
  </si>
  <si>
    <t>自由现金流量 累积 2014-12-31 (元)</t>
  </si>
  <si>
    <t>自由现金流量 累积 2013-12-31 (元)</t>
  </si>
  <si>
    <t>自由现金流量 累积 2012-12-31 (元)</t>
  </si>
  <si>
    <t>关注度</t>
  </si>
  <si>
    <t>理杏仁Url</t>
  </si>
  <si>
    <t>sh</t>
  </si>
  <si>
    <t>浦发银行</t>
  </si>
  <si>
    <t>银行</t>
  </si>
  <si>
    <t>www.lixinger.com/analytics/company/sh/600000/600000/detail</t>
  </si>
  <si>
    <t>白云机场</t>
  </si>
  <si>
    <t>交通运输</t>
  </si>
  <si>
    <t>www.lixinger.com/analytics/company/sh/600004/600004/detail</t>
  </si>
  <si>
    <t>武钢股份</t>
  </si>
  <si>
    <t>www.lixinger.com/analytics/company/sh/600005/600005/detail</t>
  </si>
  <si>
    <t>东风汽车</t>
  </si>
  <si>
    <t>汽车</t>
  </si>
  <si>
    <t>www.lixinger.com/analytics/company/sh/600006/600006/detail</t>
  </si>
  <si>
    <t>中国国贸</t>
  </si>
  <si>
    <t>房地产</t>
  </si>
  <si>
    <t>www.lixinger.com/analytics/company/sh/600007/600007/detail</t>
  </si>
  <si>
    <t>首创环保</t>
  </si>
  <si>
    <t>环保</t>
  </si>
  <si>
    <t>www.lixinger.com/analytics/company/sh/600008/600008/detail</t>
  </si>
  <si>
    <t>上海机场</t>
  </si>
  <si>
    <t>www.lixinger.com/analytics/company/sh/600009/600009/detail</t>
  </si>
  <si>
    <t>包钢股份</t>
  </si>
  <si>
    <t>钢铁</t>
  </si>
  <si>
    <t>www.lixinger.com/analytics/company/sh/600010/600010/detail</t>
  </si>
  <si>
    <t>华能国际</t>
  </si>
  <si>
    <t>公用事业</t>
  </si>
  <si>
    <t>www.lixinger.com/analytics/company/sh/600011/600011/detail</t>
  </si>
  <si>
    <t>皖通高速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</si>
  <si>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</si>
  <si>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</si>
  <si>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</si>
  <si>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</si>
  <si>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</si>
  <si>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</si>
  <si>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</si>
  <si>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</si>
  <si>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</si>
  <si>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</si>
  <si>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</si>
  <si>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</si>
  <si>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</si>
  <si>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</si>
  <si>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</si>
  <si>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</si>
  <si>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</si>
  <si>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</si>
  <si>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</si>
  <si>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</si>
  <si>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www.lixinger.com/analytics/company/sh/600025/600025/detail</t>
  </si>
  <si>
    <t>中远海能</t>
  </si>
  <si>
    <t>www.lixinger.com/analytics/company/sh/600026/600026/detail</t>
  </si>
  <si>
    <t>华电国际</t>
  </si>
  <si>
    <t>www.lixinger.com/analytics/company/sh/600027/600027/detail</t>
  </si>
  <si>
    <t>中国石化</t>
  </si>
  <si>
    <t>石油石化</t>
  </si>
  <si>
    <t>www.lixinger.com/analytics/company/sh/600028/600028/detail</t>
  </si>
  <si>
    <t>南方航空</t>
  </si>
  <si>
    <t>www.lixinger.com/analytics/company/sh/600029/600029/detail</t>
  </si>
  <si>
    <t>中信证券</t>
  </si>
  <si>
    <t>非银金融</t>
  </si>
  <si>
    <t>www.lixinger.com/analytics/company/sh/600030/600030/detail</t>
  </si>
  <si>
    <t>三一重工</t>
  </si>
  <si>
    <t>机械设备</t>
  </si>
  <si>
    <t>www.lixinger.com/analytics/company/sh/600031/600031/detail</t>
  </si>
  <si>
    <t>浙江新能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</si>
  <si>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</si>
  <si>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</si>
  <si>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</si>
  <si>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</si>
  <si>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</si>
  <si>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</si>
  <si>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</si>
  <si>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</si>
  <si>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传媒</t>
  </si>
  <si>
    <t>www.lixinger.com/analytics/company/sh/600037/600037/detail</t>
  </si>
  <si>
    <t>中直股份</t>
  </si>
  <si>
    <t>国防军工</t>
  </si>
  <si>
    <t>www.lixinger.com/analytics/company/sh/600038/600038/detail</t>
  </si>
  <si>
    <t>四川路桥</t>
  </si>
  <si>
    <t>建筑装饰</t>
  </si>
  <si>
    <t>www.lixinger.com/analytics/company/sh/600039/600039/detail</t>
  </si>
  <si>
    <t>保利发展</t>
  </si>
  <si>
    <t>www.lixinger.com/analytics/company/sh/600048/600048/detail</t>
  </si>
  <si>
    <t>中国联通</t>
  </si>
  <si>
    <t>通信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</si>
  <si>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</si>
  <si>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</si>
  <si>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</si>
  <si>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</si>
  <si>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</si>
  <si>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www.lixinger.com/analytics/company/sh/600052/600052/detail</t>
  </si>
  <si>
    <t>九鼎投资</t>
  </si>
  <si>
    <t>www.lixinger.com/analytics/company/sh/600053/600053/detail</t>
  </si>
  <si>
    <t>黄山旅游</t>
  </si>
  <si>
    <t>社会服务</t>
  </si>
  <si>
    <t>www.lixinger.com/analytics/company/sh/600054/600054/detail</t>
  </si>
  <si>
    <t>万东医疗</t>
  </si>
  <si>
    <t>医药生物</t>
  </si>
  <si>
    <t>www.lixinger.com/analytics/company/sh/600055/600055/detail</t>
  </si>
  <si>
    <t>中国医药</t>
  </si>
  <si>
    <t>www.lixinger.com/analytics/company/sh/600056/600056/detail</t>
  </si>
  <si>
    <t>厦门象屿</t>
  </si>
  <si>
    <t>www.lixinger.com/analytics/company/sh/600057/600057/detail</t>
  </si>
  <si>
    <t>五矿发展</t>
  </si>
  <si>
    <t>商贸零售</t>
  </si>
  <si>
    <t>www.lixinger.com/analytics/company/sh/600058/600058/detail</t>
  </si>
  <si>
    <t>古越龙山</t>
  </si>
  <si>
    <t>食品饮料</t>
  </si>
  <si>
    <t>www.lixinger.com/analytics/company/sh/600059/600059/detail</t>
  </si>
  <si>
    <t>海信视像</t>
  </si>
  <si>
    <t>家用电器</t>
  </si>
  <si>
    <t>www.lixinger.com/analytics/company/sh/600060/600060/detail</t>
  </si>
  <si>
    <t>国投资本</t>
  </si>
  <si>
    <t>www.lixinger.com/analytics/company/sh/600061/600061/detail</t>
  </si>
  <si>
    <t>华润双鹤</t>
  </si>
  <si>
    <t>www.lixinger.com/analytics/company/sh/600062/600062/detail</t>
  </si>
  <si>
    <t>皖维高新</t>
  </si>
  <si>
    <t>基础化工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</si>
  <si>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</si>
  <si>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</si>
  <si>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</si>
  <si>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</si>
  <si>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</si>
  <si>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</si>
  <si>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</si>
  <si>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</si>
  <si>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</si>
  <si>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</si>
  <si>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</si>
  <si>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</si>
  <si>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</si>
  <si>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</si>
  <si>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</si>
  <si>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</si>
  <si>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电子</t>
  </si>
  <si>
    <t>www.lixinger.com/analytics/company/sh/600071/600071/detail</t>
  </si>
  <si>
    <t>中船科技</t>
  </si>
  <si>
    <t>www.lixinger.com/analytics/company/sh/600072/600072/detail</t>
  </si>
  <si>
    <t>上海梅林</t>
  </si>
  <si>
    <t>www.lixinger.com/analytics/company/sh/600073/600073/detail</t>
  </si>
  <si>
    <t>退市保千</t>
  </si>
  <si>
    <t>www.lixinger.com/analytics/company/sh/600074/600074/detail</t>
  </si>
  <si>
    <t>新疆天业</t>
  </si>
  <si>
    <t>www.lixinger.com/analytics/company/sh/600075/600075/detail</t>
  </si>
  <si>
    <t>康欣新材</t>
  </si>
  <si>
    <t>轻工制造</t>
  </si>
  <si>
    <t>www.lixinger.com/analytics/company/sh/600076/600076/detail</t>
  </si>
  <si>
    <t>宋都股份</t>
  </si>
  <si>
    <t>www.lixinger.com/analytics/company/sh/600077/600077/detail</t>
  </si>
  <si>
    <t>*ST澄星</t>
  </si>
  <si>
    <t>www.lixinger.com/analytics/company/sh/600078/600078/detail</t>
  </si>
  <si>
    <t>人福医药</t>
  </si>
  <si>
    <t>www.lixinger.com/analytics/company/sh/600079/600079/detail</t>
  </si>
  <si>
    <t>金花股份</t>
  </si>
  <si>
    <t>www.lixinger.com/analytics/company/sh/600080/600080/detail</t>
  </si>
  <si>
    <t>东风科技</t>
  </si>
  <si>
    <t>www.lixinger.com/analytics/company/sh/600081/600081/detail</t>
  </si>
  <si>
    <t>海泰发展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</si>
  <si>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</si>
  <si>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</si>
  <si>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</si>
  <si>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</si>
  <si>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</si>
  <si>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</si>
  <si>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</si>
  <si>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</si>
  <si>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</si>
  <si>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</si>
  <si>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</si>
  <si>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</si>
  <si>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www.lixinger.com/analytics/company/sh/600088/600088/detail</t>
  </si>
  <si>
    <t>特变电工</t>
  </si>
  <si>
    <t>电力设备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</si>
  <si>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</si>
  <si>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</si>
  <si>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</si>
  <si>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</si>
  <si>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</si>
  <si>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</si>
  <si>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</si>
  <si>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</si>
  <si>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</si>
  <si>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</si>
  <si>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</si>
  <si>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</si>
  <si>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</si>
  <si>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</si>
  <si>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</si>
  <si>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</si>
  <si>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农林牧渔</t>
  </si>
  <si>
    <t>www.lixinger.com/analytics/company/sh/600097/600097/detail</t>
  </si>
  <si>
    <t>广州发展</t>
  </si>
  <si>
    <t>www.lixinger.com/analytics/company/sh/600098/600098/detail</t>
  </si>
  <si>
    <t>林海股份</t>
  </si>
  <si>
    <t>www.lixinger.com/analytics/company/sh/600099/600099/detail</t>
  </si>
  <si>
    <t>同方股份</t>
  </si>
  <si>
    <t>计算机</t>
  </si>
  <si>
    <t>www.lixinger.com/analytics/company/sh/600100/600100/detail</t>
  </si>
  <si>
    <t>明星电力</t>
  </si>
  <si>
    <t>www.lixinger.com/analytics/company/sh/600101/600101/detail</t>
  </si>
  <si>
    <t>莱钢股份</t>
  </si>
  <si>
    <t>www.lixinger.com/analytics/company/sh/600102/600102/detail</t>
  </si>
  <si>
    <t>青山纸业</t>
  </si>
  <si>
    <t>www.lixinger.com/analytics/company/sh/600103/600103/detail</t>
  </si>
  <si>
    <t>上汽集团</t>
  </si>
  <si>
    <t>www.lixinger.com/analytics/company/sh/600104/600104/detail</t>
  </si>
  <si>
    <t>永鼎股份</t>
  </si>
  <si>
    <t>www.lixinger.com/analytics/company/sh/600105/600105/detail</t>
  </si>
  <si>
    <t>重庆路桥</t>
  </si>
  <si>
    <t>www.lixinger.com/analytics/company/sh/600106/600106/detail</t>
  </si>
  <si>
    <t>美尔雅</t>
  </si>
  <si>
    <t>纺织服饰</t>
  </si>
  <si>
    <t>www.lixinger.com/analytics/company/sh/600107/600107/detail</t>
  </si>
  <si>
    <t>亚盛集团</t>
  </si>
  <si>
    <t>www.lixinger.com/analytics/company/sh/600108/600108/detail</t>
  </si>
  <si>
    <t>国金证券</t>
  </si>
  <si>
    <t>www.lixinger.com/analytics/company/sh/600109/600109/detail</t>
  </si>
  <si>
    <t>诺德股份</t>
  </si>
  <si>
    <t>有色金属</t>
  </si>
  <si>
    <t>www.lixinger.com/analytics/company/sh/600110/600110/detail</t>
  </si>
  <si>
    <t>北方稀土</t>
  </si>
  <si>
    <t>www.lixinger.com/analytics/company/sh/600111/600111/detail</t>
  </si>
  <si>
    <t>*ST天成</t>
  </si>
  <si>
    <t>www.lixinger.com/analytics/company/sh/600112/600112/detail</t>
  </si>
  <si>
    <t>浙江东日</t>
  </si>
  <si>
    <t>www.lixinger.com/analytics/company/sh/600113/600113/detail</t>
  </si>
  <si>
    <t>东睦股份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</si>
  <si>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</si>
  <si>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</si>
  <si>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</si>
  <si>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</si>
  <si>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</si>
  <si>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</si>
  <si>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www.lixinger.com/analytics/company/sh/600117/600117/detail</t>
  </si>
  <si>
    <t>中国卫星</t>
  </si>
  <si>
    <t>www.lixinger.com/analytics/company/sh/600118/600118/detail</t>
  </si>
  <si>
    <t>长江投资</t>
  </si>
  <si>
    <t>www.lixinger.com/analytics/company/sh/600119/600119/detail</t>
  </si>
  <si>
    <t>浙江东方</t>
  </si>
  <si>
    <t>www.lixinger.com/analytics/company/sh/600120/600120/detail</t>
  </si>
  <si>
    <t>郑州煤电</t>
  </si>
  <si>
    <t>煤炭</t>
  </si>
  <si>
    <t>www.lixinger.com/analytics/company/sh/600121/600121/detail</t>
  </si>
  <si>
    <t>ST宏图</t>
  </si>
  <si>
    <t>www.lixinger.com/analytics/company/sh/600122/600122/detail</t>
  </si>
  <si>
    <t>兰花科创</t>
  </si>
  <si>
    <t>www.lixinger.com/analytics/company/sh/600123/600123/detail</t>
  </si>
  <si>
    <t>铁龙物流</t>
  </si>
  <si>
    <t>www.lixinger.com/analytics/company/sh/600125/600125/detail</t>
  </si>
  <si>
    <t>杭钢股份</t>
  </si>
  <si>
    <t>www.lixinger.com/analytics/company/sh/600126/600126/detail</t>
  </si>
  <si>
    <t>金健米业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</si>
  <si>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</si>
  <si>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</si>
  <si>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</si>
  <si>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</si>
  <si>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</si>
  <si>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</si>
  <si>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www.lixinger.com/analytics/company/sh/600130/600130/detail</t>
  </si>
  <si>
    <t>国网信通</t>
  </si>
  <si>
    <t>www.lixinger.com/analytics/company/sh/600131/600131/detail</t>
  </si>
  <si>
    <t>重庆啤酒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</si>
  <si>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</si>
  <si>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</si>
  <si>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</si>
  <si>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</si>
  <si>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www.lixinger.com/analytics/company/sh/600135/600135/detail</t>
  </si>
  <si>
    <t>当代文体</t>
  </si>
  <si>
    <t>www.lixinger.com/analytics/company/sh/600136/600136/detail</t>
  </si>
  <si>
    <t>浪莎股份</t>
  </si>
  <si>
    <t>www.lixinger.com/analytics/company/sh/600137/600137/detail</t>
  </si>
  <si>
    <t>中青旅</t>
  </si>
  <si>
    <t>www.lixinger.com/analytics/company/sh/600138/600138/detail</t>
  </si>
  <si>
    <t>ST西源</t>
  </si>
  <si>
    <t>www.lixinger.com/analytics/company/sh/600139/600139/detail</t>
  </si>
  <si>
    <t>兴发集团</t>
  </si>
  <si>
    <t>www.lixinger.com/analytics/company/sh/600141/600141/detail</t>
  </si>
  <si>
    <t>金发科技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</si>
  <si>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</si>
  <si>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</si>
  <si>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</si>
  <si>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</si>
  <si>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</si>
  <si>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</si>
  <si>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www.lixinger.com/analytics/company/sh/600148/600148/detail</t>
  </si>
  <si>
    <t>廊坊发展</t>
  </si>
  <si>
    <t>www.lixinger.com/analytics/company/sh/600149/600149/detail</t>
  </si>
  <si>
    <t>中国船舶</t>
  </si>
  <si>
    <t>www.lixinger.com/analytics/company/sh/600150/600150/detail</t>
  </si>
  <si>
    <t>航天机电</t>
  </si>
  <si>
    <t>www.lixinger.com/analytics/company/sh/600151/600151/detail</t>
  </si>
  <si>
    <t>维科技术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</si>
  <si>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</si>
  <si>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</si>
  <si>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</si>
  <si>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</si>
  <si>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</si>
  <si>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</si>
  <si>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</si>
  <si>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</si>
  <si>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</si>
  <si>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</si>
  <si>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</si>
  <si>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</si>
  <si>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</si>
  <si>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</si>
  <si>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www.lixinger.com/analytics/company/sh/600160/600160/detail</t>
  </si>
  <si>
    <t>天坛生物</t>
  </si>
  <si>
    <t>www.lixinger.com/analytics/company/sh/600161/600161/detail</t>
  </si>
  <si>
    <t>香江控股</t>
  </si>
  <si>
    <t>www.lixinger.com/analytics/company/sh/600162/600162/detail</t>
  </si>
  <si>
    <t>中闽能源</t>
  </si>
  <si>
    <t>www.lixinger.com/analytics/company/sh/600163/600163/detail</t>
  </si>
  <si>
    <t>新日恒力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</si>
  <si>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</si>
  <si>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</si>
  <si>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</si>
  <si>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</si>
  <si>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</si>
  <si>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</si>
  <si>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</si>
  <si>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</si>
  <si>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www.lixinger.com/analytics/company/sh/600169/600169/detail</t>
  </si>
  <si>
    <t>上海建工</t>
  </si>
  <si>
    <t>www.lixinger.com/analytics/company/sh/600170/600170/detail</t>
  </si>
  <si>
    <t>上海贝岭</t>
  </si>
  <si>
    <t>www.lixinger.com/analytics/company/sh/600171/600171/detail</t>
  </si>
  <si>
    <t>黄河旋风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</si>
  <si>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</si>
  <si>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</si>
  <si>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</si>
  <si>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</si>
  <si>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</si>
  <si>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</si>
  <si>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建筑材料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</si>
  <si>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</si>
  <si>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</si>
  <si>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</si>
  <si>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</si>
  <si>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</si>
  <si>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</si>
  <si>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</si>
  <si>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</si>
  <si>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</si>
  <si>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</si>
  <si>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www.lixinger.com/analytics/company/sh/600182/600182/detail</t>
  </si>
  <si>
    <t>生益科技</t>
  </si>
  <si>
    <t>www.lixinger.com/analytics/company/sh/600183/600183/detail</t>
  </si>
  <si>
    <t>光电股份</t>
  </si>
  <si>
    <t>www.lixinger.com/analytics/company/sh/600184/600184/detail</t>
  </si>
  <si>
    <t>格力地产</t>
  </si>
  <si>
    <t>www.lixinger.com/analytics/company/sh/600185/600185/detail</t>
  </si>
  <si>
    <t>莲花健康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</si>
  <si>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</si>
  <si>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</si>
  <si>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</si>
  <si>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</si>
  <si>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</si>
  <si>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</si>
  <si>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www.lixinger.com/analytics/company/sh/600189/600189/detail</t>
  </si>
  <si>
    <t>锦州港</t>
  </si>
  <si>
    <t>www.lixinger.com/analytics/company/sh/600190/600190/detail</t>
  </si>
  <si>
    <t>*ST华资</t>
  </si>
  <si>
    <t>www.lixinger.com/analytics/company/sh/600191/600191/detail</t>
  </si>
  <si>
    <t>长城电工</t>
  </si>
  <si>
    <t>www.lixinger.com/analytics/company/sh/600192/600192/detail</t>
  </si>
  <si>
    <t>创兴资源</t>
  </si>
  <si>
    <t>www.lixinger.com/analytics/company/sh/600193/600193/detail</t>
  </si>
  <si>
    <t>中牧股份</t>
  </si>
  <si>
    <t>www.lixinger.com/analytics/company/sh/600195/600195/detail</t>
  </si>
  <si>
    <t>复星医药</t>
  </si>
  <si>
    <t>www.lixinger.com/analytics/company/sh/600196/600196/detail</t>
  </si>
  <si>
    <t>伊力特</t>
  </si>
  <si>
    <t>www.lixinger.com/analytics/company/sh/600197/600197/detail</t>
  </si>
  <si>
    <t>大唐电信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</si>
  <si>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</si>
  <si>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</si>
  <si>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</si>
  <si>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</si>
  <si>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</si>
  <si>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</si>
  <si>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</si>
  <si>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</si>
  <si>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www.lixinger.com/analytics/company/sh/600202/600202/detail</t>
  </si>
  <si>
    <t>福日电子</t>
  </si>
  <si>
    <t>www.lixinger.com/analytics/company/sh/600203/600203/detail</t>
  </si>
  <si>
    <t>有研新材</t>
  </si>
  <si>
    <t>www.lixinger.com/analytics/company/sh/600206/600206/detail</t>
  </si>
  <si>
    <t>安彩高科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</si>
  <si>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</si>
  <si>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</si>
  <si>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</si>
  <si>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</si>
  <si>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</si>
  <si>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</si>
  <si>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</si>
  <si>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</si>
  <si>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</si>
  <si>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</si>
  <si>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</si>
  <si>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</si>
  <si>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</si>
  <si>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</si>
  <si>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</si>
  <si>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</si>
  <si>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www.lixinger.com/analytics/company/sh/600216/600216/detail</t>
  </si>
  <si>
    <t>中再资环</t>
  </si>
  <si>
    <t>www.lixinger.com/analytics/company/sh/600217/600217/detail</t>
  </si>
  <si>
    <t>全柴动力</t>
  </si>
  <si>
    <t>www.lixinger.com/analytics/company/sh/600218/600218/detail</t>
  </si>
  <si>
    <t>南山铝业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</si>
  <si>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</si>
  <si>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</si>
  <si>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</si>
  <si>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</si>
  <si>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</si>
  <si>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</si>
  <si>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</si>
  <si>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</si>
  <si>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</si>
  <si>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</si>
  <si>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</si>
  <si>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</si>
  <si>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www.lixinger.com/analytics/company/sh/600226/600226/detail</t>
  </si>
  <si>
    <t>圣济堂</t>
  </si>
  <si>
    <t>www.lixinger.com/analytics/company/sh/600227/600227/detail</t>
  </si>
  <si>
    <t>返利科技</t>
  </si>
  <si>
    <t>www.lixinger.com/analytics/company/sh/600228/600228/detail</t>
  </si>
  <si>
    <t>城市传媒</t>
  </si>
  <si>
    <t>www.lixinger.com/analytics/company/sh/600229/600229/detail</t>
  </si>
  <si>
    <t>沧州大化</t>
  </si>
  <si>
    <t>www.lixinger.com/analytics/company/sh/600230/600230/detail</t>
  </si>
  <si>
    <t>凌钢股份</t>
  </si>
  <si>
    <t>www.lixinger.com/analytics/company/sh/600231/600231/detail</t>
  </si>
  <si>
    <t>金鹰股份</t>
  </si>
  <si>
    <t>www.lixinger.com/analytics/company/sh/600232/600232/detail</t>
  </si>
  <si>
    <t>圆通速递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</si>
  <si>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</si>
  <si>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</si>
  <si>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</si>
  <si>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</si>
  <si>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</si>
  <si>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</si>
  <si>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</si>
  <si>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</si>
  <si>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</si>
  <si>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</si>
  <si>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</si>
  <si>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</si>
  <si>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</si>
  <si>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</si>
  <si>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</si>
  <si>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</si>
  <si>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www.lixinger.com/analytics/company/sh/600241/600241/detail</t>
  </si>
  <si>
    <t>ST中昌</t>
  </si>
  <si>
    <t>www.lixinger.com/analytics/company/sh/600242/600242/detail</t>
  </si>
  <si>
    <t>青海华鼎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</si>
  <si>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</si>
  <si>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</si>
  <si>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</si>
  <si>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</si>
  <si>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</si>
  <si>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</si>
  <si>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</si>
  <si>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</si>
  <si>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美容护理</t>
  </si>
  <si>
    <t>www.lixinger.com/analytics/company/sh/600249/600249/detail</t>
  </si>
  <si>
    <t>南纺股份</t>
  </si>
  <si>
    <t>www.lixinger.com/analytics/company/sh/600250/600250/detail</t>
  </si>
  <si>
    <t>冠农股份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</si>
  <si>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</si>
  <si>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</si>
  <si>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</si>
  <si>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</si>
  <si>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</si>
  <si>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</si>
  <si>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www.lixinger.com/analytics/company/sh/600255/600255/detail</t>
  </si>
  <si>
    <t>广汇能源</t>
  </si>
  <si>
    <t>www.lixinger.com/analytics/company/sh/600256/600256/detail</t>
  </si>
  <si>
    <t>大湖股份</t>
  </si>
  <si>
    <t>www.lixinger.com/analytics/company/sh/600257/600257/detail</t>
  </si>
  <si>
    <t>首旅酒店</t>
  </si>
  <si>
    <t>www.lixinger.com/analytics/company/sh/600258/600258/detail</t>
  </si>
  <si>
    <t>广晟有色</t>
  </si>
  <si>
    <t>www.lixinger.com/analytics/company/sh/600259/600259/detail</t>
  </si>
  <si>
    <t>ST凯乐</t>
  </si>
  <si>
    <t>www.lixinger.com/analytics/company/sh/600260/600260/detail</t>
  </si>
  <si>
    <t>阳光照明</t>
  </si>
  <si>
    <t>www.lixinger.com/analytics/company/sh/600261/600261/detail</t>
  </si>
  <si>
    <t>北方股份</t>
  </si>
  <si>
    <t>www.lixinger.com/analytics/company/sh/600262/600262/detail</t>
  </si>
  <si>
    <t>*ST景谷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</si>
  <si>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</si>
  <si>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</si>
  <si>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</si>
  <si>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</si>
  <si>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</si>
  <si>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</si>
  <si>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</si>
  <si>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</si>
  <si>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</si>
  <si>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</si>
  <si>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</si>
  <si>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</si>
  <si>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</si>
  <si>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</si>
  <si>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</si>
  <si>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</si>
  <si>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</si>
  <si>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</si>
  <si>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</si>
  <si>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</si>
  <si>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</si>
  <si>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</si>
  <si>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</si>
  <si>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</si>
  <si>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</si>
  <si>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</si>
  <si>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</si>
  <si>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</si>
  <si>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www.lixinger.com/analytics/company/sh/600280/600280/detail</t>
  </si>
  <si>
    <t>华阳新材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</si>
  <si>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</si>
  <si>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</si>
  <si>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</si>
  <si>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</si>
  <si>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</si>
  <si>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</si>
  <si>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</si>
  <si>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</si>
  <si>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</si>
  <si>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</si>
  <si>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</si>
  <si>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</si>
  <si>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</si>
  <si>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</si>
  <si>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www.lixinger.com/analytics/company/sh/600288/600288/detail</t>
  </si>
  <si>
    <t>ST信通</t>
  </si>
  <si>
    <t>www.lixinger.com/analytics/company/sh/600289/600289/detail</t>
  </si>
  <si>
    <t>ST华仪</t>
  </si>
  <si>
    <t>www.lixinger.com/analytics/company/sh/600290/600290/detail</t>
  </si>
  <si>
    <t>*ST西水</t>
  </si>
  <si>
    <t>www.lixinger.com/analytics/company/sh/600291/600291/detail</t>
  </si>
  <si>
    <t>远达环保</t>
  </si>
  <si>
    <t>www.lixinger.com/analytics/company/sh/600292/600292/detail</t>
  </si>
  <si>
    <t>三峡新材</t>
  </si>
  <si>
    <t>www.lixinger.com/analytics/company/sh/600293/600293/detail</t>
  </si>
  <si>
    <t>鄂尔多斯</t>
  </si>
  <si>
    <t>www.lixinger.com/analytics/company/sh/600295/600295/detail</t>
  </si>
  <si>
    <t>广汇汽车</t>
  </si>
  <si>
    <t>www.lixinger.com/analytics/company/sh/600297/600297/detail</t>
  </si>
  <si>
    <t>安琪酵母</t>
  </si>
  <si>
    <t>www.lixinger.com/analytics/company/sh/600298/600298/detail</t>
  </si>
  <si>
    <t>安迪苏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</si>
  <si>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</si>
  <si>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</si>
  <si>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</si>
  <si>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</si>
  <si>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</si>
  <si>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</si>
  <si>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</si>
  <si>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</si>
  <si>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</si>
  <si>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</si>
  <si>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</si>
  <si>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</si>
  <si>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</si>
  <si>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</si>
  <si>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</si>
  <si>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</si>
  <si>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</si>
  <si>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</si>
  <si>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</si>
  <si>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</si>
  <si>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</si>
  <si>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</si>
  <si>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www.lixinger.com/analytics/company/sh/600311/600311/detail</t>
  </si>
  <si>
    <t>平高电气</t>
  </si>
  <si>
    <t>www.lixinger.com/analytics/company/sh/600312/600312/detail</t>
  </si>
  <si>
    <t>农发种业</t>
  </si>
  <si>
    <t>www.lixinger.com/analytics/company/sh/600313/600313/detail</t>
  </si>
  <si>
    <t>上海家化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</si>
  <si>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</si>
  <si>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</si>
  <si>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</si>
  <si>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</si>
  <si>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</si>
  <si>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</si>
  <si>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</si>
  <si>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</si>
  <si>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</si>
  <si>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</si>
  <si>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</si>
  <si>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</si>
  <si>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</si>
  <si>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</si>
  <si>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</si>
  <si>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</si>
  <si>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</si>
  <si>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</si>
  <si>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</si>
  <si>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</si>
  <si>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www.lixinger.com/analytics/company/sh/600326/600326/detail</t>
  </si>
  <si>
    <t>大东方</t>
  </si>
  <si>
    <t>www.lixinger.com/analytics/company/sh/600327/600327/detail</t>
  </si>
  <si>
    <t>中盐化工</t>
  </si>
  <si>
    <t>www.lixinger.com/analytics/company/sh/600328/600328/detail</t>
  </si>
  <si>
    <t>中新药业</t>
  </si>
  <si>
    <t>www.lixinger.com/analytics/company/sh/600329/600329/detail</t>
  </si>
  <si>
    <t>天通股份</t>
  </si>
  <si>
    <t>www.lixinger.com/analytics/company/sh/600330/600330/detail</t>
  </si>
  <si>
    <t>宏达股份</t>
  </si>
  <si>
    <t>www.lixinger.com/analytics/company/sh/600331/600331/detail</t>
  </si>
  <si>
    <t>白云山</t>
  </si>
  <si>
    <t>www.lixinger.com/analytics/company/sh/600332/600332/detail</t>
  </si>
  <si>
    <t>长春燃气</t>
  </si>
  <si>
    <t>www.lixinger.com/analytics/company/sh/600333/600333/detail</t>
  </si>
  <si>
    <t>国机汽车</t>
  </si>
  <si>
    <t>www.lixinger.com/analytics/company/sh/600335/600335/detail</t>
  </si>
  <si>
    <t>澳柯玛</t>
  </si>
  <si>
    <t>www.lixinger.com/analytics/company/sh/600336/600336/detail</t>
  </si>
  <si>
    <t>美克家居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</si>
  <si>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</si>
  <si>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</si>
  <si>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</si>
  <si>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</si>
  <si>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</si>
  <si>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</si>
  <si>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</si>
  <si>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</si>
  <si>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</si>
  <si>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</si>
  <si>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</si>
  <si>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</si>
  <si>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</si>
  <si>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</si>
  <si>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</si>
  <si>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</si>
  <si>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</si>
  <si>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</si>
  <si>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</si>
  <si>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</si>
  <si>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</si>
  <si>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</si>
  <si>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</si>
  <si>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</si>
  <si>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</si>
  <si>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</si>
  <si>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</si>
  <si>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</si>
  <si>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</si>
  <si>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</si>
  <si>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</si>
  <si>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</si>
  <si>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</si>
  <si>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</si>
  <si>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www.lixinger.com/analytics/company/sh/600360/600360/detail</t>
  </si>
  <si>
    <t>华联综超</t>
  </si>
  <si>
    <t>www.lixinger.com/analytics/company/sh/600361/600361/detail</t>
  </si>
  <si>
    <t>江西铜业</t>
  </si>
  <si>
    <t>www.lixinger.com/analytics/company/sh/600362/600362/detail</t>
  </si>
  <si>
    <t>联创光电</t>
  </si>
  <si>
    <t>www.lixinger.com/analytics/company/sh/600363/600363/detail</t>
  </si>
  <si>
    <t>ST通葡</t>
  </si>
  <si>
    <t>www.lixinger.com/analytics/company/sh/600365/600365/detail</t>
  </si>
  <si>
    <t>宁波韵升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</si>
  <si>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</si>
  <si>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</si>
  <si>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</si>
  <si>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</si>
  <si>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</si>
  <si>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</si>
  <si>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</si>
  <si>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</si>
  <si>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</si>
  <si>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</si>
  <si>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</si>
  <si>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</si>
  <si>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</si>
  <si>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</si>
  <si>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</si>
  <si>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</si>
  <si>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</si>
  <si>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</si>
  <si>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</si>
  <si>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</si>
  <si>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</si>
  <si>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</si>
  <si>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</si>
  <si>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</si>
  <si>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</si>
  <si>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</si>
  <si>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</si>
  <si>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</si>
  <si>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</si>
  <si>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</si>
  <si>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</si>
  <si>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</si>
  <si>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</si>
  <si>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</si>
  <si>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</si>
  <si>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</si>
  <si>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</si>
  <si>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</si>
  <si>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</si>
  <si>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</si>
  <si>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</si>
  <si>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</si>
  <si>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</si>
  <si>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</si>
  <si>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</si>
  <si>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</si>
  <si>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</si>
  <si>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</si>
  <si>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</si>
  <si>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</si>
  <si>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</si>
  <si>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</si>
  <si>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</si>
  <si>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</si>
  <si>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</si>
  <si>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</si>
  <si>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</si>
  <si>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</si>
  <si>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</si>
  <si>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</si>
  <si>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</si>
  <si>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</si>
  <si>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</si>
  <si>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</si>
  <si>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</si>
  <si>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</si>
  <si>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</si>
  <si>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</si>
  <si>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www.lixinger.com/analytics/company/sh/600405/600405/detail</t>
  </si>
  <si>
    <t>国电南瑞</t>
  </si>
  <si>
    <t>www.lixinger.com/analytics/company/sh/600406/600406/detail</t>
  </si>
  <si>
    <t>ST安泰</t>
  </si>
  <si>
    <t>www.lixinger.com/analytics/company/sh/600408/600408/detail</t>
  </si>
  <si>
    <t>三友化工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</si>
  <si>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</si>
  <si>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</si>
  <si>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</si>
  <si>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</si>
  <si>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</si>
  <si>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</si>
  <si>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www.lixinger.com/analytics/company/sh/600416/600416/detail</t>
  </si>
  <si>
    <t>江淮汽车</t>
  </si>
  <si>
    <t>www.lixinger.com/analytics/company/sh/600418/600418/detail</t>
  </si>
  <si>
    <t>天润乳业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</si>
  <si>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</si>
  <si>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</si>
  <si>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</si>
  <si>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</si>
  <si>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</si>
  <si>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</si>
  <si>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</si>
  <si>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</si>
  <si>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www.lixinger.com/analytics/company/sh/600423/600423/detail</t>
  </si>
  <si>
    <t>青松建化</t>
  </si>
  <si>
    <t>www.lixinger.com/analytics/company/sh/600425/600425/detail</t>
  </si>
  <si>
    <t>华鲁恒升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</si>
  <si>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</si>
  <si>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</si>
  <si>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</si>
  <si>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</si>
  <si>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</si>
  <si>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</si>
  <si>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</si>
  <si>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</si>
  <si>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</si>
  <si>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</si>
  <si>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</si>
  <si>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</si>
  <si>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</si>
  <si>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</si>
  <si>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www.lixinger.com/analytics/company/sh/600438/600438/detail</t>
  </si>
  <si>
    <t>瑞贝卡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</si>
  <si>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</si>
  <si>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</si>
  <si>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</si>
  <si>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</si>
  <si>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</si>
  <si>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</si>
  <si>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</si>
  <si>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</si>
  <si>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</si>
  <si>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</si>
  <si>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</si>
  <si>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</si>
  <si>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www.lixinger.com/analytics/company/sh/600455/600455/detail</t>
  </si>
  <si>
    <t>宝钛股份</t>
  </si>
  <si>
    <t>www.lixinger.com/analytics/company/sh/600456/600456/detail</t>
  </si>
  <si>
    <t>时代新材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</si>
  <si>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</si>
  <si>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</si>
  <si>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</si>
  <si>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</si>
  <si>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</si>
  <si>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</si>
  <si>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</si>
  <si>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</si>
  <si>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</si>
  <si>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</si>
  <si>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</si>
  <si>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</si>
  <si>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</si>
  <si>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</si>
  <si>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</si>
  <si>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</si>
  <si>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</si>
  <si>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</si>
  <si>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</si>
  <si>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</si>
  <si>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</si>
  <si>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</si>
  <si>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www.lixinger.com/analytics/company/sh/600475/600475/detail</t>
  </si>
  <si>
    <t>湘邮科技</t>
  </si>
  <si>
    <t>www.lixinger.com/analytics/company/sh/600476/600476/detail</t>
  </si>
  <si>
    <t>杭萧钢构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</si>
  <si>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</si>
  <si>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</si>
  <si>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</si>
  <si>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</si>
  <si>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</si>
  <si>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</si>
  <si>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www.lixinger.com/analytics/company/sh/600480/600480/detail</t>
  </si>
  <si>
    <t>双良节能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</si>
  <si>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</si>
  <si>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</si>
  <si>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</si>
  <si>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</si>
  <si>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</si>
  <si>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</si>
  <si>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</si>
  <si>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</si>
  <si>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</si>
  <si>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</si>
  <si>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</si>
  <si>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</si>
  <si>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</si>
  <si>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</si>
  <si>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</si>
  <si>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</si>
  <si>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</si>
  <si>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</si>
  <si>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</si>
  <si>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</si>
  <si>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www.lixinger.com/analytics/company/sh/600493/600493/detail</t>
  </si>
  <si>
    <t>晋西车轴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</si>
  <si>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</si>
  <si>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</si>
  <si>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</si>
  <si>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</si>
  <si>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</si>
  <si>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</si>
  <si>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</si>
  <si>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</si>
  <si>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</si>
  <si>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</si>
  <si>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</si>
  <si>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</si>
  <si>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</si>
  <si>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</si>
  <si>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</si>
  <si>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</si>
  <si>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</si>
  <si>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</si>
  <si>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</si>
  <si>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</si>
  <si>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</si>
  <si>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</si>
  <si>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</si>
  <si>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</si>
  <si>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</si>
  <si>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</si>
  <si>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</si>
  <si>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</si>
  <si>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</si>
  <si>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</si>
  <si>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</si>
  <si>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</si>
  <si>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</si>
  <si>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</si>
  <si>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</si>
  <si>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</si>
  <si>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</si>
  <si>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</si>
  <si>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</si>
  <si>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</si>
  <si>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</si>
  <si>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</si>
  <si>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</si>
  <si>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</si>
  <si>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</si>
  <si>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</si>
  <si>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</si>
  <si>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</si>
  <si>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</si>
  <si>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</si>
  <si>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</si>
  <si>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</si>
  <si>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</si>
  <si>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</si>
  <si>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</si>
  <si>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</si>
  <si>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</si>
  <si>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</si>
  <si>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</si>
  <si>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</si>
  <si>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</si>
  <si>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</si>
  <si>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</si>
  <si>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</si>
  <si>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</si>
  <si>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</si>
  <si>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</si>
  <si>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</si>
  <si>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</si>
  <si>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</si>
  <si>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</si>
  <si>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</si>
  <si>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</si>
  <si>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</si>
  <si>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</si>
  <si>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</si>
  <si>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</si>
  <si>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</si>
  <si>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</si>
  <si>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</si>
  <si>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</si>
  <si>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</si>
  <si>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</si>
  <si>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</si>
  <si>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</si>
  <si>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</si>
  <si>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</si>
  <si>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</si>
  <si>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</si>
  <si>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</si>
  <si>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</si>
  <si>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</si>
  <si>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</si>
  <si>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</si>
  <si>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</si>
  <si>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</si>
  <si>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</si>
  <si>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</si>
  <si>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</si>
  <si>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</si>
  <si>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www.lixinger.com/analytics/company/sh/600552/600552/detail</t>
  </si>
  <si>
    <t>*ST海创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</si>
  <si>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</si>
  <si>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</si>
  <si>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</si>
  <si>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</si>
  <si>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</si>
  <si>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</si>
  <si>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</si>
  <si>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</si>
  <si>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</si>
  <si>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</si>
  <si>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</si>
  <si>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</si>
  <si>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www.lixinger.com/analytics/company/sh/600561/600561/detail</t>
  </si>
  <si>
    <t>国睿科技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</si>
  <si>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</si>
  <si>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</si>
  <si>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</si>
  <si>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</si>
  <si>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</si>
  <si>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</si>
  <si>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</si>
  <si>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</si>
  <si>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</si>
  <si>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</si>
  <si>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</si>
  <si>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</si>
  <si>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</si>
  <si>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</si>
  <si>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</si>
  <si>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</si>
  <si>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</si>
  <si>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</si>
  <si>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</si>
  <si>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</si>
  <si>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</si>
  <si>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</si>
  <si>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</si>
  <si>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</si>
  <si>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</si>
  <si>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</si>
  <si>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</si>
  <si>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</si>
  <si>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</si>
  <si>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</si>
  <si>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</si>
  <si>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</si>
  <si>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</si>
  <si>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</si>
  <si>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</si>
  <si>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</si>
  <si>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</si>
  <si>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</si>
  <si>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</si>
  <si>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</si>
  <si>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</si>
  <si>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</si>
  <si>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</si>
  <si>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</si>
  <si>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</si>
  <si>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</si>
  <si>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</si>
  <si>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</si>
  <si>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www.lixinger.com/analytics/company/sh/600588/600588/detail</t>
  </si>
  <si>
    <t>ST榕泰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</si>
  <si>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</si>
  <si>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</si>
  <si>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</si>
  <si>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</si>
  <si>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</si>
  <si>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</si>
  <si>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</si>
  <si>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</si>
  <si>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</si>
  <si>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</si>
  <si>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</si>
  <si>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</si>
  <si>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www.lixinger.com/analytics/company/sh/600596/600596/detail</t>
  </si>
  <si>
    <t>光明乳业</t>
  </si>
  <si>
    <t>www.lixinger.com/analytics/company/sh/600597/600597/detail</t>
  </si>
  <si>
    <t>北大荒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</si>
  <si>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</si>
  <si>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</si>
  <si>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</si>
  <si>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</si>
  <si>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</si>
  <si>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</si>
  <si>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</si>
  <si>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</si>
  <si>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</si>
  <si>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</si>
  <si>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</si>
  <si>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</si>
  <si>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</si>
  <si>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</si>
  <si>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</si>
  <si>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</si>
  <si>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</si>
  <si>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</si>
  <si>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</si>
  <si>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</si>
  <si>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</si>
  <si>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</si>
  <si>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www.lixinger.com/analytics/company/sh/600610/600610/detail</t>
  </si>
  <si>
    <t>大众交通</t>
  </si>
  <si>
    <t>www.lixinger.com/analytics/company/sh/600611/600611/detail</t>
  </si>
  <si>
    <t>老凤祥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</si>
  <si>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</si>
  <si>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</si>
  <si>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</si>
  <si>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</si>
  <si>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</si>
  <si>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</si>
  <si>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</si>
  <si>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</si>
  <si>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</si>
  <si>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</si>
  <si>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</si>
  <si>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</si>
  <si>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</si>
  <si>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</si>
  <si>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</si>
  <si>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</si>
  <si>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</si>
  <si>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</si>
  <si>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</si>
  <si>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</si>
  <si>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</si>
  <si>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</si>
  <si>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</si>
  <si>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</si>
  <si>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</si>
  <si>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</si>
  <si>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</si>
  <si>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</si>
  <si>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</si>
  <si>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</si>
  <si>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</si>
  <si>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</si>
  <si>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</si>
  <si>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</si>
  <si>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</si>
  <si>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</si>
  <si>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</si>
  <si>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</si>
  <si>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</si>
  <si>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</si>
  <si>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</si>
  <si>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</si>
  <si>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</si>
  <si>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</si>
  <si>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</si>
  <si>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</si>
  <si>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</si>
  <si>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</si>
  <si>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</si>
  <si>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</si>
  <si>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</si>
  <si>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</si>
  <si>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</si>
  <si>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</si>
  <si>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</si>
  <si>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</si>
  <si>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</si>
  <si>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</si>
  <si>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</si>
  <si>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</si>
  <si>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</si>
  <si>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</si>
  <si>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</si>
  <si>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</si>
  <si>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</si>
  <si>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</si>
  <si>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</si>
  <si>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</si>
  <si>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</si>
  <si>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</si>
  <si>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</si>
  <si>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</si>
  <si>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</si>
  <si>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</si>
  <si>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</si>
  <si>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</si>
  <si>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</si>
  <si>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</si>
  <si>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</si>
  <si>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</si>
  <si>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</si>
  <si>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</si>
  <si>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</si>
  <si>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</si>
  <si>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</si>
  <si>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</si>
  <si>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</si>
  <si>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</si>
  <si>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</si>
  <si>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</si>
  <si>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</si>
  <si>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</si>
  <si>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</si>
  <si>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</si>
  <si>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</si>
  <si>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</si>
  <si>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</si>
  <si>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</si>
  <si>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</si>
  <si>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</si>
  <si>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</si>
  <si>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</si>
  <si>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</si>
  <si>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</si>
  <si>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</si>
  <si>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</si>
  <si>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</si>
  <si>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</si>
  <si>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</si>
  <si>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</si>
  <si>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</si>
  <si>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</si>
  <si>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</si>
  <si>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</si>
  <si>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</si>
  <si>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</si>
  <si>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</si>
  <si>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</si>
  <si>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</si>
  <si>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</si>
  <si>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</si>
  <si>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</si>
  <si>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</si>
  <si>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</si>
  <si>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</si>
  <si>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</si>
  <si>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</si>
  <si>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</si>
  <si>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</si>
  <si>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</si>
  <si>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</si>
  <si>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</si>
  <si>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</si>
  <si>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</si>
  <si>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</si>
  <si>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</si>
  <si>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</si>
  <si>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</si>
  <si>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</si>
  <si>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</si>
  <si>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</si>
  <si>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</si>
  <si>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</si>
  <si>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</si>
  <si>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</si>
  <si>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</si>
  <si>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</si>
  <si>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</si>
  <si>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</si>
  <si>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</si>
  <si>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</si>
  <si>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</si>
  <si>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</si>
  <si>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</si>
  <si>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</si>
  <si>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</si>
  <si>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</si>
  <si>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</si>
  <si>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</si>
  <si>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</si>
  <si>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</si>
  <si>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</si>
  <si>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</si>
  <si>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</si>
  <si>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</si>
  <si>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</si>
  <si>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</si>
  <si>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</si>
  <si>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</si>
  <si>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</si>
  <si>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</si>
  <si>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</si>
  <si>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</si>
  <si>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</si>
  <si>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</si>
  <si>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</si>
  <si>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</si>
  <si>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</si>
  <si>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</si>
  <si>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</si>
  <si>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</si>
  <si>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</si>
  <si>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</si>
  <si>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</si>
  <si>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</si>
  <si>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</si>
  <si>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</si>
  <si>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</si>
  <si>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</si>
  <si>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</si>
  <si>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</si>
  <si>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</si>
  <si>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</si>
  <si>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</si>
  <si>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</si>
  <si>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</si>
  <si>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</si>
  <si>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</si>
  <si>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</si>
  <si>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</si>
  <si>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</si>
  <si>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</si>
  <si>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</si>
  <si>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</si>
  <si>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</si>
  <si>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</si>
  <si>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</si>
  <si>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</si>
  <si>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</si>
  <si>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</si>
  <si>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</si>
  <si>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</si>
  <si>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</si>
  <si>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</si>
  <si>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</si>
  <si>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</si>
  <si>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</si>
  <si>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</si>
  <si>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</si>
  <si>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</si>
  <si>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</si>
  <si>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</si>
  <si>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</si>
  <si>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</si>
  <si>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</si>
  <si>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</si>
  <si>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</si>
  <si>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</si>
  <si>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</si>
  <si>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</si>
  <si>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</si>
  <si>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</si>
  <si>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</si>
  <si>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</si>
  <si>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</si>
  <si>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</si>
  <si>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</si>
  <si>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</si>
  <si>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</si>
  <si>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</si>
  <si>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</si>
  <si>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</si>
  <si>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</si>
  <si>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</si>
  <si>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</si>
  <si>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</si>
  <si>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</si>
  <si>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</si>
  <si>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</si>
  <si>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</si>
  <si>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</si>
  <si>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</si>
  <si>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</si>
  <si>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</si>
  <si>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</si>
  <si>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</si>
  <si>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</si>
  <si>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</si>
  <si>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</si>
  <si>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</si>
  <si>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</si>
  <si>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</si>
  <si>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</si>
  <si>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</si>
  <si>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</si>
  <si>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</si>
  <si>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</si>
  <si>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</si>
  <si>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</si>
  <si>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</si>
  <si>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</si>
  <si>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</si>
  <si>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</si>
  <si>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</si>
  <si>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</si>
  <si>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</si>
  <si>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</si>
  <si>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</si>
  <si>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</si>
  <si>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</si>
  <si>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</si>
  <si>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</si>
  <si>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</si>
  <si>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</si>
  <si>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www.lixinger.com/analytics/company/sh/600757/600757/detail</t>
  </si>
  <si>
    <t>辽宁能源</t>
  </si>
  <si>
    <t>www.lixinger.com/analytics/company/sh/600758/600758/detail</t>
  </si>
  <si>
    <t>ST洲际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</si>
  <si>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</si>
  <si>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</si>
  <si>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</si>
  <si>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</si>
  <si>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</si>
  <si>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</si>
  <si>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</si>
  <si>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</si>
  <si>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</si>
  <si>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</si>
  <si>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</si>
  <si>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</si>
  <si>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</si>
  <si>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</si>
  <si>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</si>
  <si>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</si>
  <si>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</si>
  <si>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</si>
  <si>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</si>
  <si>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</si>
  <si>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</si>
  <si>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</si>
  <si>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</si>
  <si>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</si>
  <si>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</si>
  <si>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</si>
  <si>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</si>
  <si>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</si>
  <si>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</si>
  <si>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</si>
  <si>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</si>
  <si>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</si>
  <si>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</si>
  <si>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</si>
  <si>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</si>
  <si>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</si>
  <si>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</si>
  <si>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</si>
  <si>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</si>
  <si>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</si>
  <si>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</si>
  <si>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</si>
  <si>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</si>
  <si>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</si>
  <si>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</si>
  <si>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</si>
  <si>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</si>
  <si>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</si>
  <si>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</si>
  <si>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</si>
  <si>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</si>
  <si>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</si>
  <si>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</si>
  <si>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</si>
  <si>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</si>
  <si>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</si>
  <si>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</si>
  <si>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</si>
  <si>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</si>
  <si>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</si>
  <si>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</si>
  <si>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</si>
  <si>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</si>
  <si>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</si>
  <si>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</si>
  <si>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</si>
  <si>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</si>
  <si>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</si>
  <si>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</si>
  <si>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</si>
  <si>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</si>
  <si>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</si>
  <si>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</si>
  <si>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</si>
  <si>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</si>
  <si>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</si>
  <si>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</si>
  <si>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</si>
  <si>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</si>
  <si>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</si>
  <si>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</si>
  <si>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</si>
  <si>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</si>
  <si>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</si>
  <si>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</si>
  <si>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</si>
  <si>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</si>
  <si>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</si>
  <si>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</si>
  <si>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</si>
  <si>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</si>
  <si>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</si>
  <si>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</si>
  <si>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</si>
  <si>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</si>
  <si>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</si>
  <si>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</si>
  <si>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</si>
  <si>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</si>
  <si>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</si>
  <si>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</si>
  <si>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</si>
  <si>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</si>
  <si>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</si>
  <si>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</si>
  <si>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</si>
  <si>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www.lixinger.com/analytics/company/sh/600816/600816/detail</t>
  </si>
  <si>
    <t>宇通重工</t>
  </si>
  <si>
    <t>www.lixinger.com/analytics/company/sh/600817/600817/detail</t>
  </si>
  <si>
    <t>中路股份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</si>
  <si>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</si>
  <si>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</si>
  <si>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</si>
  <si>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</si>
  <si>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</si>
  <si>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</si>
  <si>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</si>
  <si>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</si>
  <si>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</si>
  <si>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</si>
  <si>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</si>
  <si>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</si>
  <si>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</si>
  <si>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</si>
  <si>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</si>
  <si>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</si>
  <si>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</si>
  <si>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</si>
  <si>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</si>
  <si>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</si>
  <si>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</si>
  <si>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</si>
  <si>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</si>
  <si>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</si>
  <si>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</si>
  <si>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</si>
  <si>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</si>
  <si>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</si>
  <si>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www.lixinger.com/analytics/company/sh/600833/600833/detail</t>
  </si>
  <si>
    <t>申通地铁</t>
  </si>
  <si>
    <t>www.lixinger.com/analytics/company/sh/600834/600834/detail</t>
  </si>
  <si>
    <t>上海机电</t>
  </si>
  <si>
    <t>www.lixinger.com/analytics/company/sh/600835/600835/detail</t>
  </si>
  <si>
    <t>上海易连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</si>
  <si>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</si>
  <si>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</si>
  <si>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</si>
  <si>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</si>
  <si>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</si>
  <si>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</si>
  <si>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</si>
  <si>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</si>
  <si>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</si>
  <si>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</si>
  <si>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</si>
  <si>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</si>
  <si>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</si>
  <si>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</si>
  <si>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</si>
  <si>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</si>
  <si>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</si>
  <si>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</si>
  <si>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</si>
  <si>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</si>
  <si>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</si>
  <si>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</si>
  <si>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</si>
  <si>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</si>
  <si>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</si>
  <si>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</si>
  <si>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</si>
  <si>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</si>
  <si>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</si>
  <si>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</si>
  <si>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</si>
  <si>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</si>
  <si>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</si>
  <si>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</si>
  <si>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</si>
  <si>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</si>
  <si>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</si>
  <si>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</si>
  <si>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</si>
  <si>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</si>
  <si>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</si>
  <si>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</si>
  <si>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</si>
  <si>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</si>
  <si>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</si>
  <si>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</si>
  <si>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</si>
  <si>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</si>
  <si>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</si>
  <si>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</si>
  <si>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</si>
  <si>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</si>
  <si>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</si>
  <si>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</si>
  <si>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</si>
  <si>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</si>
  <si>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</si>
  <si>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</si>
  <si>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</si>
  <si>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</si>
  <si>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</si>
  <si>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</si>
  <si>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</si>
  <si>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</si>
  <si>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</si>
  <si>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</si>
  <si>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</si>
  <si>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</si>
  <si>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</si>
  <si>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</si>
  <si>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</si>
  <si>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</si>
  <si>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</si>
  <si>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</si>
  <si>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</si>
  <si>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</si>
  <si>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</si>
  <si>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</si>
  <si>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</si>
  <si>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</si>
  <si>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</si>
  <si>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</si>
  <si>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</si>
  <si>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</si>
  <si>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</si>
  <si>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</si>
  <si>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</si>
  <si>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</si>
  <si>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</si>
  <si>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</si>
  <si>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</si>
  <si>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</si>
  <si>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</si>
  <si>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</si>
  <si>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</si>
  <si>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</si>
  <si>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</si>
  <si>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</si>
  <si>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</si>
  <si>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</si>
  <si>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</si>
  <si>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</si>
  <si>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</si>
  <si>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</si>
  <si>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</si>
  <si>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</si>
  <si>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</si>
  <si>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</si>
  <si>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</si>
  <si>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</si>
  <si>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</si>
  <si>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</si>
  <si>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</si>
  <si>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</si>
  <si>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</si>
  <si>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</si>
  <si>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</si>
  <si>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</si>
  <si>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</si>
  <si>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</si>
  <si>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</si>
  <si>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</si>
  <si>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</si>
  <si>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</si>
  <si>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</si>
  <si>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</si>
  <si>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</si>
  <si>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</si>
  <si>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</si>
  <si>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</si>
  <si>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</si>
  <si>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</si>
  <si>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</si>
  <si>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</si>
  <si>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</si>
  <si>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</si>
  <si>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</si>
  <si>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</si>
  <si>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</si>
  <si>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</si>
  <si>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</si>
  <si>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</si>
  <si>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www.lixinger.com/analytics/company/sh/600919/600919/detail</t>
  </si>
  <si>
    <t>杭州银行</t>
  </si>
  <si>
    <t>www.lixinger.com/analytics/company/sh/600926/600926/detail</t>
  </si>
  <si>
    <t>永安期货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</si>
  <si>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</si>
  <si>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</si>
  <si>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</si>
  <si>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</si>
  <si>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</si>
  <si>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</si>
  <si>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</si>
  <si>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</si>
  <si>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</si>
  <si>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</si>
  <si>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</si>
  <si>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</si>
  <si>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</si>
  <si>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</si>
  <si>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</si>
  <si>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</si>
  <si>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</si>
  <si>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</si>
  <si>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</si>
  <si>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</si>
  <si>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</si>
  <si>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</si>
  <si>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</si>
  <si>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</si>
  <si>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</si>
  <si>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</si>
  <si>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</si>
  <si>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</si>
  <si>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</si>
  <si>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</si>
  <si>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</si>
  <si>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</si>
  <si>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</si>
  <si>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</si>
  <si>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</si>
  <si>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</si>
  <si>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</si>
  <si>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</si>
  <si>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</si>
  <si>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</si>
  <si>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</si>
  <si>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</si>
  <si>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</si>
  <si>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</si>
  <si>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</si>
  <si>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</si>
  <si>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</si>
  <si>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</si>
  <si>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</si>
  <si>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</si>
  <si>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</si>
  <si>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</si>
  <si>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</si>
  <si>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</si>
  <si>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</si>
  <si>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</si>
  <si>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</si>
  <si>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</si>
  <si>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</si>
  <si>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</si>
  <si>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</si>
  <si>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</si>
  <si>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</si>
  <si>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</si>
  <si>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</si>
  <si>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</si>
  <si>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</si>
  <si>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</si>
  <si>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</si>
  <si>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</si>
  <si>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</si>
  <si>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</si>
  <si>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</si>
  <si>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</si>
  <si>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</si>
  <si>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</si>
  <si>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</si>
  <si>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</si>
  <si>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</si>
  <si>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</si>
  <si>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</si>
  <si>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</si>
  <si>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</si>
  <si>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</si>
  <si>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</si>
  <si>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</si>
  <si>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</si>
  <si>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</si>
  <si>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</si>
  <si>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</si>
  <si>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</si>
  <si>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</si>
  <si>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</si>
  <si>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</si>
  <si>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</si>
  <si>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</si>
  <si>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</si>
  <si>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</si>
  <si>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</si>
  <si>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</si>
  <si>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</si>
  <si>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</si>
  <si>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</si>
  <si>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</si>
  <si>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</si>
  <si>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</si>
  <si>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</si>
  <si>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</si>
  <si>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</si>
  <si>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</si>
  <si>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</si>
  <si>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</si>
  <si>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</si>
  <si>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</si>
  <si>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</si>
  <si>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</si>
  <si>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</si>
  <si>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</si>
  <si>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</si>
  <si>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</si>
  <si>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</si>
  <si>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</si>
  <si>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</si>
  <si>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</si>
  <si>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</si>
  <si>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</si>
  <si>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</si>
  <si>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</si>
  <si>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</si>
  <si>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</si>
  <si>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</si>
  <si>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</si>
  <si>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</si>
  <si>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</si>
  <si>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</si>
  <si>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</si>
  <si>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</si>
  <si>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</si>
  <si>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</si>
  <si>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</si>
  <si>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</si>
  <si>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</si>
  <si>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</si>
  <si>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</si>
  <si>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</si>
  <si>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</si>
  <si>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</si>
  <si>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</si>
  <si>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</si>
  <si>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</si>
  <si>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</si>
  <si>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</si>
  <si>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</si>
  <si>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</si>
  <si>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</si>
  <si>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</si>
  <si>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</si>
  <si>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</si>
  <si>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</si>
  <si>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</si>
  <si>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</si>
  <si>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</si>
  <si>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</si>
  <si>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</si>
  <si>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</si>
  <si>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</si>
  <si>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www.lixinger.com/analytics/company/sh/601113/601113/detail</t>
  </si>
  <si>
    <t>三江购物</t>
  </si>
  <si>
    <t>www.lixinger.com/analytics/company/sh/601116/601116/detail</t>
  </si>
  <si>
    <t>中国化学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</si>
  <si>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</si>
  <si>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</si>
  <si>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</si>
  <si>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</si>
  <si>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</si>
  <si>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</si>
  <si>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</si>
  <si>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</si>
  <si>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</si>
  <si>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</si>
  <si>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</si>
  <si>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</si>
  <si>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</si>
  <si>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</si>
  <si>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</si>
  <si>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</si>
  <si>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</si>
  <si>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</si>
  <si>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</si>
  <si>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</si>
  <si>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</si>
  <si>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</si>
  <si>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</si>
  <si>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</si>
  <si>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</si>
  <si>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</si>
  <si>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</si>
  <si>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</si>
  <si>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</si>
  <si>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</si>
  <si>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</si>
  <si>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</si>
  <si>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</si>
  <si>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</si>
  <si>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</si>
  <si>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</si>
  <si>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</si>
  <si>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</si>
  <si>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</si>
  <si>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</si>
  <si>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</si>
  <si>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</si>
  <si>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</si>
  <si>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</si>
  <si>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</si>
  <si>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</si>
  <si>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</si>
  <si>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</si>
  <si>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</si>
  <si>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</si>
  <si>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</si>
  <si>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</si>
  <si>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</si>
  <si>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</si>
  <si>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</si>
  <si>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</si>
  <si>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</si>
  <si>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</si>
  <si>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</si>
  <si>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</si>
  <si>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</si>
  <si>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</si>
  <si>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</si>
  <si>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</si>
  <si>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</si>
  <si>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</si>
  <si>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</si>
  <si>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</si>
  <si>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</si>
  <si>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</si>
  <si>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</si>
  <si>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</si>
  <si>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</si>
  <si>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</si>
  <si>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</si>
  <si>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</si>
  <si>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</si>
  <si>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</si>
  <si>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</si>
  <si>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</si>
  <si>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</si>
  <si>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</si>
  <si>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</si>
  <si>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</si>
  <si>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</si>
  <si>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</si>
  <si>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</si>
  <si>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</si>
  <si>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</si>
  <si>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</si>
  <si>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</si>
  <si>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</si>
  <si>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</si>
  <si>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</si>
  <si>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</si>
  <si>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</si>
  <si>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</si>
  <si>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</si>
  <si>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</si>
  <si>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</si>
  <si>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</si>
  <si>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</si>
  <si>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</si>
  <si>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</si>
  <si>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</si>
  <si>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</si>
  <si>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</si>
  <si>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</si>
  <si>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</si>
  <si>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</si>
  <si>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</si>
  <si>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</si>
  <si>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</si>
  <si>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</si>
  <si>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</si>
  <si>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</si>
  <si>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</si>
  <si>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</si>
  <si>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</si>
  <si>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</si>
  <si>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</si>
  <si>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</si>
  <si>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</si>
  <si>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</si>
  <si>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</si>
  <si>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</si>
  <si>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</si>
  <si>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</si>
  <si>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</si>
  <si>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</si>
  <si>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</si>
  <si>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</si>
  <si>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</si>
  <si>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</si>
  <si>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</si>
  <si>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</si>
  <si>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</si>
  <si>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</si>
  <si>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</si>
  <si>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</si>
  <si>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</si>
  <si>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</si>
  <si>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</si>
  <si>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</si>
  <si>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</si>
  <si>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</si>
  <si>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</si>
  <si>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</si>
  <si>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</si>
  <si>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</si>
  <si>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</si>
  <si>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</si>
  <si>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</si>
  <si>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</si>
  <si>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</si>
  <si>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</si>
  <si>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</si>
  <si>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</si>
  <si>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</si>
  <si>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</si>
  <si>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</si>
  <si>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</si>
  <si>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</si>
  <si>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</si>
  <si>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</si>
  <si>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</si>
  <si>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</si>
  <si>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</si>
  <si>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</si>
  <si>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</si>
  <si>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</si>
  <si>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</si>
  <si>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</si>
  <si>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</si>
  <si>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</si>
  <si>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</si>
  <si>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</si>
  <si>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</si>
  <si>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</si>
  <si>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</si>
  <si>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</si>
  <si>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</si>
  <si>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</si>
  <si>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</si>
  <si>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</si>
  <si>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</si>
  <si>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</si>
  <si>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</si>
  <si>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</si>
  <si>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</si>
  <si>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</si>
  <si>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</si>
  <si>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</si>
  <si>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</si>
  <si>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</si>
  <si>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</si>
  <si>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</si>
  <si>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</si>
  <si>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</si>
  <si>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</si>
  <si>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</si>
  <si>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</si>
  <si>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</si>
  <si>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</si>
  <si>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</si>
  <si>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</si>
  <si>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</si>
  <si>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</si>
  <si>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</si>
  <si>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</si>
  <si>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</si>
  <si>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</si>
  <si>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</si>
  <si>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</si>
  <si>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</si>
  <si>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</si>
  <si>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</si>
  <si>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</si>
  <si>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</si>
  <si>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</si>
  <si>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</si>
  <si>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</si>
  <si>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</si>
  <si>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</si>
  <si>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</si>
  <si>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</si>
  <si>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</si>
  <si>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</si>
  <si>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</si>
  <si>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</si>
  <si>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</si>
  <si>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</si>
  <si>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</si>
  <si>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</si>
  <si>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</si>
  <si>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</si>
  <si>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</si>
  <si>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</si>
  <si>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</si>
  <si>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</si>
  <si>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</si>
  <si>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</si>
  <si>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</si>
  <si>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</si>
  <si>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</si>
  <si>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</si>
  <si>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</si>
  <si>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</si>
  <si>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</si>
  <si>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</si>
  <si>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</si>
  <si>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</si>
  <si>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</si>
  <si>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</si>
  <si>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</si>
  <si>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</si>
  <si>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</si>
  <si>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</si>
  <si>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</si>
  <si>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</si>
  <si>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</si>
  <si>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</si>
  <si>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</si>
  <si>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</si>
  <si>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</si>
  <si>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</si>
  <si>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</si>
  <si>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</si>
  <si>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</si>
  <si>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</si>
  <si>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</si>
  <si>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</si>
  <si>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</si>
  <si>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</si>
  <si>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</si>
  <si>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</si>
  <si>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</si>
  <si>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</si>
  <si>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</si>
  <si>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</si>
  <si>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</si>
  <si>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</si>
  <si>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</si>
  <si>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</si>
  <si>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</si>
  <si>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</si>
  <si>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</si>
  <si>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</si>
  <si>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</si>
  <si>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www.lixinger.com/analytics/company/sh/601882/601882/detail</t>
  </si>
  <si>
    <t>江河集团</t>
  </si>
  <si>
    <t>www.lixinger.com/analytics/company/sh/601886/601886/detail</t>
  </si>
  <si>
    <t>中国中免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</si>
  <si>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</si>
  <si>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</si>
  <si>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</si>
  <si>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</si>
  <si>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</si>
  <si>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</si>
  <si>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</si>
  <si>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</si>
  <si>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</si>
  <si>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</si>
  <si>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</si>
  <si>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</si>
  <si>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</si>
  <si>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</si>
  <si>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</si>
  <si>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</si>
  <si>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</si>
  <si>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</si>
  <si>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</si>
  <si>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</si>
  <si>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</si>
  <si>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</si>
  <si>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</si>
  <si>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</si>
  <si>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</si>
  <si>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</si>
  <si>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</si>
  <si>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</si>
  <si>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</si>
  <si>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</si>
  <si>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</si>
  <si>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</si>
  <si>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</si>
  <si>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</si>
  <si>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</si>
  <si>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</si>
  <si>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www.lixinger.com/analytics/company/sh/601958/601958/detail</t>
  </si>
  <si>
    <t>重庆银行</t>
  </si>
  <si>
    <t>www.lixinger.com/analytics/company/sh/601963/601963/detail</t>
  </si>
  <si>
    <t>中国汽研</t>
  </si>
  <si>
    <t>www.lixinger.com/analytics/company/sh/601965/601965/detail</t>
  </si>
  <si>
    <t>玲珑轮胎</t>
  </si>
  <si>
    <t>www.lixinger.com/analytics/company/sh/601966/601966/detail</t>
  </si>
  <si>
    <t>宝钢包装</t>
  </si>
  <si>
    <t>www.lixinger.com/analytics/company/sh/601968/601968/detail</t>
  </si>
  <si>
    <t>海南矿业</t>
  </si>
  <si>
    <t>www.lixinger.com/analytics/company/sh/601969/601969/detail</t>
  </si>
  <si>
    <t>招商南油</t>
  </si>
  <si>
    <t>www.lixinger.com/analytics/company/sh/601975/601975/detail</t>
  </si>
  <si>
    <t>中国核电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</si>
  <si>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</si>
  <si>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</si>
  <si>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</si>
  <si>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</si>
  <si>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</si>
  <si>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</si>
  <si>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</si>
  <si>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</si>
  <si>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</si>
  <si>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</si>
  <si>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</si>
  <si>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</si>
  <si>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</si>
  <si>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</si>
  <si>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</si>
  <si>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</si>
  <si>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</si>
  <si>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</si>
  <si>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</si>
  <si>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</si>
  <si>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</si>
  <si>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</si>
  <si>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</si>
  <si>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</si>
  <si>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</si>
  <si>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</si>
  <si>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</si>
  <si>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</si>
  <si>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</si>
  <si>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</si>
  <si>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</si>
  <si>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</si>
  <si>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</si>
  <si>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</si>
  <si>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</si>
  <si>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</si>
  <si>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</si>
  <si>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</si>
  <si>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</si>
  <si>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</si>
  <si>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</si>
  <si>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</si>
  <si>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</si>
  <si>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</si>
  <si>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</si>
  <si>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</si>
  <si>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</si>
  <si>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</si>
  <si>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</si>
  <si>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</si>
  <si>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</si>
  <si>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</si>
  <si>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</si>
  <si>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</si>
  <si>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</si>
  <si>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</si>
  <si>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</si>
  <si>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</si>
  <si>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</si>
  <si>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</si>
  <si>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www.lixinger.com/analytics/company/sh/603021/603021/detail</t>
  </si>
  <si>
    <t>新通联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</si>
  <si>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</si>
  <si>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</si>
  <si>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</si>
  <si>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</si>
  <si>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</si>
  <si>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</si>
  <si>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</si>
  <si>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</si>
  <si>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</si>
  <si>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</si>
  <si>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</si>
  <si>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</si>
  <si>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</si>
  <si>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</si>
  <si>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</si>
  <si>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</si>
  <si>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</si>
  <si>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</si>
  <si>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</si>
  <si>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</si>
  <si>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</si>
  <si>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</si>
  <si>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</si>
  <si>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</si>
  <si>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</si>
  <si>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</si>
  <si>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</si>
  <si>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</si>
  <si>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</si>
  <si>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</si>
  <si>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</si>
  <si>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</si>
  <si>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</si>
  <si>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</si>
  <si>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</si>
  <si>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</si>
  <si>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</si>
  <si>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</si>
  <si>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</si>
  <si>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</si>
  <si>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</si>
  <si>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</si>
  <si>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</si>
  <si>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</si>
  <si>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</si>
  <si>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</si>
  <si>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</si>
  <si>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</si>
  <si>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</si>
  <si>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</si>
  <si>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</si>
  <si>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</si>
  <si>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</si>
  <si>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</si>
  <si>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</si>
  <si>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</si>
  <si>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</si>
  <si>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</si>
  <si>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</si>
  <si>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</si>
  <si>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</si>
  <si>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</si>
  <si>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</si>
  <si>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</si>
  <si>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</si>
  <si>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</si>
  <si>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</si>
  <si>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</si>
  <si>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</si>
  <si>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</si>
  <si>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</si>
  <si>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</si>
  <si>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</si>
  <si>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</si>
  <si>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</si>
  <si>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</si>
  <si>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</si>
  <si>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</si>
  <si>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</si>
  <si>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</si>
  <si>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</si>
  <si>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</si>
  <si>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</si>
  <si>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</si>
  <si>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</si>
  <si>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</si>
  <si>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</si>
  <si>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</si>
  <si>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</si>
  <si>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</si>
  <si>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</si>
  <si>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</si>
  <si>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</si>
  <si>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</si>
  <si>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</si>
  <si>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</si>
  <si>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</si>
  <si>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</si>
  <si>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</si>
  <si>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</si>
  <si>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</si>
  <si>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</si>
  <si>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</si>
  <si>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</si>
  <si>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</si>
  <si>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</si>
  <si>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</si>
  <si>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</si>
  <si>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</si>
  <si>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</si>
  <si>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</si>
  <si>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</si>
  <si>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</si>
  <si>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</si>
  <si>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</si>
  <si>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</si>
  <si>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</si>
  <si>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</si>
  <si>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</si>
  <si>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</si>
  <si>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</si>
  <si>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</si>
  <si>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</si>
  <si>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</si>
  <si>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www.lixinger.com/analytics/company/sh/603108/603108/detail</t>
  </si>
  <si>
    <t>神驰机电</t>
  </si>
  <si>
    <t>www.lixinger.com/analytics/company/sh/603109/603109/detail</t>
  </si>
  <si>
    <t>东方材料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</si>
  <si>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</si>
  <si>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</si>
  <si>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</si>
  <si>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</si>
  <si>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</si>
  <si>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</si>
  <si>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</si>
  <si>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</si>
  <si>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</si>
  <si>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</si>
  <si>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</si>
  <si>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</si>
  <si>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</si>
  <si>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</si>
  <si>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</si>
  <si>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</si>
  <si>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</si>
  <si>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</si>
  <si>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</si>
  <si>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</si>
  <si>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</si>
  <si>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</si>
  <si>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</si>
  <si>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</si>
  <si>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</si>
  <si>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</si>
  <si>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</si>
  <si>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</si>
  <si>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</si>
  <si>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</si>
  <si>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</si>
  <si>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</si>
  <si>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</si>
  <si>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</si>
  <si>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</si>
  <si>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</si>
  <si>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</si>
  <si>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</si>
  <si>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</si>
  <si>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</si>
  <si>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</si>
  <si>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</si>
  <si>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</si>
  <si>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</si>
  <si>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</si>
  <si>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</si>
  <si>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</si>
  <si>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</si>
  <si>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</si>
  <si>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</si>
  <si>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</si>
  <si>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</si>
  <si>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</si>
  <si>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</si>
  <si>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</si>
  <si>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</si>
  <si>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</si>
  <si>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</si>
  <si>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</si>
  <si>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</si>
  <si>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</si>
  <si>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</si>
  <si>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</si>
  <si>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</si>
  <si>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</si>
  <si>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</si>
  <si>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</si>
  <si>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</si>
  <si>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</si>
  <si>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</si>
  <si>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</si>
  <si>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</si>
  <si>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</si>
  <si>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</si>
  <si>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</si>
  <si>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</si>
  <si>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</si>
  <si>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</si>
  <si>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</si>
  <si>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</si>
  <si>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</si>
  <si>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</si>
  <si>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</si>
  <si>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</si>
  <si>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</si>
  <si>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</si>
  <si>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</si>
  <si>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</si>
  <si>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</si>
  <si>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</si>
  <si>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</si>
  <si>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</si>
  <si>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</si>
  <si>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</si>
  <si>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</si>
  <si>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</si>
  <si>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</si>
  <si>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</si>
  <si>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</si>
  <si>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</si>
  <si>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</si>
  <si>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</si>
  <si>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</si>
  <si>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</si>
  <si>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</si>
  <si>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</si>
  <si>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</si>
  <si>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</si>
  <si>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</si>
  <si>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</si>
  <si>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</si>
  <si>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</si>
  <si>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</si>
  <si>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</si>
  <si>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</si>
  <si>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</si>
  <si>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</si>
  <si>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</si>
  <si>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</si>
  <si>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</si>
  <si>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</si>
  <si>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</si>
  <si>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</si>
  <si>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</si>
  <si>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</si>
  <si>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</si>
  <si>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</si>
  <si>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</si>
  <si>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</si>
  <si>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</si>
  <si>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</si>
  <si>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</si>
  <si>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</si>
  <si>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</si>
  <si>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</si>
  <si>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</si>
  <si>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</si>
  <si>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</si>
  <si>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</si>
  <si>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</si>
  <si>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</si>
  <si>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</si>
  <si>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www.lixinger.com/analytics/company/sh/603225/603225/detail</t>
  </si>
  <si>
    <t>菲林格尔</t>
  </si>
  <si>
    <t>www.lixinger.com/analytics/company/sh/603226/603226/detail</t>
  </si>
  <si>
    <t>雪峰科技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</si>
  <si>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</si>
  <si>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</si>
  <si>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</si>
  <si>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</si>
  <si>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</si>
  <si>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</si>
  <si>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</si>
  <si>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</si>
  <si>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</si>
  <si>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</si>
  <si>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</si>
  <si>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</si>
  <si>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</si>
  <si>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</si>
  <si>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</si>
  <si>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</si>
  <si>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</si>
  <si>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</si>
  <si>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</si>
  <si>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</si>
  <si>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</si>
  <si>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</si>
  <si>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</si>
  <si>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</si>
  <si>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</si>
  <si>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</si>
  <si>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</si>
  <si>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</si>
  <si>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</si>
  <si>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</si>
  <si>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</si>
  <si>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</si>
  <si>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</si>
  <si>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</si>
  <si>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</si>
  <si>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</si>
  <si>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</si>
  <si>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</si>
  <si>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</si>
  <si>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</si>
  <si>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</si>
  <si>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</si>
  <si>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</si>
  <si>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</si>
  <si>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</si>
  <si>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</si>
  <si>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</si>
  <si>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</si>
  <si>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</si>
  <si>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</si>
  <si>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</si>
  <si>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</si>
  <si>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</si>
  <si>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</si>
  <si>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</si>
  <si>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</si>
  <si>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</si>
  <si>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</si>
  <si>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</si>
  <si>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</si>
  <si>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</si>
  <si>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</si>
  <si>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</si>
  <si>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</si>
  <si>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</si>
  <si>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</si>
  <si>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</si>
  <si>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</si>
  <si>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</si>
  <si>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</si>
  <si>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</si>
  <si>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</si>
  <si>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</si>
  <si>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</si>
  <si>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</si>
  <si>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</si>
  <si>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</si>
  <si>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</si>
  <si>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</si>
  <si>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</si>
  <si>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</si>
  <si>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</si>
  <si>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</si>
  <si>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</si>
  <si>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</si>
  <si>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</si>
  <si>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</si>
  <si>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</si>
  <si>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</si>
  <si>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</si>
  <si>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</si>
  <si>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</si>
  <si>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</si>
  <si>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</si>
  <si>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</si>
  <si>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</si>
  <si>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</si>
  <si>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</si>
  <si>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</si>
  <si>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</si>
  <si>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</si>
  <si>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</si>
  <si>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</si>
  <si>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</si>
  <si>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</si>
  <si>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</si>
  <si>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</si>
  <si>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</si>
  <si>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</si>
  <si>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</si>
  <si>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</si>
  <si>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</si>
  <si>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</si>
  <si>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</si>
  <si>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</si>
  <si>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</si>
  <si>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</si>
  <si>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</si>
  <si>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</si>
  <si>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</si>
  <si>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</si>
  <si>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</si>
  <si>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</si>
  <si>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</si>
  <si>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</si>
  <si>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</si>
  <si>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</si>
  <si>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</si>
  <si>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</si>
  <si>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</si>
  <si>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</si>
  <si>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</si>
  <si>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</si>
  <si>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</si>
  <si>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</si>
  <si>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</si>
  <si>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</si>
  <si>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</si>
  <si>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</si>
  <si>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</si>
  <si>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</si>
  <si>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</si>
  <si>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</si>
  <si>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</si>
  <si>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</si>
  <si>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</si>
  <si>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www.lixinger.com/analytics/company/sh/603363/603363/detail</t>
  </si>
  <si>
    <t>水星家纺</t>
  </si>
  <si>
    <t>www.lixinger.com/analytics/company/sh/603365/603365/detail</t>
  </si>
  <si>
    <t>日出东方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</si>
  <si>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</si>
  <si>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</si>
  <si>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</si>
  <si>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</si>
  <si>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</si>
  <si>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</si>
  <si>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</si>
  <si>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</si>
  <si>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</si>
  <si>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</si>
  <si>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</si>
  <si>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</si>
  <si>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</si>
  <si>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</si>
  <si>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</si>
  <si>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</si>
  <si>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</si>
  <si>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</si>
  <si>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</si>
  <si>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</si>
  <si>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</si>
  <si>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</si>
  <si>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</si>
  <si>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</si>
  <si>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</si>
  <si>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</si>
  <si>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</si>
  <si>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</si>
  <si>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</si>
  <si>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</si>
  <si>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</si>
  <si>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</si>
  <si>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</si>
  <si>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</si>
  <si>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</si>
  <si>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</si>
  <si>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</si>
  <si>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</si>
  <si>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</si>
  <si>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</si>
  <si>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</si>
  <si>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</si>
  <si>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</si>
  <si>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</si>
  <si>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</si>
  <si>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</si>
  <si>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</si>
  <si>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</si>
  <si>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</si>
  <si>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</si>
  <si>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</si>
  <si>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</si>
  <si>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</si>
  <si>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</si>
  <si>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</si>
  <si>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</si>
  <si>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www.lixinger.com/analytics/company/sh/603466/603466/detail</t>
  </si>
  <si>
    <t>巨星农牧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</si>
  <si>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</si>
  <si>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</si>
  <si>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</si>
  <si>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</si>
  <si>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</si>
  <si>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</si>
  <si>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</si>
  <si>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</si>
  <si>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</si>
  <si>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</si>
  <si>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</si>
  <si>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</si>
  <si>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</si>
  <si>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</si>
  <si>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</si>
  <si>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</si>
  <si>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</si>
  <si>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</si>
  <si>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www.lixinger.com/analytics/company/sh/603506/603506/detail</t>
  </si>
  <si>
    <t>振江股份</t>
  </si>
  <si>
    <t>www.lixinger.com/analytics/company/sh/603507/603507/detail</t>
  </si>
  <si>
    <t>思维列控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</si>
  <si>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</si>
  <si>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</si>
  <si>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</si>
  <si>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</si>
  <si>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</si>
  <si>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</si>
  <si>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</si>
  <si>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</si>
  <si>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</si>
  <si>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</si>
  <si>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</si>
  <si>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</si>
  <si>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</si>
  <si>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</si>
  <si>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</si>
  <si>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</si>
  <si>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</si>
  <si>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</si>
  <si>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</si>
  <si>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</si>
  <si>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</si>
  <si>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</si>
  <si>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</si>
  <si>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</si>
  <si>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</si>
  <si>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</si>
  <si>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</si>
  <si>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</si>
  <si>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</si>
  <si>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</si>
  <si>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</si>
  <si>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</si>
  <si>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</si>
  <si>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</si>
  <si>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</si>
  <si>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</si>
  <si>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</si>
  <si>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</si>
  <si>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</si>
  <si>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</si>
  <si>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</si>
  <si>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</si>
  <si>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</si>
  <si>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</si>
  <si>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</si>
  <si>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</si>
  <si>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</si>
  <si>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</si>
  <si>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</si>
  <si>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</si>
  <si>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</si>
  <si>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</si>
  <si>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</si>
  <si>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</si>
  <si>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</si>
  <si>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</si>
  <si>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</si>
  <si>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</si>
  <si>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</si>
  <si>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</si>
  <si>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</si>
  <si>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</si>
  <si>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</si>
  <si>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</si>
  <si>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</si>
  <si>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</si>
  <si>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</si>
  <si>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</si>
  <si>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</si>
  <si>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</si>
  <si>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</si>
  <si>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</si>
  <si>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</si>
  <si>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</si>
  <si>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</si>
  <si>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</si>
  <si>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</si>
  <si>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</si>
  <si>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</si>
  <si>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</si>
  <si>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</si>
  <si>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</si>
  <si>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</si>
  <si>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</si>
  <si>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</si>
  <si>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</si>
  <si>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</si>
  <si>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</si>
  <si>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</si>
  <si>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</si>
  <si>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</si>
  <si>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</si>
  <si>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</si>
  <si>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</si>
  <si>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</si>
  <si>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</si>
  <si>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</si>
  <si>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</si>
  <si>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</si>
  <si>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</si>
  <si>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</si>
  <si>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</si>
  <si>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</si>
  <si>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</si>
  <si>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</si>
  <si>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</si>
  <si>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</si>
  <si>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</si>
  <si>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www.lixinger.com/analytics/company/sh/603613/603613/detail</t>
  </si>
  <si>
    <t>茶花股份</t>
  </si>
  <si>
    <t>www.lixinger.com/analytics/company/sh/603615/603615/detail</t>
  </si>
  <si>
    <t>韩建河山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</si>
  <si>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</si>
  <si>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</si>
  <si>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</si>
  <si>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</si>
  <si>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</si>
  <si>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</si>
  <si>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</si>
  <si>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</si>
  <si>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</si>
  <si>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</si>
  <si>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</si>
  <si>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</si>
  <si>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</si>
  <si>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</si>
  <si>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</si>
  <si>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</si>
  <si>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</si>
  <si>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</si>
  <si>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</si>
  <si>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</si>
  <si>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</si>
  <si>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</si>
  <si>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</si>
  <si>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</si>
  <si>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</si>
  <si>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</si>
  <si>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www.lixinger.com/analytics/company/sh/603648/603648/detail</t>
  </si>
  <si>
    <t>彤程新材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</si>
  <si>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</si>
  <si>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</si>
  <si>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</si>
  <si>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</si>
  <si>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</si>
  <si>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</si>
  <si>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</si>
  <si>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</si>
  <si>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</si>
  <si>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</si>
  <si>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</si>
  <si>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</si>
  <si>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</si>
  <si>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</si>
  <si>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</si>
  <si>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</si>
  <si>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</si>
  <si>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</si>
  <si>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</si>
  <si>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</si>
  <si>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</si>
  <si>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</si>
  <si>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</si>
  <si>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</si>
  <si>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</si>
  <si>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</si>
  <si>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</si>
  <si>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</si>
  <si>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</si>
  <si>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</si>
  <si>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</si>
  <si>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</si>
  <si>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</si>
  <si>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</si>
  <si>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</si>
  <si>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</si>
  <si>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</si>
  <si>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</si>
  <si>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</si>
  <si>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</si>
  <si>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</si>
  <si>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</si>
  <si>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</si>
  <si>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</si>
  <si>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</si>
  <si>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</si>
  <si>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</si>
  <si>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</si>
  <si>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</si>
  <si>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</si>
  <si>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</si>
  <si>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</si>
  <si>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</si>
  <si>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</si>
  <si>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</si>
  <si>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</si>
  <si>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</si>
  <si>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</si>
  <si>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</si>
  <si>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</si>
  <si>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</si>
  <si>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</si>
  <si>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</si>
  <si>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</si>
  <si>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</si>
  <si>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</si>
  <si>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</si>
  <si>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</si>
  <si>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</si>
  <si>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</si>
  <si>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</si>
  <si>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</si>
  <si>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</si>
  <si>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</si>
  <si>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</si>
  <si>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</si>
  <si>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</si>
  <si>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</si>
  <si>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</si>
  <si>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</si>
  <si>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</si>
  <si>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</si>
  <si>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</si>
  <si>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</si>
  <si>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</si>
  <si>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</si>
  <si>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</si>
  <si>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</si>
  <si>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</si>
  <si>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</si>
  <si>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</si>
  <si>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</si>
  <si>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</si>
  <si>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</si>
  <si>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</si>
  <si>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</si>
  <si>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</si>
  <si>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</si>
  <si>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</si>
  <si>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</si>
  <si>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</si>
  <si>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</si>
  <si>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</si>
  <si>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</si>
  <si>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</si>
  <si>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</si>
  <si>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</si>
  <si>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</si>
  <si>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</si>
  <si>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</si>
  <si>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</si>
  <si>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</si>
  <si>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</si>
  <si>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</si>
  <si>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</si>
  <si>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</si>
  <si>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</si>
  <si>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</si>
  <si>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</si>
  <si>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</si>
  <si>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</si>
  <si>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</si>
  <si>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</si>
  <si>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</si>
  <si>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</si>
  <si>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</si>
  <si>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</si>
  <si>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</si>
  <si>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</si>
  <si>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</si>
  <si>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</si>
  <si>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</si>
  <si>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</si>
  <si>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</si>
  <si>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</si>
  <si>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</si>
  <si>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</si>
  <si>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</si>
  <si>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</si>
  <si>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</si>
  <si>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</si>
  <si>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</si>
  <si>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</si>
  <si>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</si>
  <si>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</si>
  <si>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</si>
  <si>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</si>
  <si>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</si>
  <si>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</si>
  <si>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</si>
  <si>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</si>
  <si>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</si>
  <si>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</si>
  <si>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</si>
  <si>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</si>
  <si>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</si>
  <si>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</si>
  <si>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</si>
  <si>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</si>
  <si>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</si>
  <si>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</si>
  <si>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</si>
  <si>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</si>
  <si>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</si>
  <si>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</si>
  <si>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</si>
  <si>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</si>
  <si>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</si>
  <si>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</si>
  <si>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</si>
  <si>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</si>
  <si>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</si>
  <si>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</si>
  <si>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</si>
  <si>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</si>
  <si>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</si>
  <si>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</si>
  <si>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</si>
  <si>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</si>
  <si>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</si>
  <si>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</si>
  <si>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</si>
  <si>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</si>
  <si>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</si>
  <si>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</si>
  <si>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</si>
  <si>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</si>
  <si>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</si>
  <si>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</si>
  <si>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</si>
  <si>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</si>
  <si>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</si>
  <si>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</si>
  <si>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</si>
  <si>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</si>
  <si>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</si>
  <si>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</si>
  <si>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</si>
  <si>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</si>
  <si>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</si>
  <si>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</si>
  <si>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</si>
  <si>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</si>
  <si>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</si>
  <si>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</si>
  <si>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</si>
  <si>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</si>
  <si>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</si>
  <si>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</si>
  <si>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</si>
  <si>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</si>
  <si>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</si>
  <si>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</si>
  <si>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</si>
  <si>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</si>
  <si>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</si>
  <si>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</si>
  <si>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</si>
  <si>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</si>
  <si>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</si>
  <si>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</si>
  <si>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</si>
  <si>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</si>
  <si>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</si>
  <si>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</si>
  <si>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</si>
  <si>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</si>
  <si>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</si>
  <si>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</si>
  <si>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</si>
  <si>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</si>
  <si>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</si>
  <si>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</si>
  <si>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</si>
  <si>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</si>
  <si>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</si>
  <si>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</si>
  <si>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</si>
  <si>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</si>
  <si>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</si>
  <si>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</si>
  <si>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</si>
  <si>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</si>
  <si>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</si>
  <si>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</si>
  <si>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</si>
  <si>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</si>
  <si>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</si>
  <si>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</si>
  <si>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</si>
  <si>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</si>
  <si>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</si>
  <si>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</si>
  <si>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</si>
  <si>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</si>
  <si>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</si>
  <si>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</si>
  <si>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</si>
  <si>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</si>
  <si>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</si>
  <si>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</si>
  <si>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</si>
  <si>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</si>
  <si>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</si>
  <si>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</si>
  <si>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</si>
  <si>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</si>
  <si>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</si>
  <si>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</si>
  <si>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</si>
  <si>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</si>
  <si>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</si>
  <si>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</si>
  <si>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</si>
  <si>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www.lixinger.com/analytics/company/sh/603899/603899/detail</t>
  </si>
  <si>
    <t>莱绅通灵</t>
  </si>
  <si>
    <t>www.lixinger.com/analytics/company/sh/603900/603900/detail</t>
  </si>
  <si>
    <t>永创智能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</si>
  <si>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</si>
  <si>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</si>
  <si>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</si>
  <si>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</si>
  <si>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</si>
  <si>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</si>
  <si>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</si>
  <si>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</si>
  <si>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</si>
  <si>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</si>
  <si>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</si>
  <si>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</si>
  <si>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</si>
  <si>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</si>
  <si>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</si>
  <si>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</si>
  <si>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</si>
  <si>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</si>
  <si>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</si>
  <si>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</si>
  <si>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</si>
  <si>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</si>
  <si>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</si>
  <si>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</si>
  <si>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</si>
  <si>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</si>
  <si>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</si>
  <si>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</si>
  <si>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</si>
  <si>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</si>
  <si>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</si>
  <si>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</si>
  <si>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</si>
  <si>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</si>
  <si>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</si>
  <si>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</si>
  <si>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</si>
  <si>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</si>
  <si>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</si>
  <si>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</si>
  <si>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</si>
  <si>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</si>
  <si>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</si>
  <si>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</si>
  <si>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</si>
  <si>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</si>
  <si>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</si>
  <si>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</si>
  <si>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</si>
  <si>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</si>
  <si>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</si>
  <si>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</si>
  <si>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</si>
  <si>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</si>
  <si>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</si>
  <si>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</si>
  <si>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</si>
  <si>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</si>
  <si>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</si>
  <si>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</si>
  <si>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</si>
  <si>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</si>
  <si>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</si>
  <si>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</si>
  <si>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</si>
  <si>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</si>
  <si>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</si>
  <si>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</si>
  <si>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</si>
  <si>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</si>
  <si>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</si>
  <si>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</si>
  <si>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</si>
  <si>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</si>
  <si>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</si>
  <si>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</si>
  <si>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</si>
  <si>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</si>
  <si>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</si>
  <si>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</si>
  <si>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</si>
  <si>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</si>
  <si>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</si>
  <si>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</si>
  <si>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</si>
  <si>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</si>
  <si>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</si>
  <si>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</si>
  <si>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</si>
  <si>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</si>
  <si>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</si>
  <si>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</si>
  <si>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</si>
  <si>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</si>
  <si>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</si>
  <si>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</si>
  <si>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</si>
  <si>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</si>
  <si>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</si>
  <si>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</si>
  <si>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</si>
  <si>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</si>
  <si>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</si>
  <si>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</si>
  <si>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</si>
  <si>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</si>
  <si>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</si>
  <si>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</si>
  <si>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</si>
  <si>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</si>
  <si>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</si>
  <si>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</si>
  <si>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</si>
  <si>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</si>
  <si>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</si>
  <si>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</si>
  <si>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</si>
  <si>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</si>
  <si>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</si>
  <si>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</si>
  <si>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</si>
  <si>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</si>
  <si>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</si>
  <si>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</si>
  <si>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</si>
  <si>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</si>
  <si>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</si>
  <si>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</si>
  <si>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</si>
  <si>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</si>
  <si>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</si>
  <si>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</si>
  <si>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</si>
  <si>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</si>
  <si>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</si>
  <si>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</si>
  <si>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</si>
  <si>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</si>
  <si>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</si>
  <si>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</si>
  <si>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</si>
  <si>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</si>
  <si>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</si>
  <si>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</si>
  <si>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</si>
  <si>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</si>
  <si>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</si>
  <si>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</si>
  <si>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</si>
  <si>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</si>
  <si>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</si>
  <si>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</si>
  <si>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</si>
  <si>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</si>
  <si>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</si>
  <si>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</si>
  <si>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</si>
  <si>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</si>
  <si>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</si>
  <si>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</si>
  <si>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</si>
  <si>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</si>
  <si>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</si>
  <si>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</si>
  <si>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</si>
  <si>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</si>
  <si>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</si>
  <si>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</si>
  <si>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</si>
  <si>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</si>
  <si>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</si>
  <si>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</si>
  <si>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</si>
  <si>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</si>
  <si>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</si>
  <si>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</si>
  <si>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</si>
  <si>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</si>
  <si>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</si>
  <si>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</si>
  <si>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</si>
  <si>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</si>
  <si>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</si>
  <si>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</si>
  <si>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</si>
  <si>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</si>
  <si>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</si>
  <si>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</si>
  <si>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</si>
  <si>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</si>
  <si>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</si>
  <si>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</si>
  <si>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</si>
  <si>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</si>
  <si>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</si>
  <si>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</si>
  <si>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</si>
  <si>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</si>
  <si>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</si>
  <si>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</si>
  <si>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</si>
  <si>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</si>
  <si>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</si>
  <si>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</si>
  <si>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</si>
  <si>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</si>
  <si>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</si>
  <si>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</si>
  <si>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</si>
  <si>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</si>
  <si>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</si>
  <si>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</si>
  <si>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</si>
  <si>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</si>
  <si>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</si>
  <si>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</si>
  <si>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</si>
  <si>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</si>
  <si>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</si>
  <si>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</si>
  <si>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</si>
  <si>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</si>
  <si>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</si>
  <si>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</si>
  <si>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</si>
  <si>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</si>
  <si>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</si>
  <si>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</si>
  <si>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</si>
  <si>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</si>
  <si>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</si>
  <si>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</si>
  <si>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</si>
  <si>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</si>
  <si>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</si>
  <si>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</si>
  <si>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</si>
  <si>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</si>
  <si>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</si>
  <si>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</si>
  <si>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</si>
  <si>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</si>
  <si>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</si>
  <si>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</si>
  <si>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</si>
  <si>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</si>
  <si>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</si>
  <si>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</si>
  <si>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</si>
  <si>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</si>
  <si>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</si>
  <si>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</si>
  <si>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</si>
  <si>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</si>
  <si>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</si>
  <si>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</si>
  <si>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</si>
  <si>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</si>
  <si>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</si>
  <si>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</si>
  <si>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</si>
  <si>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</si>
  <si>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</si>
  <si>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</si>
  <si>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</si>
  <si>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</si>
  <si>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</si>
  <si>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</si>
  <si>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</si>
  <si>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</si>
  <si>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</si>
  <si>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</si>
  <si>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</si>
  <si>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</si>
  <si>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</si>
  <si>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</si>
  <si>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</si>
  <si>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</si>
  <si>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</si>
  <si>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</si>
  <si>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</si>
  <si>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</si>
  <si>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</si>
  <si>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</si>
  <si>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</si>
  <si>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</si>
  <si>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</si>
  <si>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</si>
  <si>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</si>
  <si>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</si>
  <si>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</si>
  <si>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</si>
  <si>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</si>
  <si>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</si>
  <si>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</si>
  <si>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</si>
  <si>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</si>
  <si>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</si>
  <si>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</si>
  <si>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</si>
  <si>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</si>
  <si>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</si>
  <si>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</si>
  <si>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</si>
  <si>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</si>
  <si>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</si>
  <si>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</si>
  <si>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</si>
  <si>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</si>
  <si>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</si>
  <si>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</si>
  <si>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</si>
  <si>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</si>
  <si>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</si>
  <si>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</si>
  <si>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</si>
  <si>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</si>
  <si>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</si>
  <si>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</si>
  <si>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</si>
  <si>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</si>
  <si>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</si>
  <si>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</si>
  <si>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</si>
  <si>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</si>
  <si>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</si>
  <si>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</si>
  <si>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</si>
  <si>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</si>
  <si>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</si>
  <si>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</si>
  <si>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</si>
  <si>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</si>
  <si>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</si>
  <si>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</si>
  <si>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</si>
  <si>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</si>
  <si>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</si>
  <si>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</si>
  <si>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</si>
  <si>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</si>
  <si>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</si>
  <si>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</si>
  <si>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</si>
  <si>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</si>
  <si>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</si>
  <si>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</si>
  <si>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</si>
  <si>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</si>
  <si>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</si>
  <si>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</si>
  <si>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</si>
  <si>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</si>
  <si>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</si>
  <si>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</si>
  <si>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</si>
  <si>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</si>
  <si>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</si>
  <si>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</si>
  <si>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</si>
  <si>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</si>
  <si>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</si>
  <si>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</si>
  <si>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</si>
  <si>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</si>
  <si>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</si>
  <si>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</si>
  <si>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</si>
  <si>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</si>
  <si>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</si>
  <si>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</si>
  <si>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</si>
  <si>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</si>
  <si>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</si>
  <si>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</si>
  <si>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</si>
  <si>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</si>
  <si>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</si>
  <si>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</si>
  <si>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</si>
  <si>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</si>
  <si>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</si>
  <si>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</si>
  <si>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</si>
  <si>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</si>
  <si>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</si>
  <si>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</si>
  <si>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</si>
  <si>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</si>
  <si>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</si>
  <si>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</si>
  <si>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</si>
  <si>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</si>
  <si>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</si>
  <si>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</si>
  <si>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</si>
  <si>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</si>
  <si>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</si>
  <si>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</si>
  <si>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</si>
  <si>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</si>
  <si>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</si>
  <si>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</si>
  <si>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</si>
  <si>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</si>
  <si>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</si>
  <si>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</si>
  <si>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</si>
  <si>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</si>
  <si>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</si>
  <si>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</si>
  <si>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</si>
  <si>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</si>
  <si>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</si>
  <si>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</si>
  <si>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</si>
  <si>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</si>
  <si>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</si>
  <si>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</si>
  <si>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</si>
  <si>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</si>
  <si>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</si>
  <si>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</si>
  <si>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</si>
  <si>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</si>
  <si>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</si>
  <si>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</si>
  <si>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</si>
  <si>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</si>
  <si>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</si>
  <si>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</si>
  <si>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</si>
  <si>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</si>
  <si>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</si>
  <si>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</si>
  <si>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</si>
  <si>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</si>
  <si>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</si>
  <si>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</si>
  <si>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</si>
  <si>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</si>
  <si>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</si>
  <si>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</si>
  <si>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</si>
  <si>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</si>
  <si>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</si>
  <si>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</si>
  <si>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</si>
  <si>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</si>
  <si>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</si>
  <si>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</si>
  <si>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</si>
  <si>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</si>
  <si>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</si>
  <si>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</si>
  <si>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</si>
  <si>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</si>
  <si>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</si>
  <si>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</si>
  <si>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</si>
  <si>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</si>
  <si>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</si>
  <si>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</si>
  <si>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</si>
  <si>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</si>
  <si>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</si>
  <si>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</si>
  <si>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</si>
  <si>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</si>
  <si>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</si>
  <si>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</si>
  <si>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</si>
  <si>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</si>
  <si>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</si>
  <si>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</si>
  <si>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</si>
  <si>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</si>
  <si>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</si>
  <si>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</si>
  <si>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</si>
  <si>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</si>
  <si>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</si>
  <si>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</si>
  <si>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</si>
  <si>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</si>
  <si>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</si>
  <si>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</si>
  <si>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</si>
  <si>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</si>
  <si>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</si>
  <si>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</si>
  <si>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</si>
  <si>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</si>
  <si>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</si>
  <si>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</si>
  <si>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</si>
  <si>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</si>
  <si>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</si>
  <si>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</si>
  <si>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</si>
  <si>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</si>
  <si>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</si>
  <si>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</si>
  <si>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</si>
  <si>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</si>
  <si>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</si>
  <si>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</si>
  <si>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</si>
  <si>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</si>
  <si>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</si>
  <si>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</si>
  <si>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</si>
  <si>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</si>
  <si>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</si>
  <si>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</si>
  <si>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</si>
  <si>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</si>
  <si>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</si>
  <si>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</si>
  <si>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</si>
  <si>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</si>
  <si>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</si>
  <si>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</si>
  <si>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</si>
  <si>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</si>
  <si>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</si>
  <si>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</si>
  <si>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</si>
  <si>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</si>
  <si>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</si>
  <si>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</si>
  <si>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</si>
  <si>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</si>
  <si>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</si>
  <si>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</si>
  <si>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</si>
  <si>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</si>
  <si>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</si>
  <si>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</si>
  <si>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</si>
  <si>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</si>
  <si>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</si>
  <si>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</si>
  <si>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</si>
  <si>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</si>
  <si>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</si>
  <si>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</si>
  <si>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</si>
  <si>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</si>
  <si>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</si>
  <si>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</si>
  <si>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</si>
  <si>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</si>
  <si>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</si>
  <si>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</si>
  <si>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</si>
  <si>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</si>
  <si>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</si>
  <si>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</si>
  <si>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</si>
  <si>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</si>
  <si>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</si>
  <si>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</si>
  <si>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</si>
  <si>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</si>
  <si>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</si>
  <si>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</si>
  <si>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</si>
  <si>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</si>
  <si>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</si>
  <si>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</si>
  <si>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</si>
  <si>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</si>
  <si>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</si>
  <si>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</si>
  <si>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</si>
  <si>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</si>
  <si>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</si>
  <si>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</si>
  <si>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</si>
  <si>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</si>
  <si>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</si>
  <si>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</si>
  <si>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</si>
  <si>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</si>
  <si>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</si>
  <si>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</si>
  <si>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</si>
  <si>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</si>
  <si>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</si>
  <si>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</si>
  <si>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</si>
  <si>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</si>
  <si>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</si>
  <si>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</si>
  <si>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</si>
  <si>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</si>
  <si>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</si>
  <si>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</si>
  <si>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</si>
  <si>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</si>
  <si>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</si>
  <si>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</si>
  <si>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</si>
  <si>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</si>
  <si>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</si>
  <si>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</si>
  <si>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</si>
  <si>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</si>
  <si>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</si>
  <si>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</si>
  <si>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</si>
  <si>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</si>
  <si>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</si>
  <si>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</si>
  <si>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</si>
  <si>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</si>
  <si>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</si>
  <si>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</si>
  <si>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</si>
  <si>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</si>
  <si>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</si>
  <si>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</si>
  <si>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</si>
  <si>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</si>
  <si>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</si>
  <si>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</si>
  <si>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</si>
  <si>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</si>
  <si>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</si>
  <si>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</si>
  <si>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</si>
  <si>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</si>
  <si>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</si>
  <si>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</si>
  <si>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</si>
  <si>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</si>
  <si>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</si>
  <si>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</si>
  <si>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</si>
  <si>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</si>
  <si>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</si>
  <si>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</si>
  <si>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</si>
  <si>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</si>
  <si>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</si>
  <si>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</si>
  <si>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</si>
  <si>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</si>
  <si>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</si>
  <si>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</si>
  <si>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</si>
  <si>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</si>
  <si>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</si>
  <si>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</si>
  <si>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</si>
  <si>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</si>
  <si>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</si>
  <si>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</si>
  <si>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</si>
  <si>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</si>
  <si>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</si>
  <si>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</si>
  <si>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</si>
  <si>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</si>
  <si>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</si>
  <si>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</si>
  <si>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</si>
  <si>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</si>
  <si>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</si>
  <si>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</si>
  <si>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</si>
  <si>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</si>
  <si>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</si>
  <si>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</si>
  <si>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</si>
  <si>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</si>
  <si>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</si>
  <si>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</si>
  <si>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</si>
  <si>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</si>
  <si>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</si>
  <si>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</si>
  <si>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</si>
  <si>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</si>
  <si>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</si>
  <si>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</si>
  <si>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</si>
  <si>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</si>
  <si>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</si>
  <si>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</si>
  <si>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</si>
  <si>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</si>
  <si>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</si>
  <si>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</si>
  <si>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</si>
  <si>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</si>
  <si>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</si>
  <si>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</si>
  <si>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</si>
  <si>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</si>
  <si>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</si>
  <si>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</si>
  <si>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</si>
  <si>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</si>
  <si>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</si>
  <si>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</si>
  <si>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</si>
  <si>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</si>
  <si>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</si>
  <si>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</si>
  <si>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</si>
  <si>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</si>
  <si>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</si>
  <si>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</si>
  <si>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</si>
  <si>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</si>
  <si>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</si>
  <si>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</si>
  <si>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</si>
  <si>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</si>
  <si>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</si>
  <si>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</si>
  <si>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</si>
  <si>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</si>
  <si>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</si>
  <si>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</si>
  <si>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</si>
  <si>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</si>
  <si>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</si>
  <si>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</si>
  <si>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</si>
  <si>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</si>
  <si>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</si>
  <si>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</si>
  <si>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</si>
  <si>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</si>
  <si>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</si>
  <si>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</si>
  <si>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</si>
  <si>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</si>
  <si>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</si>
  <si>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</si>
  <si>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</si>
  <si>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</si>
  <si>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</si>
  <si>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</si>
  <si>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</si>
  <si>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</si>
  <si>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</si>
  <si>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</si>
  <si>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</si>
  <si>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</si>
  <si>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</si>
  <si>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</si>
  <si>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</si>
  <si>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</si>
  <si>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</si>
  <si>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</si>
  <si>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</si>
  <si>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</si>
  <si>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</si>
  <si>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</si>
  <si>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</si>
  <si>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</si>
  <si>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</si>
  <si>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</si>
  <si>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</si>
  <si>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</si>
  <si>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</si>
  <si>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</si>
  <si>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</si>
  <si>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</si>
  <si>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</si>
  <si>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</si>
  <si>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</si>
  <si>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</si>
  <si>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</si>
  <si>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</si>
  <si>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</si>
  <si>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</si>
  <si>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</si>
  <si>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</si>
  <si>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</si>
  <si>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</si>
  <si>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</si>
  <si>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</si>
  <si>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</si>
  <si>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</si>
  <si>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</si>
  <si>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</si>
  <si>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</si>
  <si>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</si>
  <si>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</si>
  <si>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</si>
  <si>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</si>
  <si>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</si>
  <si>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</si>
  <si>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</si>
  <si>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</si>
  <si>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</si>
  <si>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</si>
  <si>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</si>
  <si>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</si>
  <si>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</si>
  <si>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</si>
  <si>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</si>
  <si>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</si>
  <si>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</si>
  <si>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</si>
  <si>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</si>
  <si>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</si>
  <si>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</si>
  <si>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</si>
  <si>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</si>
  <si>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</si>
  <si>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</si>
  <si>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</si>
  <si>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</si>
  <si>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</si>
  <si>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</si>
  <si>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</si>
  <si>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</si>
  <si>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</si>
  <si>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</si>
  <si>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</si>
  <si>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</si>
  <si>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</si>
  <si>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</si>
  <si>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</si>
  <si>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</si>
  <si>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</si>
  <si>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</si>
  <si>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</si>
  <si>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</si>
  <si>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</si>
  <si>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</si>
  <si>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</si>
  <si>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</si>
  <si>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</si>
  <si>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</si>
  <si>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</si>
  <si>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</si>
  <si>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</si>
  <si>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</si>
  <si>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</si>
  <si>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</si>
  <si>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</si>
  <si>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</si>
  <si>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</si>
  <si>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</si>
  <si>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</si>
  <si>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</si>
  <si>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</si>
  <si>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</si>
  <si>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</si>
  <si>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</si>
  <si>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</si>
  <si>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</si>
  <si>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</si>
  <si>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</si>
  <si>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</si>
  <si>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</si>
  <si>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</si>
  <si>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</si>
  <si>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</si>
  <si>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</si>
  <si>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</si>
  <si>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</si>
  <si>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</si>
  <si>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</si>
  <si>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</si>
  <si>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</si>
  <si>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</si>
  <si>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</si>
  <si>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</si>
  <si>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</si>
  <si>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</si>
  <si>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</si>
  <si>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</si>
  <si>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</si>
  <si>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</si>
  <si>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</si>
  <si>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</si>
  <si>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</si>
  <si>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</si>
  <si>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</si>
  <si>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</si>
  <si>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</si>
  <si>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</si>
  <si>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</si>
  <si>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</si>
  <si>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</si>
  <si>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</si>
  <si>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</si>
  <si>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</si>
  <si>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</si>
  <si>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</si>
  <si>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</si>
  <si>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</si>
  <si>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</si>
  <si>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</si>
  <si>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</si>
  <si>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</si>
  <si>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</si>
  <si>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</si>
  <si>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</si>
  <si>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</si>
  <si>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</si>
  <si>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</si>
  <si>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</si>
  <si>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</si>
  <si>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</si>
  <si>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</si>
  <si>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</si>
  <si>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</si>
  <si>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</si>
  <si>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</si>
  <si>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</si>
  <si>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</si>
  <si>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</si>
  <si>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</si>
  <si>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</si>
  <si>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</si>
  <si>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</si>
  <si>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</si>
  <si>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</si>
  <si>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</si>
  <si>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</si>
  <si>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</si>
  <si>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</si>
  <si>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</si>
  <si>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</si>
  <si>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</si>
  <si>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</si>
  <si>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</si>
  <si>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</si>
  <si>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</si>
  <si>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</si>
  <si>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</si>
  <si>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</si>
  <si>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</si>
  <si>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</si>
  <si>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</si>
  <si>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</si>
  <si>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</si>
  <si>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</si>
  <si>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</si>
  <si>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</si>
  <si>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</si>
  <si>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</si>
  <si>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</si>
  <si>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</si>
  <si>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</si>
  <si>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</si>
  <si>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</si>
  <si>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</si>
  <si>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</si>
  <si>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</si>
  <si>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</si>
  <si>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</si>
  <si>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</si>
  <si>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</si>
  <si>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</si>
  <si>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</si>
  <si>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</si>
  <si>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</si>
  <si>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</si>
  <si>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</si>
  <si>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</si>
  <si>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</si>
  <si>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</si>
  <si>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</si>
  <si>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</si>
  <si>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</si>
  <si>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</si>
  <si>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</si>
  <si>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</si>
  <si>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</si>
  <si>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</si>
  <si>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</si>
  <si>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</si>
  <si>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</si>
  <si>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</si>
  <si>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</si>
  <si>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</si>
  <si>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</si>
  <si>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</si>
  <si>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</si>
  <si>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</si>
  <si>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</si>
  <si>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</si>
  <si>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</si>
  <si>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</si>
  <si>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</si>
  <si>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</si>
  <si>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</si>
  <si>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</si>
  <si>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</si>
  <si>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</si>
  <si>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</si>
  <si>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</si>
  <si>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</si>
  <si>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</si>
  <si>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</si>
  <si>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</si>
  <si>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</si>
  <si>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</si>
  <si>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</si>
  <si>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</si>
  <si>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</si>
  <si>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</si>
  <si>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</si>
  <si>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</si>
  <si>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</si>
  <si>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</si>
  <si>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</si>
  <si>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</si>
  <si>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</si>
  <si>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</si>
  <si>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</si>
  <si>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</si>
  <si>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</si>
  <si>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</si>
  <si>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</si>
  <si>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</si>
  <si>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</si>
  <si>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</si>
  <si>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</si>
  <si>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</si>
  <si>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</si>
  <si>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</si>
  <si>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</si>
  <si>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</si>
  <si>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</si>
  <si>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</si>
  <si>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</si>
  <si>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</si>
  <si>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</si>
  <si>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</si>
  <si>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</si>
  <si>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</si>
  <si>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</si>
  <si>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</si>
  <si>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</si>
  <si>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</si>
  <si>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</si>
  <si>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</si>
  <si>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</si>
  <si>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</si>
  <si>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</si>
  <si>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</si>
  <si>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</si>
  <si>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</si>
  <si>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</si>
  <si>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</si>
  <si>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</si>
  <si>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</si>
  <si>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</si>
  <si>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</si>
  <si>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</si>
  <si>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</si>
  <si>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</si>
  <si>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</si>
  <si>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</si>
  <si>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</si>
  <si>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</si>
  <si>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</si>
  <si>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</si>
  <si>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</si>
  <si>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</si>
  <si>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</si>
  <si>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</si>
  <si>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</si>
  <si>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</si>
  <si>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</si>
  <si>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</si>
  <si>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</si>
  <si>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</si>
  <si>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</si>
  <si>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</si>
  <si>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</si>
  <si>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</si>
  <si>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</si>
  <si>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</si>
  <si>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</si>
  <si>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</si>
  <si>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</si>
  <si>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</si>
  <si>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</si>
  <si>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</si>
  <si>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</si>
  <si>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</si>
  <si>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</si>
  <si>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</si>
  <si>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</si>
  <si>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</si>
  <si>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</si>
  <si>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</si>
  <si>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</si>
  <si>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</si>
  <si>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</si>
  <si>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</si>
  <si>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</si>
  <si>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</si>
  <si>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</si>
  <si>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</si>
  <si>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</si>
  <si>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</si>
  <si>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</si>
  <si>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</si>
  <si>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</si>
  <si>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</si>
  <si>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</si>
  <si>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</si>
  <si>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</si>
  <si>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</si>
  <si>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</si>
  <si>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</si>
  <si>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</si>
  <si>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</si>
  <si>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</si>
  <si>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</si>
  <si>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</si>
  <si>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</si>
  <si>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</si>
  <si>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</si>
  <si>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</si>
  <si>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</si>
  <si>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</si>
  <si>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</si>
  <si>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</si>
  <si>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</si>
  <si>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</si>
  <si>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</si>
  <si>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</si>
  <si>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</si>
  <si>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</si>
  <si>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</si>
  <si>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</si>
  <si>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</si>
  <si>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</si>
  <si>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</si>
  <si>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</si>
  <si>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</si>
  <si>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</si>
  <si>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</si>
  <si>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</si>
  <si>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</si>
  <si>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</si>
  <si>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</si>
  <si>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</si>
  <si>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</si>
  <si>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</si>
  <si>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</si>
  <si>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</si>
  <si>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</si>
  <si>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</si>
  <si>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</si>
  <si>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</si>
  <si>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</si>
  <si>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</si>
  <si>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</si>
  <si>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</si>
  <si>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</si>
  <si>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</si>
  <si>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</si>
  <si>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</si>
  <si>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</si>
  <si>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</si>
  <si>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</si>
  <si>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</si>
  <si>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</si>
  <si>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</si>
  <si>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</si>
  <si>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</si>
  <si>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</si>
  <si>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</si>
  <si>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</si>
  <si>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</si>
  <si>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</si>
  <si>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</si>
  <si>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</si>
  <si>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</si>
  <si>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</si>
  <si>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</si>
  <si>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</si>
  <si>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</si>
  <si>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</si>
  <si>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</si>
  <si>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</si>
  <si>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</si>
  <si>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</si>
  <si>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</si>
  <si>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</si>
  <si>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</si>
  <si>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</si>
  <si>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</si>
  <si>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</si>
  <si>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</si>
  <si>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</si>
  <si>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</si>
  <si>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</si>
  <si>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</si>
  <si>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</si>
  <si>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</si>
  <si>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</si>
  <si>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</si>
  <si>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</si>
  <si>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</si>
  <si>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</si>
  <si>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</si>
  <si>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</si>
  <si>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</si>
  <si>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</si>
  <si>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</si>
  <si>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</si>
  <si>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</si>
  <si>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</si>
  <si>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</si>
  <si>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</si>
  <si>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</si>
  <si>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</si>
  <si>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</si>
  <si>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</si>
  <si>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</si>
  <si>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</si>
  <si>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</si>
  <si>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</si>
  <si>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</si>
  <si>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</si>
  <si>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</si>
  <si>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</si>
  <si>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</si>
  <si>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</si>
  <si>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</si>
  <si>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</si>
  <si>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</si>
  <si>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</si>
  <si>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</si>
  <si>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</si>
  <si>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</si>
  <si>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</si>
  <si>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</si>
  <si>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</si>
  <si>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</si>
  <si>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</si>
  <si>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</si>
  <si>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</si>
  <si>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</si>
  <si>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</si>
  <si>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</si>
  <si>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</si>
  <si>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</si>
  <si>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</si>
  <si>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</si>
  <si>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</si>
  <si>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</si>
  <si>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</si>
  <si>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</si>
  <si>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</si>
  <si>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</si>
  <si>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</si>
  <si>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</si>
  <si>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</si>
  <si>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</si>
  <si>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</si>
  <si>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</si>
  <si>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</si>
  <si>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</si>
  <si>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</si>
  <si>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</si>
  <si>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</si>
  <si>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</si>
  <si>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</si>
  <si>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</si>
  <si>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</si>
  <si>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</si>
  <si>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</si>
  <si>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</si>
  <si>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</si>
  <si>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</si>
  <si>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</si>
  <si>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</si>
  <si>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</si>
  <si>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</si>
  <si>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</si>
  <si>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</si>
  <si>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</si>
  <si>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</si>
  <si>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</si>
  <si>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</si>
  <si>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</si>
  <si>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</si>
  <si>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</si>
  <si>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</si>
  <si>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</si>
  <si>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</si>
  <si>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</si>
  <si>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</si>
  <si>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</si>
  <si>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</si>
  <si>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</si>
  <si>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</si>
  <si>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</si>
  <si>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</si>
  <si>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</si>
  <si>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</si>
  <si>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</si>
  <si>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</si>
  <si>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</si>
  <si>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</si>
  <si>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</si>
  <si>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</si>
  <si>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</si>
  <si>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</si>
  <si>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</si>
  <si>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</si>
  <si>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</si>
  <si>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</si>
  <si>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</si>
  <si>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</si>
  <si>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</si>
  <si>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</si>
  <si>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</si>
  <si>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</si>
  <si>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</si>
  <si>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</si>
  <si>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</si>
  <si>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</si>
  <si>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</si>
  <si>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</si>
  <si>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</si>
  <si>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</si>
  <si>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</si>
  <si>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</si>
  <si>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</si>
  <si>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</si>
  <si>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</si>
  <si>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</si>
  <si>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</si>
  <si>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</si>
  <si>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</si>
  <si>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</si>
  <si>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</si>
  <si>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</si>
  <si>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</si>
  <si>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</si>
  <si>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</si>
  <si>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</si>
  <si>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</si>
  <si>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</si>
  <si>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</si>
  <si>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</si>
  <si>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</si>
  <si>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</si>
  <si>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</si>
  <si>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</si>
  <si>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</si>
  <si>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</si>
  <si>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</si>
  <si>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</si>
  <si>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</si>
  <si>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</si>
  <si>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</si>
  <si>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</si>
  <si>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</si>
  <si>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</si>
  <si>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</si>
  <si>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</si>
  <si>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</si>
  <si>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</si>
  <si>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</si>
  <si>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</si>
  <si>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</si>
  <si>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</si>
  <si>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</si>
  <si>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</si>
  <si>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</si>
  <si>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</si>
  <si>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</si>
  <si>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</si>
  <si>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</si>
  <si>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</si>
  <si>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</si>
  <si>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</si>
  <si>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</si>
  <si>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</si>
  <si>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</si>
  <si>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</si>
  <si>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</si>
  <si>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</si>
  <si>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</si>
  <si>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</si>
  <si>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</si>
  <si>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</si>
  <si>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</si>
  <si>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</si>
  <si>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</si>
  <si>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</si>
  <si>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</si>
  <si>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</si>
  <si>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</si>
  <si>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</si>
  <si>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</si>
  <si>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</si>
  <si>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</si>
  <si>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</si>
  <si>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</si>
  <si>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</si>
  <si>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</si>
  <si>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</si>
  <si>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</si>
  <si>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</si>
  <si>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</si>
  <si>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</si>
  <si>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</si>
  <si>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</si>
  <si>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</si>
  <si>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</si>
  <si>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</si>
  <si>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</si>
  <si>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</si>
  <si>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</si>
  <si>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</si>
  <si>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</si>
  <si>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</si>
  <si>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</si>
  <si>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</si>
  <si>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</si>
  <si>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</si>
  <si>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</si>
  <si>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</si>
  <si>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</si>
  <si>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</si>
  <si>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</si>
  <si>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</si>
  <si>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</si>
  <si>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</si>
  <si>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</si>
  <si>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</si>
  <si>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</si>
  <si>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</si>
  <si>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</si>
  <si>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</si>
  <si>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</si>
  <si>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</si>
  <si>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</si>
  <si>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</si>
  <si>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</si>
  <si>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</si>
  <si>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</si>
  <si>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</si>
  <si>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</si>
  <si>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</si>
  <si>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</si>
  <si>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</si>
  <si>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</si>
  <si>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</si>
  <si>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</si>
  <si>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</si>
  <si>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</si>
  <si>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</si>
  <si>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</si>
  <si>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</si>
  <si>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</si>
  <si>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</si>
  <si>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</si>
  <si>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</si>
  <si>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</si>
  <si>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</si>
  <si>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</si>
  <si>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</si>
  <si>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</si>
  <si>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</si>
  <si>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</si>
  <si>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</si>
  <si>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</si>
  <si>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</si>
  <si>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</si>
  <si>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</si>
  <si>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</si>
  <si>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</si>
  <si>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</si>
  <si>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</si>
  <si>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</si>
  <si>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</si>
  <si>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</si>
  <si>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</si>
  <si>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</si>
  <si>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</si>
  <si>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</si>
  <si>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</si>
  <si>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</si>
  <si>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</si>
  <si>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</si>
  <si>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</si>
  <si>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</si>
  <si>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</si>
  <si>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</si>
  <si>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</si>
  <si>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</si>
  <si>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</si>
  <si>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</si>
  <si>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</si>
  <si>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</si>
  <si>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</si>
  <si>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</si>
  <si>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</si>
  <si>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</si>
  <si>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</si>
  <si>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</si>
  <si>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</si>
  <si>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</si>
  <si>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</si>
  <si>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</si>
  <si>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</si>
  <si>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</si>
  <si>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</si>
  <si>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</si>
  <si>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</si>
  <si>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</si>
  <si>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</si>
  <si>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</si>
  <si>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</si>
  <si>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</si>
  <si>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</si>
  <si>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</si>
  <si>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</si>
  <si>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</si>
  <si>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</si>
  <si>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</si>
  <si>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</si>
  <si>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</si>
  <si>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</si>
  <si>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</si>
  <si>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</si>
  <si>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</si>
  <si>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</si>
  <si>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</si>
  <si>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</si>
  <si>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</si>
  <si>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</si>
  <si>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</si>
  <si>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</si>
  <si>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</si>
  <si>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</si>
  <si>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</si>
  <si>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</si>
  <si>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</si>
  <si>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</si>
  <si>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</si>
  <si>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</si>
  <si>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</si>
  <si>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</si>
  <si>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</si>
  <si>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</si>
  <si>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</si>
  <si>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</si>
  <si>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</si>
  <si>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</si>
  <si>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</si>
  <si>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</si>
  <si>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</si>
  <si>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</si>
  <si>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</si>
  <si>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</si>
  <si>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</si>
  <si>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</si>
  <si>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</si>
  <si>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</si>
  <si>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</si>
  <si>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</si>
  <si>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</si>
  <si>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</si>
  <si>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</si>
  <si>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</si>
  <si>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</si>
  <si>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</si>
  <si>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</si>
  <si>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</si>
  <si>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</si>
  <si>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</si>
  <si>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</si>
  <si>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</si>
  <si>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</si>
  <si>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</si>
  <si>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</si>
  <si>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</si>
  <si>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</si>
  <si>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</si>
  <si>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</si>
  <si>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</si>
  <si>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</si>
  <si>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</si>
  <si>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</si>
  <si>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</si>
  <si>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</si>
  <si>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</si>
  <si>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</si>
  <si>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</si>
  <si>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</si>
  <si>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</si>
  <si>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</si>
  <si>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</si>
  <si>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</si>
  <si>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</si>
  <si>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</si>
  <si>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</si>
  <si>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</si>
  <si>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</si>
  <si>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</si>
  <si>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</si>
  <si>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</si>
  <si>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</si>
  <si>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</si>
  <si>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</si>
  <si>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</si>
  <si>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</si>
  <si>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</si>
  <si>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</si>
  <si>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</si>
  <si>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</si>
  <si>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</si>
  <si>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</si>
  <si>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</si>
  <si>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</si>
  <si>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</si>
  <si>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</si>
  <si>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</si>
  <si>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</si>
  <si>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</si>
  <si>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</si>
  <si>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</si>
  <si>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</si>
  <si>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</si>
  <si>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</si>
  <si>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</si>
  <si>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</si>
  <si>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</si>
  <si>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</si>
  <si>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</si>
  <si>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</si>
  <si>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</si>
  <si>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</si>
  <si>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</si>
  <si>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</si>
  <si>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</si>
  <si>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</si>
  <si>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</si>
  <si>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</si>
  <si>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</si>
  <si>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</si>
  <si>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</si>
  <si>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</si>
  <si>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</si>
  <si>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</si>
  <si>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</si>
  <si>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</si>
  <si>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</si>
  <si>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</si>
  <si>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</si>
  <si>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</si>
  <si>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</si>
  <si>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</si>
  <si>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</si>
  <si>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</si>
  <si>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</si>
  <si>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</si>
  <si>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</si>
  <si>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</si>
  <si>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</si>
  <si>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</si>
  <si>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</si>
  <si>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</si>
  <si>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</si>
  <si>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</si>
  <si>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</si>
  <si>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</si>
  <si>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</si>
  <si>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</si>
  <si>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</si>
  <si>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</si>
  <si>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</si>
  <si>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</si>
  <si>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</si>
  <si>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</si>
  <si>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</si>
  <si>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</si>
  <si>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</si>
  <si>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</si>
  <si>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</si>
  <si>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</si>
  <si>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</si>
  <si>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</si>
  <si>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</si>
  <si>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</si>
  <si>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</si>
  <si>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</si>
  <si>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</si>
  <si>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</si>
  <si>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</si>
  <si>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</si>
  <si>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</si>
  <si>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</si>
  <si>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</si>
  <si>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</si>
  <si>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</si>
  <si>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</si>
  <si>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</si>
  <si>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</si>
  <si>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</si>
  <si>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</si>
  <si>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</si>
  <si>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</si>
  <si>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</si>
  <si>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</si>
  <si>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</si>
  <si>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</si>
  <si>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</si>
  <si>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</si>
  <si>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</si>
  <si>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</si>
  <si>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</si>
  <si>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</si>
  <si>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</si>
  <si>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</si>
  <si>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</si>
  <si>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</si>
  <si>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</si>
  <si>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</si>
  <si>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</si>
  <si>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</si>
  <si>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</si>
  <si>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</si>
  <si>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</si>
  <si>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</si>
  <si>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</si>
  <si>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</si>
  <si>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</si>
  <si>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</si>
  <si>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</si>
  <si>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</si>
  <si>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</si>
  <si>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</si>
  <si>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</si>
  <si>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</si>
  <si>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</si>
  <si>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</si>
  <si>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</si>
  <si>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</si>
  <si>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</si>
  <si>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</si>
  <si>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</si>
  <si>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</si>
  <si>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</si>
  <si>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</si>
  <si>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</si>
  <si>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</si>
  <si>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</si>
  <si>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</si>
  <si>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</si>
  <si>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</si>
  <si>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</si>
  <si>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</si>
  <si>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</si>
  <si>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</si>
  <si>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</si>
  <si>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</si>
  <si>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</si>
  <si>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</si>
  <si>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</si>
  <si>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</si>
  <si>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</si>
  <si>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</si>
  <si>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</si>
  <si>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</si>
  <si>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</si>
  <si>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</si>
  <si>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</si>
  <si>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</si>
  <si>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</si>
  <si>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</si>
  <si>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</si>
  <si>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</si>
  <si>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</si>
  <si>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</si>
  <si>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</si>
  <si>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</si>
  <si>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</si>
  <si>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</si>
  <si>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</si>
  <si>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</si>
  <si>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</si>
  <si>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</si>
  <si>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</si>
  <si>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</si>
  <si>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</si>
  <si>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</si>
  <si>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</si>
  <si>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</si>
  <si>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</si>
  <si>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</si>
  <si>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</si>
  <si>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</si>
  <si>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</si>
  <si>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</si>
  <si>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</si>
  <si>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</si>
  <si>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</si>
  <si>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</si>
  <si>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</si>
  <si>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</si>
  <si>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</si>
  <si>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</si>
  <si>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</si>
  <si>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</si>
  <si>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</si>
  <si>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</si>
  <si>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</si>
  <si>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</si>
  <si>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</si>
  <si>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</si>
  <si>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</si>
  <si>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</si>
  <si>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</si>
  <si>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</si>
  <si>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</si>
  <si>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</si>
  <si>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</si>
  <si>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</si>
  <si>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</si>
  <si>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</si>
  <si>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</si>
  <si>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</si>
  <si>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</si>
  <si>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</si>
  <si>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</si>
  <si>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</si>
  <si>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</si>
  <si>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</si>
  <si>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</si>
  <si>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</si>
  <si>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</si>
  <si>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</si>
  <si>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</si>
  <si>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</si>
  <si>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</si>
  <si>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</si>
  <si>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</si>
  <si>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</si>
  <si>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</si>
  <si>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</si>
  <si>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</si>
  <si>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</si>
  <si>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</si>
  <si>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</si>
  <si>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</si>
  <si>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</si>
  <si>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</si>
  <si>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</si>
  <si>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</si>
  <si>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</si>
  <si>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</si>
  <si>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</si>
  <si>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</si>
  <si>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</si>
  <si>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</si>
  <si>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</si>
  <si>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</si>
  <si>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</si>
  <si>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</si>
  <si>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</si>
  <si>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</si>
  <si>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</si>
  <si>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</si>
  <si>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</si>
  <si>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</si>
  <si>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</si>
  <si>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</si>
  <si>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</si>
  <si>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</si>
  <si>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</si>
  <si>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</si>
  <si>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</si>
  <si>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</si>
  <si>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</si>
  <si>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</si>
  <si>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</si>
  <si>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</si>
  <si>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</si>
  <si>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</si>
  <si>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</si>
  <si>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</si>
  <si>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</si>
  <si>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</si>
  <si>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</si>
  <si>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</si>
  <si>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</si>
  <si>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</si>
  <si>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</si>
  <si>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</si>
  <si>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</si>
  <si>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</si>
  <si>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</si>
  <si>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</si>
  <si>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</si>
  <si>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</si>
  <si>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</si>
  <si>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</si>
  <si>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</si>
  <si>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</si>
  <si>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</si>
  <si>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</si>
  <si>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</si>
  <si>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</si>
  <si>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</si>
  <si>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</si>
  <si>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</si>
  <si>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</si>
  <si>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</si>
  <si>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</si>
  <si>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</si>
  <si>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</si>
  <si>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</si>
  <si>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</si>
  <si>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</si>
  <si>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</si>
  <si>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</si>
  <si>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</si>
  <si>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</si>
  <si>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</si>
  <si>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</si>
  <si>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</si>
  <si>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</si>
  <si>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</si>
  <si>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</si>
  <si>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</si>
  <si>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</si>
  <si>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</si>
  <si>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</si>
  <si>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</si>
  <si>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</si>
  <si>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</si>
  <si>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</si>
  <si>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</si>
  <si>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</si>
  <si>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</si>
  <si>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</si>
  <si>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</si>
  <si>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</si>
  <si>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</si>
  <si>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</si>
  <si>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</si>
  <si>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</si>
  <si>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</si>
  <si>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</si>
  <si>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</si>
  <si>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</si>
  <si>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</si>
  <si>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</si>
  <si>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</si>
  <si>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</si>
  <si>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</si>
  <si>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</si>
  <si>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</si>
  <si>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</si>
  <si>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</si>
  <si>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</si>
  <si>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</si>
  <si>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</si>
  <si>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</si>
  <si>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</si>
  <si>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</si>
  <si>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</si>
  <si>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</si>
  <si>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</si>
  <si>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</si>
  <si>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</si>
  <si>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</si>
  <si>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</si>
  <si>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</si>
  <si>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</si>
  <si>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</si>
  <si>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</si>
  <si>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</si>
  <si>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</si>
  <si>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</si>
  <si>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</si>
  <si>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</si>
  <si>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</si>
  <si>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</si>
  <si>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</si>
  <si>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</si>
  <si>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</si>
  <si>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</si>
  <si>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</si>
  <si>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</si>
  <si>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</si>
  <si>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</si>
  <si>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</si>
  <si>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</si>
  <si>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</si>
  <si>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</si>
  <si>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</si>
  <si>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</si>
  <si>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</si>
  <si>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</si>
  <si>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</si>
  <si>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</si>
  <si>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</si>
  <si>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</si>
  <si>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</si>
  <si>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</si>
  <si>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</si>
  <si>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</si>
  <si>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</si>
  <si>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</si>
  <si>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</si>
  <si>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</si>
  <si>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</si>
  <si>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</si>
  <si>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</si>
  <si>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</si>
  <si>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</si>
  <si>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</si>
  <si>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</si>
  <si>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</si>
  <si>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</si>
  <si>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</si>
  <si>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</si>
  <si>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</si>
  <si>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</si>
  <si>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</si>
  <si>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</si>
  <si>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</si>
  <si>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</si>
  <si>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</si>
  <si>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</si>
  <si>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</si>
  <si>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</si>
  <si>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</si>
  <si>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</si>
  <si>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</si>
  <si>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</si>
  <si>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</si>
  <si>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</si>
  <si>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</si>
  <si>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</si>
  <si>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</si>
  <si>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</si>
  <si>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</si>
  <si>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</si>
  <si>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</si>
  <si>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</si>
  <si>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</si>
  <si>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</si>
  <si>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</si>
  <si>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</si>
  <si>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</si>
  <si>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</si>
  <si>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</si>
  <si>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</si>
  <si>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</si>
  <si>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</si>
  <si>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</si>
  <si>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</si>
  <si>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</si>
  <si>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</si>
  <si>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</si>
  <si>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</si>
  <si>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</si>
  <si>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</si>
  <si>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</si>
  <si>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</si>
  <si>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</si>
  <si>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</si>
  <si>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</si>
  <si>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</si>
  <si>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</si>
  <si>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</si>
  <si>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</si>
  <si>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</si>
  <si>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</si>
  <si>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</si>
  <si>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</si>
  <si>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</si>
  <si>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</si>
  <si>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</si>
  <si>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</si>
  <si>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</si>
  <si>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</si>
  <si>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</si>
  <si>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</si>
  <si>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</si>
  <si>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</si>
  <si>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</si>
  <si>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</si>
  <si>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</si>
  <si>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</si>
  <si>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</si>
  <si>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</si>
  <si>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</si>
  <si>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</si>
  <si>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</si>
  <si>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</si>
  <si>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</si>
  <si>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</si>
  <si>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</si>
  <si>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</si>
  <si>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</si>
  <si>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</si>
  <si>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</si>
  <si>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</si>
  <si>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</si>
  <si>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</si>
  <si>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</si>
  <si>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</si>
  <si>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</si>
  <si>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</si>
  <si>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</si>
  <si>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</si>
  <si>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</si>
  <si>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</si>
  <si>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</si>
  <si>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</si>
  <si>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</si>
  <si>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</si>
  <si>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</si>
  <si>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</si>
  <si>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</si>
  <si>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</si>
  <si>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</si>
  <si>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</si>
  <si>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</si>
  <si>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</si>
  <si>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</si>
  <si>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</si>
  <si>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</si>
  <si>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</si>
  <si>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</si>
  <si>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</si>
  <si>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</si>
  <si>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</si>
  <si>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</si>
  <si>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</si>
  <si>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</si>
  <si>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</si>
  <si>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</si>
  <si>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</si>
  <si>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</si>
  <si>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</si>
  <si>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</si>
  <si>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</si>
  <si>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</si>
  <si>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</si>
  <si>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</si>
  <si>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</si>
  <si>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</si>
  <si>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</si>
  <si>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</si>
  <si>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</si>
  <si>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</si>
  <si>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</si>
  <si>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</si>
  <si>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</si>
  <si>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</si>
  <si>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</si>
  <si>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</si>
  <si>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</si>
  <si>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</si>
  <si>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</si>
  <si>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</si>
  <si>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</si>
  <si>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</si>
  <si>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</si>
  <si>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</si>
  <si>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</si>
  <si>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</si>
  <si>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</si>
  <si>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</si>
  <si>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</si>
  <si>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</si>
  <si>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</si>
  <si>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</si>
  <si>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</si>
  <si>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</si>
  <si>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</si>
  <si>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</si>
  <si>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</si>
  <si>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</si>
  <si>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</si>
  <si>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</si>
  <si>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</si>
  <si>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</si>
  <si>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</si>
  <si>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</si>
  <si>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</si>
  <si>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</si>
  <si>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</si>
  <si>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</si>
  <si>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</si>
  <si>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</si>
  <si>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</si>
  <si>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</si>
  <si>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</si>
  <si>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</si>
  <si>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</si>
  <si>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</si>
  <si>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</si>
  <si>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</si>
  <si>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</si>
  <si>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</si>
  <si>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</si>
  <si>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</si>
  <si>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</si>
  <si>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</si>
  <si>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</si>
  <si>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</si>
  <si>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</si>
  <si>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</si>
  <si>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</si>
  <si>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</si>
  <si>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</si>
  <si>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</si>
  <si>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</si>
  <si>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</si>
  <si>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</si>
  <si>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</si>
  <si>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</si>
  <si>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</si>
  <si>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</si>
  <si>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</si>
  <si>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</si>
  <si>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</si>
  <si>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</si>
  <si>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</si>
  <si>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</si>
  <si>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</si>
  <si>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</si>
  <si>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</si>
  <si>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</si>
  <si>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</si>
  <si>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</si>
  <si>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</si>
  <si>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</si>
  <si>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</si>
  <si>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</si>
  <si>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</si>
  <si>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</si>
  <si>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</si>
  <si>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</si>
  <si>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</si>
  <si>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</si>
  <si>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</si>
  <si>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</si>
  <si>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</si>
  <si>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</si>
  <si>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</si>
  <si>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</si>
  <si>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</si>
  <si>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</si>
  <si>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</si>
  <si>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</si>
  <si>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</si>
  <si>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</si>
  <si>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</si>
  <si>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</si>
  <si>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</si>
  <si>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</si>
  <si>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</si>
  <si>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</si>
  <si>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</si>
  <si>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</si>
  <si>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</si>
  <si>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</si>
  <si>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</si>
  <si>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</si>
  <si>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</si>
  <si>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</si>
  <si>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</si>
  <si>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</si>
  <si>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</si>
  <si>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</si>
  <si>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</si>
  <si>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</si>
  <si>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</si>
  <si>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</si>
  <si>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</si>
  <si>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</si>
  <si>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</si>
  <si>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</si>
  <si>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</si>
  <si>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</si>
  <si>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</si>
  <si>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</si>
  <si>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</si>
  <si>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</si>
  <si>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</si>
  <si>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</si>
  <si>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</si>
  <si>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</si>
  <si>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</si>
  <si>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</si>
  <si>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</si>
  <si>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</si>
  <si>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</si>
  <si>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</si>
  <si>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</si>
  <si>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</si>
  <si>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</si>
  <si>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</si>
  <si>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</si>
  <si>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</si>
  <si>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</si>
  <si>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</si>
  <si>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</si>
  <si>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</si>
  <si>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</si>
  <si>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</si>
  <si>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</si>
  <si>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</si>
  <si>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</si>
  <si>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</si>
  <si>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</si>
  <si>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</si>
  <si>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</si>
  <si>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</si>
  <si>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</si>
  <si>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</si>
  <si>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</si>
  <si>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</si>
  <si>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</si>
  <si>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</si>
  <si>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</si>
  <si>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</si>
  <si>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</si>
  <si>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</si>
  <si>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</si>
  <si>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</si>
  <si>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</si>
  <si>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</si>
  <si>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</si>
  <si>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</si>
  <si>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</si>
  <si>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</si>
  <si>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</si>
  <si>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</si>
  <si>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</si>
  <si>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</si>
  <si>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</si>
  <si>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</si>
  <si>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</si>
  <si>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</si>
  <si>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</si>
  <si>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</si>
  <si>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</si>
  <si>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</si>
  <si>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</si>
  <si>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</si>
  <si>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</si>
  <si>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</si>
  <si>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</si>
  <si>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</si>
  <si>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</si>
  <si>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</si>
  <si>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</si>
  <si>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</si>
  <si>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</si>
  <si>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</si>
  <si>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</si>
  <si>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</si>
  <si>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</si>
  <si>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</si>
  <si>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</si>
  <si>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</si>
  <si>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</si>
  <si>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</si>
  <si>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</si>
  <si>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</si>
  <si>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</si>
  <si>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</si>
  <si>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</si>
  <si>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</si>
  <si>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</si>
  <si>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</si>
  <si>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</si>
  <si>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</si>
  <si>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</si>
  <si>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</si>
  <si>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</si>
  <si>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</si>
  <si>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</si>
  <si>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</si>
  <si>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</si>
  <si>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</si>
  <si>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</si>
  <si>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</si>
  <si>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</si>
  <si>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</si>
  <si>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</si>
  <si>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</si>
  <si>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</si>
  <si>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</si>
  <si>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</si>
  <si>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</si>
  <si>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</si>
  <si>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</si>
  <si>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</si>
  <si>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</si>
  <si>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</si>
  <si>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</si>
  <si>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</si>
  <si>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</si>
  <si>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</si>
  <si>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</si>
  <si>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</si>
  <si>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</si>
  <si>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</si>
  <si>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</si>
  <si>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</si>
  <si>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</si>
  <si>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</si>
  <si>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</si>
  <si>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</si>
  <si>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</si>
  <si>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</si>
  <si>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</si>
  <si>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</si>
  <si>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</si>
  <si>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</si>
  <si>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</si>
  <si>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</si>
  <si>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</si>
  <si>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</si>
  <si>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</si>
  <si>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</si>
  <si>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</si>
  <si>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</si>
  <si>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</si>
  <si>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</si>
  <si>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</si>
  <si>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</si>
  <si>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</si>
  <si>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</si>
  <si>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</si>
  <si>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</si>
  <si>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</si>
  <si>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</si>
  <si>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</si>
  <si>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</si>
  <si>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</si>
  <si>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</si>
  <si>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</si>
  <si>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</si>
  <si>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</si>
  <si>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</si>
  <si>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</si>
  <si>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</si>
  <si>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</si>
  <si>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</si>
  <si>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</si>
  <si>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</si>
  <si>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</si>
  <si>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</si>
  <si>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</si>
  <si>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</si>
  <si>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</si>
  <si>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</si>
  <si>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</si>
  <si>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</si>
  <si>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</si>
  <si>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</si>
  <si>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</si>
  <si>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</si>
  <si>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</si>
  <si>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</si>
  <si>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</si>
  <si>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</si>
  <si>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</si>
  <si>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</si>
  <si>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</si>
  <si>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</si>
  <si>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</si>
  <si>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</si>
  <si>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</si>
  <si>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</si>
  <si>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</si>
  <si>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</si>
  <si>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</si>
  <si>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</si>
  <si>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</si>
  <si>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</si>
  <si>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</si>
  <si>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</si>
  <si>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</si>
  <si>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</si>
  <si>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</si>
  <si>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</si>
  <si>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</si>
  <si>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</si>
  <si>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</si>
  <si>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</si>
  <si>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</si>
  <si>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</si>
  <si>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</si>
  <si>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</si>
  <si>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</si>
  <si>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</si>
  <si>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</si>
  <si>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</si>
  <si>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</si>
  <si>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</si>
  <si>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</si>
  <si>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</si>
  <si>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</si>
  <si>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</si>
  <si>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</si>
  <si>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</si>
  <si>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</si>
  <si>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</si>
  <si>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</si>
  <si>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</si>
  <si>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</si>
  <si>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</si>
  <si>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</si>
  <si>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</si>
  <si>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</si>
  <si>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</si>
  <si>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</si>
  <si>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</si>
  <si>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</si>
  <si>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</si>
  <si>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</si>
  <si>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</si>
  <si>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</si>
  <si>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</si>
  <si>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</si>
  <si>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</si>
  <si>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</si>
  <si>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</si>
  <si>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</si>
  <si>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</si>
  <si>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</si>
  <si>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</si>
  <si>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</si>
  <si>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</si>
  <si>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</si>
  <si>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</si>
  <si>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</si>
  <si>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</si>
  <si>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</si>
  <si>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</si>
  <si>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</si>
  <si>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</si>
  <si>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</si>
  <si>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</si>
  <si>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</si>
  <si>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</si>
  <si>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</si>
  <si>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</si>
  <si>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</si>
  <si>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</si>
  <si>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</si>
  <si>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</si>
  <si>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</si>
  <si>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</si>
  <si>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</si>
  <si>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</si>
  <si>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</si>
  <si>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</si>
  <si>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</si>
  <si>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</si>
  <si>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</si>
  <si>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</si>
  <si>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</si>
  <si>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</si>
  <si>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</si>
  <si>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</si>
  <si>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</si>
  <si>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</si>
  <si>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</si>
  <si>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</si>
  <si>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</si>
  <si>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</si>
  <si>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</si>
  <si>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</si>
  <si>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</si>
  <si>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</si>
  <si>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</si>
  <si>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</si>
  <si>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</si>
  <si>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</si>
  <si>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</si>
  <si>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</si>
  <si>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</si>
  <si>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</si>
  <si>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</si>
  <si>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</si>
  <si>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</si>
  <si>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</si>
  <si>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</si>
  <si>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</si>
  <si>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</si>
  <si>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</si>
  <si>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</si>
  <si>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</si>
  <si>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</si>
  <si>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</si>
  <si>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</si>
  <si>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</si>
  <si>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</si>
  <si>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</si>
  <si>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</si>
  <si>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</si>
  <si>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</si>
  <si>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</si>
  <si>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</si>
  <si>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</si>
  <si>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</si>
  <si>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</si>
  <si>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</si>
  <si>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</si>
  <si>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</si>
  <si>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</si>
  <si>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</si>
  <si>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</si>
  <si>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</si>
  <si>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</si>
  <si>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</si>
  <si>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</si>
  <si>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</si>
  <si>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</si>
  <si>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</si>
  <si>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</si>
  <si>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</si>
  <si>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</si>
  <si>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</si>
  <si>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</si>
  <si>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</si>
  <si>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</si>
  <si>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</si>
  <si>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</si>
  <si>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</si>
  <si>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</si>
  <si>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</si>
  <si>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</si>
  <si>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</si>
  <si>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</si>
  <si>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</si>
  <si>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</si>
  <si>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</si>
  <si>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</si>
  <si>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</si>
  <si>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</si>
  <si>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</si>
  <si>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</si>
  <si>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</si>
  <si>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</si>
  <si>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</si>
  <si>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</si>
  <si>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</si>
  <si>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</si>
  <si>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</si>
  <si>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</si>
  <si>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</si>
  <si>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</si>
  <si>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</si>
  <si>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</si>
  <si>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</si>
  <si>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</si>
  <si>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</si>
  <si>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</si>
  <si>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</si>
  <si>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</si>
  <si>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</si>
  <si>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</si>
  <si>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</si>
  <si>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</si>
  <si>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</si>
  <si>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</si>
  <si>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</si>
  <si>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</si>
  <si>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</si>
  <si>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</si>
  <si>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</si>
  <si>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</si>
  <si>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</si>
  <si>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</si>
  <si>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</si>
  <si>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</si>
  <si>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</si>
  <si>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</si>
  <si>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</si>
  <si>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</si>
  <si>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</si>
  <si>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</si>
  <si>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</si>
  <si>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</si>
  <si>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</si>
  <si>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</si>
  <si>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</si>
  <si>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</si>
  <si>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</si>
  <si>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</si>
  <si>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</si>
  <si>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</si>
  <si>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</si>
  <si>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</si>
  <si>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</si>
  <si>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</si>
  <si>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</si>
  <si>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</si>
  <si>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</si>
  <si>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</si>
  <si>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</si>
  <si>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</si>
  <si>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</si>
  <si>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</si>
  <si>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</si>
  <si>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</si>
  <si>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</si>
  <si>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</si>
  <si>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</si>
  <si>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</si>
  <si>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</si>
  <si>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</si>
  <si>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</si>
  <si>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</si>
  <si>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</si>
  <si>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</si>
  <si>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</si>
  <si>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</si>
  <si>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</si>
  <si>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</si>
  <si>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</si>
  <si>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</si>
  <si>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</si>
  <si>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</si>
  <si>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</si>
  <si>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</si>
  <si>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</si>
  <si>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</si>
  <si>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</si>
  <si>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</si>
  <si>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</si>
  <si>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</si>
  <si>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</si>
  <si>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</si>
  <si>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</si>
  <si>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</si>
  <si>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</si>
  <si>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</si>
  <si>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</si>
  <si>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</si>
  <si>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</si>
  <si>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</si>
  <si>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</si>
  <si>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</si>
  <si>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</si>
  <si>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</si>
  <si>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</si>
  <si>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</si>
  <si>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</si>
  <si>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</si>
  <si>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</si>
  <si>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</si>
  <si>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</si>
  <si>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</si>
  <si>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</si>
  <si>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</si>
  <si>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</si>
  <si>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</si>
  <si>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</si>
  <si>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</si>
  <si>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</si>
  <si>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</si>
  <si>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</si>
  <si>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</si>
  <si>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</si>
  <si>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</si>
  <si>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</si>
  <si>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</si>
  <si>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</si>
  <si>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</si>
  <si>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</si>
  <si>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</si>
  <si>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</si>
  <si>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</si>
  <si>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</si>
  <si>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</si>
  <si>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</si>
  <si>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</si>
  <si>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</si>
  <si>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</si>
  <si>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</si>
  <si>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</si>
  <si>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</si>
  <si>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</si>
  <si>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</si>
  <si>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</si>
  <si>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</si>
  <si>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</si>
  <si>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</si>
  <si>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</si>
  <si>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</si>
  <si>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</si>
  <si>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</si>
  <si>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</si>
  <si>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</si>
  <si>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</si>
  <si>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</si>
  <si>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</si>
  <si>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</si>
  <si>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</si>
  <si>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</si>
  <si>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</si>
  <si>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</si>
  <si>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</si>
  <si>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</si>
  <si>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</si>
  <si>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</si>
  <si>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</si>
  <si>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</si>
  <si>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</si>
  <si>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</si>
  <si>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</si>
  <si>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</si>
  <si>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</si>
  <si>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</si>
  <si>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</si>
  <si>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</si>
  <si>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</si>
  <si>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</si>
  <si>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</si>
  <si>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</si>
  <si>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</si>
  <si>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</si>
  <si>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</si>
  <si>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</si>
  <si>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</si>
  <si>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</si>
  <si>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</si>
  <si>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</si>
  <si>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</si>
  <si>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</si>
  <si>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</si>
  <si>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</si>
  <si>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</si>
  <si>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</si>
  <si>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</si>
  <si>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</si>
  <si>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</si>
  <si>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</si>
  <si>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</si>
  <si>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</si>
  <si>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</si>
  <si>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</si>
  <si>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</si>
  <si>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</si>
  <si>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</si>
  <si>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</si>
  <si>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</si>
  <si>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</si>
  <si>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</si>
  <si>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</si>
  <si>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</si>
  <si>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</si>
  <si>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</si>
  <si>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</si>
  <si>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</si>
  <si>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</si>
  <si>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</si>
  <si>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</si>
  <si>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</si>
  <si>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</si>
  <si>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</si>
  <si>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</si>
  <si>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</si>
  <si>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</si>
  <si>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</si>
  <si>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</si>
  <si>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</si>
  <si>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</si>
  <si>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</si>
  <si>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</si>
  <si>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</si>
  <si>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</si>
  <si>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</si>
  <si>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</si>
  <si>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</si>
  <si>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</si>
  <si>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</si>
  <si>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</si>
  <si>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</si>
  <si>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</si>
  <si>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</si>
  <si>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</si>
  <si>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</si>
  <si>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</si>
  <si>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</si>
  <si>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</si>
  <si>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</si>
  <si>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</si>
  <si>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</si>
  <si>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</si>
  <si>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</si>
  <si>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</si>
  <si>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</si>
  <si>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</si>
  <si>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</si>
  <si>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</si>
  <si>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</si>
  <si>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</si>
  <si>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</si>
  <si>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</si>
  <si>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</si>
  <si>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</si>
  <si>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</si>
  <si>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</si>
  <si>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</si>
  <si>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</si>
  <si>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</si>
  <si>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</si>
  <si>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</si>
  <si>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</si>
  <si>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</si>
  <si>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</si>
  <si>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</si>
  <si>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</si>
  <si>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</si>
  <si>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</si>
  <si>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</si>
  <si>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</si>
  <si>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</si>
  <si>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</si>
  <si>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</si>
  <si>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</si>
  <si>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</si>
  <si>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</si>
  <si>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</si>
  <si>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</si>
  <si>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</si>
  <si>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</si>
  <si>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</si>
  <si>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</si>
  <si>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</si>
  <si>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</si>
  <si>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</si>
  <si>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</si>
  <si>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</si>
  <si>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</si>
  <si>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</si>
  <si>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</si>
  <si>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</si>
  <si>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</si>
  <si>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</si>
  <si>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</si>
  <si>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</si>
  <si>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</si>
  <si>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</si>
  <si>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</si>
  <si>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</si>
  <si>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</si>
  <si>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</si>
  <si>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</si>
  <si>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</si>
  <si>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</si>
  <si>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</si>
  <si>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</si>
  <si>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</si>
  <si>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</si>
  <si>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</si>
  <si>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</si>
  <si>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</si>
  <si>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</si>
  <si>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</si>
  <si>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</si>
  <si>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</si>
  <si>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</si>
  <si>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</si>
  <si>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</si>
  <si>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</si>
  <si>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</si>
  <si>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</si>
  <si>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</si>
  <si>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</si>
  <si>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</si>
  <si>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</si>
  <si>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</si>
  <si>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</si>
  <si>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</si>
  <si>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</si>
  <si>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</si>
  <si>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</si>
  <si>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</si>
  <si>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</si>
  <si>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</si>
  <si>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</si>
  <si>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</si>
  <si>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</si>
  <si>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</si>
  <si>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</si>
  <si>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</si>
  <si>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</si>
  <si>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</si>
  <si>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</si>
  <si>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</si>
  <si>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</si>
  <si>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</si>
  <si>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</si>
  <si>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</si>
  <si>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</si>
  <si>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</si>
  <si>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</si>
  <si>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</si>
  <si>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</si>
  <si>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</si>
  <si>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</si>
  <si>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</si>
  <si>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</si>
  <si>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</si>
  <si>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</si>
  <si>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</si>
  <si>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</si>
  <si>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</si>
  <si>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</si>
  <si>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</si>
  <si>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</si>
  <si>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</si>
  <si>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</si>
  <si>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</si>
  <si>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</si>
  <si>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</si>
  <si>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</si>
  <si>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</si>
  <si>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</si>
  <si>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</si>
  <si>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</si>
  <si>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</si>
  <si>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</si>
  <si>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</si>
  <si>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</si>
  <si>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</si>
  <si>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</si>
  <si>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</si>
  <si>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</si>
  <si>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</si>
  <si>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</si>
  <si>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</si>
  <si>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</si>
  <si>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</si>
  <si>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</si>
  <si>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</si>
  <si>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</si>
  <si>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</si>
  <si>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</si>
  <si>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</si>
  <si>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</si>
  <si>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</si>
  <si>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</si>
  <si>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</si>
  <si>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</si>
  <si>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</si>
  <si>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</si>
  <si>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</si>
  <si>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</si>
  <si>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</si>
  <si>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</si>
  <si>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</si>
  <si>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</si>
  <si>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</si>
  <si>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</si>
  <si>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</si>
  <si>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</si>
  <si>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</si>
  <si>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</si>
  <si>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</si>
  <si>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</si>
  <si>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</si>
  <si>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</si>
  <si>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</si>
  <si>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</si>
  <si>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</si>
  <si>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</si>
  <si>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</si>
  <si>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</si>
  <si>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</si>
  <si>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</si>
  <si>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</si>
  <si>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</si>
  <si>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</si>
  <si>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</si>
  <si>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</si>
  <si>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</si>
  <si>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</si>
  <si>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</si>
  <si>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</si>
  <si>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</si>
  <si>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</si>
  <si>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</si>
  <si>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</si>
  <si>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</si>
  <si>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</si>
  <si>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</si>
  <si>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</si>
  <si>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</si>
  <si>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</si>
  <si>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</si>
  <si>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</si>
  <si>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</si>
  <si>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</si>
  <si>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</si>
  <si>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</si>
  <si>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</si>
  <si>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</si>
  <si>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</si>
  <si>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</si>
  <si>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</si>
  <si>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</si>
  <si>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</si>
  <si>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</si>
  <si>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</si>
  <si>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</si>
  <si>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</si>
  <si>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</si>
  <si>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</si>
  <si>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</si>
  <si>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</si>
  <si>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</si>
  <si>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</si>
  <si>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</si>
  <si>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</si>
  <si>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</si>
  <si>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</si>
  <si>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</si>
  <si>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</si>
  <si>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</si>
  <si>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</si>
  <si>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</si>
  <si>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</si>
  <si>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</si>
  <si>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</si>
  <si>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</si>
  <si>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</si>
  <si>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</si>
  <si>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</si>
  <si>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</si>
  <si>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</si>
  <si>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</si>
  <si>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</si>
  <si>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</si>
  <si>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</si>
  <si>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</si>
  <si>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</si>
  <si>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</si>
  <si>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</si>
  <si>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</si>
  <si>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</si>
  <si>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</si>
  <si>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</si>
  <si>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</si>
  <si>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</si>
  <si>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</si>
  <si>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</si>
  <si>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</si>
  <si>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</si>
  <si>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</si>
  <si>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</si>
  <si>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</si>
  <si>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</si>
  <si>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</si>
  <si>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</si>
  <si>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</si>
  <si>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</si>
  <si>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</si>
  <si>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</si>
  <si>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</si>
  <si>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</si>
  <si>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</si>
  <si>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</si>
  <si>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</si>
  <si>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</si>
  <si>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</si>
  <si>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</si>
  <si>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</si>
  <si>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</si>
  <si>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</si>
  <si>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</si>
  <si>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</si>
  <si>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</si>
  <si>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</si>
  <si>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</si>
  <si>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</si>
  <si>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</si>
  <si>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</si>
  <si>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</si>
  <si>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</si>
  <si>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</si>
  <si>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</si>
  <si>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</si>
  <si>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</si>
  <si>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</si>
  <si>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</si>
  <si>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</si>
  <si>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</si>
  <si>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</si>
  <si>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</si>
  <si>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</si>
  <si>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</si>
  <si>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</si>
  <si>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</si>
  <si>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</si>
  <si>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</si>
  <si>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</si>
  <si>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</si>
  <si>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</si>
  <si>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</si>
  <si>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</si>
  <si>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</si>
  <si>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</si>
  <si>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</si>
  <si>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</si>
  <si>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</si>
  <si>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</si>
  <si>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</si>
  <si>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</si>
  <si>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</si>
  <si>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</si>
  <si>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</si>
  <si>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</si>
  <si>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</si>
  <si>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</si>
  <si>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</si>
  <si>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</si>
  <si>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</si>
  <si>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</si>
  <si>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</si>
  <si>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</si>
  <si>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</si>
  <si>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</si>
  <si>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</si>
  <si>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</si>
  <si>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</si>
  <si>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</si>
  <si>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</si>
  <si>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</si>
  <si>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</si>
  <si>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</si>
  <si>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</si>
  <si>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</si>
  <si>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</si>
  <si>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</si>
  <si>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</si>
  <si>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</si>
  <si>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</si>
  <si>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</si>
  <si>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</si>
  <si>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</si>
  <si>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</si>
  <si>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</si>
  <si>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</si>
  <si>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</si>
  <si>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</si>
  <si>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</si>
  <si>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</si>
  <si>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</si>
  <si>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</si>
  <si>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</si>
  <si>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</si>
  <si>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</si>
  <si>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</si>
  <si>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</si>
  <si>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</si>
  <si>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</si>
  <si>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</si>
  <si>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</si>
  <si>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</si>
  <si>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</si>
  <si>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</si>
  <si>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</si>
  <si>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</si>
  <si>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</si>
  <si>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</si>
  <si>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</si>
  <si>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</si>
  <si>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</si>
  <si>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</si>
  <si>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</si>
  <si>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</si>
  <si>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</si>
  <si>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</si>
  <si>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</si>
  <si>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</si>
  <si>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</si>
  <si>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</si>
  <si>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</si>
  <si>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</si>
  <si>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</si>
  <si>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</si>
  <si>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</si>
  <si>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</si>
  <si>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</si>
  <si>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</si>
  <si>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</si>
  <si>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</si>
  <si>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</si>
  <si>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</si>
  <si>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</si>
  <si>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</si>
  <si>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</si>
  <si>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</si>
  <si>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</si>
  <si>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</si>
  <si>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</si>
  <si>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</si>
  <si>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</si>
  <si>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</si>
  <si>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</si>
  <si>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</si>
  <si>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</si>
  <si>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</si>
  <si>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</si>
  <si>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</si>
  <si>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</si>
  <si>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</si>
  <si>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</si>
  <si>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</si>
  <si>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</si>
  <si>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</si>
  <si>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</si>
  <si>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</si>
  <si>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</si>
  <si>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</si>
  <si>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</si>
  <si>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</si>
  <si>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</si>
  <si>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</si>
  <si>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</si>
  <si>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</si>
  <si>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</si>
  <si>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</si>
  <si>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</si>
  <si>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</si>
  <si>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</si>
  <si>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</si>
  <si>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</si>
  <si>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</si>
  <si>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</si>
  <si>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</si>
  <si>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</si>
  <si>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</si>
  <si>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</si>
  <si>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</si>
  <si>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</si>
  <si>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</si>
  <si>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</si>
  <si>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</si>
  <si>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</si>
  <si>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</si>
  <si>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</si>
  <si>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</si>
  <si>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</si>
  <si>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</si>
  <si>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</si>
  <si>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</si>
  <si>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</si>
  <si>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</si>
  <si>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</si>
  <si>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</si>
  <si>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</si>
  <si>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</si>
  <si>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</si>
  <si>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</si>
  <si>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</si>
  <si>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</si>
  <si>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</si>
  <si>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</si>
  <si>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</si>
  <si>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</si>
  <si>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</si>
  <si>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</si>
  <si>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</si>
  <si>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</si>
  <si>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</si>
  <si>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</si>
  <si>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</si>
  <si>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</si>
  <si>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</si>
  <si>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</si>
  <si>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</si>
  <si>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</si>
  <si>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</si>
  <si>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</si>
  <si>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</si>
  <si>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</si>
  <si>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</si>
  <si>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</si>
  <si>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</si>
  <si>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</si>
  <si>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</si>
  <si>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</si>
  <si>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</si>
  <si>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</si>
  <si>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</si>
  <si>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</si>
  <si>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</si>
  <si>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</si>
  <si>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</si>
  <si>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</si>
  <si>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</si>
  <si>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</si>
  <si>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</si>
  <si>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</si>
  <si>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</si>
  <si>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</si>
  <si>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</si>
  <si>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</si>
  <si>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</si>
  <si>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</si>
  <si>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</si>
  <si>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</si>
  <si>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</si>
  <si>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</si>
  <si>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</si>
  <si>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</si>
  <si>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</si>
  <si>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</si>
  <si>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</si>
  <si>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</si>
  <si>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</si>
  <si>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</si>
  <si>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</si>
  <si>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</si>
  <si>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</si>
  <si>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</si>
  <si>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</si>
  <si>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</si>
  <si>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</si>
  <si>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</si>
  <si>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</si>
  <si>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</si>
  <si>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</si>
  <si>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</si>
  <si>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</si>
  <si>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</si>
  <si>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</si>
  <si>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</si>
  <si>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</si>
  <si>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</si>
  <si>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</si>
  <si>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</si>
  <si>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</si>
  <si>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</si>
  <si>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</si>
  <si>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</si>
  <si>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</si>
  <si>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</si>
  <si>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</si>
  <si>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</si>
  <si>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</si>
  <si>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</si>
  <si>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</si>
  <si>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</si>
  <si>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</si>
  <si>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</si>
  <si>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</si>
  <si>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</si>
  <si>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</si>
  <si>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</si>
  <si>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</si>
  <si>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</si>
  <si>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</si>
  <si>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</si>
  <si>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</si>
  <si>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</si>
  <si>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</si>
  <si>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</si>
  <si>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</si>
  <si>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</si>
  <si>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</si>
  <si>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</si>
  <si>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</si>
  <si>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</si>
  <si>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</si>
  <si>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</si>
  <si>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</si>
  <si>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</si>
  <si>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</si>
  <si>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</si>
  <si>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</si>
  <si>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</si>
  <si>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</si>
  <si>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</si>
  <si>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</si>
  <si>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</si>
  <si>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</si>
  <si>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</si>
  <si>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</si>
  <si>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</si>
  <si>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</si>
  <si>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</si>
  <si>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</si>
  <si>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</si>
  <si>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</si>
  <si>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</si>
  <si>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</si>
  <si>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</si>
  <si>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</si>
  <si>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</si>
  <si>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</si>
  <si>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</si>
  <si>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</si>
  <si>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</si>
  <si>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</si>
  <si>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</si>
  <si>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</si>
  <si>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</si>
  <si>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</si>
  <si>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</si>
  <si>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</si>
  <si>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</si>
  <si>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</si>
  <si>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</si>
  <si>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</si>
  <si>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</si>
  <si>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</si>
  <si>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</si>
  <si>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</si>
  <si>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</si>
  <si>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</si>
  <si>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</si>
  <si>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</si>
  <si>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</si>
  <si>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</si>
  <si>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</si>
  <si>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</si>
  <si>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</si>
  <si>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</si>
  <si>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</si>
  <si>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</si>
  <si>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</si>
  <si>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</si>
  <si>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</si>
  <si>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</si>
  <si>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</si>
  <si>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</si>
  <si>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</si>
  <si>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</si>
  <si>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</si>
  <si>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</si>
  <si>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</si>
  <si>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</si>
  <si>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</si>
  <si>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</si>
  <si>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</si>
  <si>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</si>
  <si>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</si>
  <si>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</si>
  <si>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</si>
  <si>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</si>
  <si>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</si>
  <si>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</si>
  <si>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</si>
  <si>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</si>
  <si>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</si>
  <si>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</si>
  <si>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</si>
  <si>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</si>
  <si>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</si>
  <si>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</si>
  <si>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</si>
  <si>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</si>
  <si>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</si>
  <si>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</si>
  <si>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</si>
  <si>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</si>
  <si>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</si>
  <si>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</si>
  <si>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</si>
  <si>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</si>
  <si>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</si>
  <si>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</si>
  <si>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</si>
  <si>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</si>
  <si>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</si>
  <si>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</si>
  <si>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</si>
  <si>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</si>
  <si>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</si>
  <si>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</si>
  <si>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</si>
  <si>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</si>
  <si>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</si>
  <si>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</si>
  <si>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</si>
  <si>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</si>
  <si>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</si>
  <si>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</si>
  <si>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</si>
  <si>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</si>
  <si>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</si>
  <si>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</si>
  <si>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</si>
  <si>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</si>
  <si>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</si>
  <si>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</si>
  <si>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</si>
  <si>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</si>
  <si>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</si>
  <si>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</si>
  <si>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</si>
  <si>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</si>
  <si>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</si>
  <si>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</si>
  <si>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</si>
  <si>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</si>
  <si>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</si>
  <si>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</si>
  <si>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</si>
  <si>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</si>
  <si>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</si>
  <si>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</si>
  <si>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</si>
  <si>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</si>
  <si>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</si>
  <si>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</si>
  <si>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</si>
  <si>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</si>
  <si>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</si>
  <si>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</si>
  <si>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</si>
  <si>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</si>
  <si>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</si>
  <si>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</si>
  <si>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</si>
  <si>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</si>
  <si>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</si>
  <si>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</si>
  <si>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</si>
  <si>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</si>
  <si>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</si>
  <si>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</si>
  <si>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</si>
  <si>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</si>
  <si>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</si>
  <si>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</si>
  <si>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</si>
  <si>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</si>
  <si>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</si>
  <si>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</si>
  <si>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</si>
  <si>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</si>
  <si>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</si>
  <si>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</si>
  <si>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</si>
  <si>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</si>
  <si>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</si>
  <si>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</si>
  <si>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</si>
  <si>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</si>
  <si>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</si>
  <si>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</si>
  <si>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</si>
  <si>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</si>
  <si>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</si>
  <si>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</si>
  <si>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</si>
  <si>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</si>
  <si>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</si>
  <si>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</si>
  <si>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</si>
  <si>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</si>
  <si>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</si>
  <si>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</si>
  <si>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</si>
  <si>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</si>
  <si>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</si>
  <si>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</si>
  <si>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</si>
  <si>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</si>
  <si>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</si>
  <si>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</si>
  <si>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</si>
  <si>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</si>
  <si>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</si>
  <si>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</si>
  <si>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</si>
  <si>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</si>
  <si>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</si>
  <si>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</si>
  <si>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</si>
  <si>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</si>
  <si>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</si>
  <si>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</si>
  <si>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</si>
  <si>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</si>
  <si>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</si>
  <si>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</si>
  <si>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</si>
  <si>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</si>
  <si>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</si>
  <si>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</si>
  <si>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</si>
  <si>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</si>
  <si>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</si>
  <si>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</si>
  <si>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</si>
  <si>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</si>
  <si>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</si>
  <si>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</si>
  <si>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</si>
  <si>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</si>
  <si>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</si>
  <si>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</si>
  <si>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</si>
  <si>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</si>
  <si>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</si>
  <si>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</si>
  <si>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</si>
  <si>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</si>
  <si>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</si>
  <si>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</si>
  <si>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</si>
  <si>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</si>
  <si>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</si>
  <si>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</si>
  <si>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</si>
  <si>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</si>
  <si>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</si>
  <si>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</si>
  <si>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</si>
  <si>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</si>
  <si>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</si>
  <si>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</si>
  <si>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</si>
  <si>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</si>
  <si>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</si>
  <si>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</si>
  <si>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</si>
  <si>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</si>
  <si>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</si>
  <si>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</si>
  <si>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</si>
  <si>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</si>
  <si>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</si>
  <si>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</si>
  <si>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</si>
  <si>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</si>
  <si>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</si>
  <si>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</si>
  <si>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</si>
  <si>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</si>
  <si>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</si>
  <si>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</si>
  <si>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</si>
  <si>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</si>
  <si>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</si>
  <si>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</si>
  <si>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</si>
  <si>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</si>
  <si>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</si>
  <si>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</si>
  <si>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</si>
  <si>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</si>
  <si>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</si>
  <si>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</si>
  <si>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</si>
  <si>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</si>
  <si>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</si>
  <si>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</si>
  <si>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</si>
  <si>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</si>
  <si>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</si>
  <si>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</si>
  <si>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</si>
  <si>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</si>
  <si>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</si>
  <si>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</si>
  <si>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</si>
  <si>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</si>
  <si>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</si>
  <si>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</si>
  <si>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</si>
  <si>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</si>
  <si>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</si>
  <si>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</si>
  <si>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</si>
  <si>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</si>
  <si>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</si>
  <si>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</si>
  <si>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</si>
  <si>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</si>
  <si>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</si>
  <si>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</si>
  <si>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</si>
  <si>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</si>
  <si>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</si>
  <si>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</si>
  <si>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</si>
  <si>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</si>
  <si>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</si>
  <si>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</si>
  <si>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</si>
  <si>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</si>
  <si>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</si>
  <si>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</si>
  <si>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</si>
  <si>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</si>
  <si>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</si>
  <si>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</si>
  <si>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</si>
  <si>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</si>
  <si>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</si>
  <si>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</si>
  <si>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</si>
  <si>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</si>
  <si>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</si>
  <si>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</si>
  <si>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</si>
  <si>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</si>
  <si>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</si>
  <si>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</si>
  <si>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</si>
  <si>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</si>
  <si>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</si>
  <si>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</si>
  <si>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</si>
  <si>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</si>
  <si>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</si>
  <si>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</si>
  <si>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</si>
  <si>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</si>
  <si>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</si>
  <si>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</si>
  <si>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</si>
  <si>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</si>
  <si>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</si>
  <si>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</si>
  <si>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</si>
  <si>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</si>
  <si>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</si>
  <si>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</si>
  <si>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</si>
  <si>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</si>
  <si>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</si>
  <si>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</si>
  <si>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</si>
  <si>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</si>
  <si>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</si>
  <si>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</si>
  <si>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</si>
  <si>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</si>
  <si>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</si>
  <si>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</si>
  <si>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</si>
  <si>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</si>
  <si>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</si>
  <si>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</si>
  <si>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</si>
  <si>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</si>
  <si>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</si>
  <si>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</si>
  <si>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</si>
  <si>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</si>
  <si>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</si>
  <si>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</si>
  <si>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</si>
  <si>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</si>
  <si>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</si>
  <si>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</si>
  <si>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</si>
  <si>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</si>
  <si>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</si>
  <si>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</si>
  <si>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</si>
  <si>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</si>
  <si>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</si>
  <si>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</si>
  <si>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</si>
  <si>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</si>
  <si>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</si>
  <si>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</si>
  <si>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</si>
  <si>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</si>
  <si>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</si>
  <si>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</si>
  <si>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</si>
  <si>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</si>
  <si>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</si>
  <si>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</si>
  <si>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</si>
  <si>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</si>
  <si>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</si>
  <si>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</si>
  <si>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</si>
  <si>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</si>
  <si>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</si>
  <si>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</si>
  <si>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</si>
  <si>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</si>
  <si>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</si>
  <si>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</si>
  <si>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</si>
  <si>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</si>
  <si>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</si>
  <si>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</si>
  <si>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</si>
  <si>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</si>
  <si>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</si>
  <si>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</si>
  <si>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</si>
  <si>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</si>
  <si>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</si>
  <si>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</si>
  <si>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</si>
  <si>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</si>
  <si>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</si>
  <si>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</si>
  <si>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</si>
  <si>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</si>
  <si>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</si>
  <si>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</si>
  <si>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</si>
  <si>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</si>
  <si>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</si>
  <si>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</si>
  <si>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</si>
  <si>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</si>
  <si>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</si>
  <si>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</si>
  <si>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</si>
  <si>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</si>
  <si>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</si>
  <si>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</si>
  <si>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</si>
  <si>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</si>
  <si>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</si>
  <si>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</si>
  <si>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</si>
  <si>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</si>
  <si>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</si>
  <si>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</si>
  <si>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</si>
  <si>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</si>
  <si>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</si>
  <si>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</si>
  <si>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</si>
  <si>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</si>
  <si>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</si>
  <si>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</si>
  <si>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</si>
  <si>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</si>
  <si>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</si>
  <si>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</si>
  <si>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</si>
  <si>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</si>
  <si>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</si>
  <si>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</si>
  <si>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</si>
  <si>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</si>
  <si>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</si>
  <si>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</si>
  <si>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</si>
  <si>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</si>
  <si>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</si>
  <si>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</si>
  <si>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</si>
  <si>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</si>
  <si>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</si>
  <si>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</si>
  <si>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</si>
  <si>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</si>
  <si>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</si>
  <si>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</si>
  <si>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</si>
  <si>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</si>
  <si>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</si>
  <si>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</si>
  <si>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</si>
  <si>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</si>
  <si>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</si>
  <si>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</si>
  <si>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</si>
  <si>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</si>
  <si>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</si>
  <si>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</si>
  <si>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</si>
  <si>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</si>
  <si>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</si>
  <si>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</si>
  <si>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</si>
  <si>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</si>
  <si>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</si>
  <si>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</si>
  <si>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</si>
  <si>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</si>
  <si>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</si>
  <si>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</si>
  <si>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</si>
  <si>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</si>
  <si>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</si>
  <si>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</si>
  <si>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</si>
  <si>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</si>
  <si>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</si>
  <si>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</si>
  <si>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</si>
  <si>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</si>
  <si>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</si>
  <si>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</si>
  <si>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</si>
  <si>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</si>
  <si>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</si>
  <si>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</si>
  <si>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</si>
  <si>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</si>
  <si>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</si>
  <si>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</si>
  <si>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</si>
  <si>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</si>
  <si>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</si>
  <si>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</si>
  <si>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</si>
  <si>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</si>
  <si>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</si>
  <si>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</si>
  <si>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</si>
  <si>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</si>
  <si>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</si>
  <si>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</si>
  <si>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</si>
  <si>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</si>
  <si>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</si>
  <si>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</si>
  <si>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</si>
  <si>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</si>
  <si>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</si>
  <si>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</si>
  <si>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</si>
  <si>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</si>
  <si>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</si>
  <si>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</si>
  <si>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</si>
  <si>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</si>
  <si>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</si>
  <si>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</si>
  <si>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</si>
  <si>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</si>
  <si>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</si>
  <si>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</si>
  <si>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</si>
  <si>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</si>
  <si>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</si>
  <si>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</si>
  <si>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</si>
  <si>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</si>
  <si>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</si>
  <si>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</si>
  <si>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</si>
  <si>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</si>
  <si>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</si>
  <si>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</si>
  <si>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</si>
  <si>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</si>
  <si>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</si>
  <si>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</si>
  <si>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</si>
  <si>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</si>
  <si>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</si>
  <si>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</si>
  <si>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</si>
  <si>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</si>
  <si>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</si>
  <si>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</si>
  <si>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</si>
  <si>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</si>
  <si>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</si>
  <si>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</si>
  <si>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</si>
  <si>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</si>
  <si>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</si>
  <si>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</si>
  <si>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</si>
  <si>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</si>
  <si>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</si>
  <si>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</si>
  <si>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</si>
  <si>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</si>
  <si>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</si>
  <si>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</si>
  <si>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</si>
  <si>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</si>
  <si>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</si>
  <si>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</si>
  <si>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</si>
  <si>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</si>
  <si>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</si>
  <si>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</si>
  <si>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</si>
  <si>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</si>
  <si>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</si>
  <si>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</si>
  <si>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</si>
  <si>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</si>
  <si>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</si>
  <si>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</si>
  <si>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</si>
  <si>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</si>
  <si>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</si>
  <si>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</si>
  <si>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</si>
  <si>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</si>
  <si>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</si>
  <si>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</si>
  <si>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</si>
  <si>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</si>
  <si>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</si>
  <si>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</si>
  <si>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</si>
  <si>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</si>
  <si>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</si>
  <si>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</si>
  <si>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</si>
  <si>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</si>
  <si>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</si>
  <si>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</si>
  <si>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</si>
  <si>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</si>
  <si>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</si>
  <si>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</si>
  <si>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</si>
  <si>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</si>
  <si>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</si>
  <si>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</si>
  <si>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</si>
  <si>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</si>
  <si>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</si>
  <si>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</si>
  <si>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</si>
  <si>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</si>
  <si>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</si>
  <si>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</si>
  <si>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</si>
  <si>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</si>
  <si>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</si>
  <si>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</si>
  <si>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</si>
  <si>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</si>
  <si>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</si>
  <si>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</si>
  <si>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</si>
  <si>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</si>
  <si>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</si>
  <si>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</si>
  <si>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</si>
  <si>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</si>
  <si>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</si>
  <si>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</si>
  <si>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</si>
  <si>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</si>
  <si>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</si>
  <si>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</si>
  <si>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</si>
  <si>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</si>
  <si>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</si>
  <si>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</si>
  <si>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</si>
  <si>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</si>
  <si>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</si>
  <si>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</si>
  <si>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</si>
  <si>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</si>
  <si>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</si>
  <si>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</si>
  <si>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</si>
  <si>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</si>
  <si>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</si>
  <si>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</si>
  <si>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</si>
  <si>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</si>
  <si>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</si>
  <si>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</si>
  <si>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</si>
  <si>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</si>
  <si>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</si>
  <si>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</si>
  <si>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</si>
  <si>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</si>
  <si>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</si>
  <si>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</si>
  <si>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</si>
  <si>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</si>
  <si>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</si>
  <si>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</si>
  <si>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</si>
  <si>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</si>
  <si>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</si>
  <si>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</si>
  <si>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</si>
  <si>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</si>
  <si>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</si>
  <si>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</si>
  <si>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</si>
  <si>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</si>
  <si>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</si>
  <si>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</si>
  <si>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</si>
  <si>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</si>
  <si>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</si>
  <si>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</si>
  <si>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</si>
  <si>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</si>
  <si>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</si>
  <si>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</si>
  <si>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</si>
  <si>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</si>
  <si>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</si>
  <si>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</si>
  <si>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</si>
  <si>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</si>
  <si>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</si>
  <si>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</si>
  <si>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</si>
  <si>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</si>
  <si>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</si>
  <si>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</si>
  <si>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</si>
  <si>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</si>
  <si>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</si>
  <si>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</si>
  <si>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</si>
  <si>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</si>
  <si>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</si>
  <si>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</si>
  <si>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</si>
  <si>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</si>
  <si>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</si>
  <si>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</si>
  <si>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</si>
  <si>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</si>
  <si>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</si>
  <si>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</si>
  <si>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</si>
  <si>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</si>
  <si>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</si>
  <si>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</si>
  <si>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</si>
  <si>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</si>
  <si>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</si>
  <si>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</si>
  <si>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</si>
  <si>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</si>
  <si>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</si>
  <si>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</si>
  <si>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</si>
  <si>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</si>
  <si>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</si>
  <si>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</si>
  <si>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</si>
  <si>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</si>
  <si>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</si>
  <si>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</si>
  <si>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</si>
  <si>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</si>
  <si>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</si>
  <si>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</si>
  <si>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</si>
  <si>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</si>
  <si>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</si>
  <si>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</si>
  <si>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</si>
  <si>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</si>
  <si>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</si>
  <si>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</si>
  <si>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</si>
  <si>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</si>
  <si>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</si>
  <si>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</si>
  <si>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</si>
  <si>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</si>
  <si>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</si>
  <si>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</si>
  <si>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</si>
  <si>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</si>
  <si>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</si>
  <si>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</si>
  <si>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</si>
  <si>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</si>
  <si>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</si>
  <si>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</si>
  <si>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</si>
  <si>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</si>
  <si>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</si>
  <si>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</si>
  <si>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</si>
  <si>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</si>
  <si>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</si>
  <si>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</si>
  <si>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</si>
  <si>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</si>
  <si>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</si>
  <si>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</si>
  <si>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</si>
  <si>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</si>
  <si>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</si>
  <si>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</si>
  <si>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</si>
  <si>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</si>
  <si>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</si>
  <si>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</si>
  <si>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</si>
  <si>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</si>
  <si>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</si>
  <si>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</si>
  <si>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</si>
  <si>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</si>
  <si>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</si>
  <si>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</si>
  <si>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</si>
  <si>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</si>
  <si>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</si>
  <si>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</si>
  <si>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</si>
  <si>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</si>
  <si>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</si>
  <si>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</si>
  <si>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</si>
  <si>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</si>
  <si>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</si>
  <si>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</si>
  <si>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</si>
  <si>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</si>
  <si>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</si>
  <si>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</si>
  <si>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</si>
  <si>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</si>
  <si>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</si>
  <si>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</si>
  <si>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</si>
  <si>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</si>
  <si>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</si>
  <si>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</si>
  <si>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</si>
  <si>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</si>
  <si>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</si>
  <si>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</si>
  <si>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</si>
  <si>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</si>
  <si>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</si>
  <si>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</si>
  <si>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</si>
  <si>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</si>
  <si>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</si>
  <si>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</si>
  <si>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</si>
  <si>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</si>
  <si>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</si>
  <si>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</si>
  <si>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</si>
  <si>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</si>
  <si>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</si>
  <si>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</si>
  <si>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</si>
  <si>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</si>
  <si>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</si>
  <si>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</si>
  <si>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</si>
  <si>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</si>
  <si>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</si>
  <si>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</si>
  <si>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</si>
  <si>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</si>
  <si>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</si>
  <si>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</si>
  <si>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</si>
  <si>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</si>
  <si>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</si>
  <si>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</si>
  <si>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</si>
  <si>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</si>
  <si>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</si>
  <si>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</si>
  <si>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</si>
  <si>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</si>
  <si>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</si>
  <si>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</si>
  <si>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</si>
  <si>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</si>
  <si>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</si>
  <si>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</si>
  <si>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</si>
  <si>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</si>
  <si>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</si>
  <si>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</si>
  <si>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</si>
  <si>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</si>
  <si>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</si>
  <si>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</si>
  <si>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</si>
  <si>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</si>
  <si>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</si>
  <si>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</si>
  <si>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</si>
  <si>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</si>
  <si>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</si>
  <si>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</si>
  <si>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</si>
  <si>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</si>
  <si>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</si>
  <si>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</si>
  <si>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</si>
  <si>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</si>
  <si>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</si>
  <si>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</si>
  <si>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</si>
  <si>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</si>
  <si>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</si>
  <si>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</si>
  <si>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</si>
  <si>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</si>
  <si>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</si>
  <si>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</si>
  <si>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</si>
  <si>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</si>
  <si>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</si>
  <si>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</si>
  <si>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</si>
  <si>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</si>
  <si>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</si>
  <si>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</si>
  <si>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</si>
  <si>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</si>
  <si>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</si>
  <si>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</si>
  <si>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</si>
  <si>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</si>
  <si>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</si>
  <si>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</si>
  <si>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</si>
  <si>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</si>
  <si>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</si>
  <si>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</si>
  <si>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</si>
  <si>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</si>
  <si>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</si>
  <si>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</si>
  <si>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</si>
  <si>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</si>
  <si>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</si>
  <si>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</si>
  <si>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</si>
  <si>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</si>
  <si>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</si>
  <si>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</si>
  <si>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</si>
  <si>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</si>
  <si>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</si>
  <si>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</si>
  <si>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</si>
  <si>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</si>
  <si>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</si>
  <si>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</si>
  <si>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</si>
  <si>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</si>
  <si>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</si>
  <si>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</si>
  <si>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</si>
  <si>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</si>
  <si>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</si>
  <si>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</si>
  <si>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</si>
  <si>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</si>
  <si>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</si>
  <si>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</si>
  <si>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</si>
  <si>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</si>
  <si>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</si>
  <si>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</si>
  <si>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</si>
  <si>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</si>
  <si>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</si>
  <si>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</si>
  <si>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</si>
  <si>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</si>
  <si>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</si>
  <si>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</si>
  <si>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</si>
  <si>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</si>
  <si>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</si>
  <si>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</si>
  <si>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</si>
  <si>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</si>
  <si>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</si>
  <si>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</si>
  <si>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</si>
  <si>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</si>
  <si>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</si>
  <si>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</si>
  <si>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</si>
  <si>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</si>
  <si>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</si>
  <si>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</si>
  <si>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</si>
  <si>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</si>
  <si>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</si>
  <si>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</si>
  <si>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</si>
  <si>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</si>
  <si>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</si>
  <si>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</si>
  <si>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</si>
  <si>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</si>
  <si>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</si>
  <si>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</si>
  <si>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</si>
  <si>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</si>
  <si>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</si>
  <si>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</si>
  <si>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</si>
  <si>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</si>
  <si>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</si>
  <si>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</si>
  <si>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</si>
  <si>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</si>
  <si>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</si>
  <si>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</si>
  <si>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</si>
  <si>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</si>
  <si>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</si>
  <si>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</si>
  <si>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</si>
  <si>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</si>
  <si>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</si>
  <si>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</si>
  <si>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</si>
  <si>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</si>
  <si>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</si>
  <si>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</si>
  <si>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</si>
  <si>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</si>
  <si>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</si>
  <si>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</si>
  <si>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</si>
  <si>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机器人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</si>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</sst>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-268477000000</v>
      </c>
      <c r="G2">
        <v>120593000000</v>
      </c>
      <c r="H2">
        <v>-77457000000</v>
      </c>
      <c r="I2">
        <v>-344294000000</v>
      </c>
      <c r="J2">
        <v>-149103000000</v>
      </c>
      <c r="K2">
        <v>-196757000000</v>
      </c>
      <c r="L2">
        <v>346486000000</v>
      </c>
      <c r="M2">
        <v>185772000000</v>
      </c>
      <c r="N2">
        <v>305513000000</v>
      </c>
      <c r="O2">
        <v>89222000000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-401575774</v>
      </c>
      <c r="G3">
        <v>-1386002925</v>
      </c>
      <c r="H3">
        <v>1950694796</v>
      </c>
      <c r="I3">
        <v>1307514137</v>
      </c>
      <c r="J3">
        <v>-1881145625</v>
      </c>
      <c r="K3">
        <v>-3337107014</v>
      </c>
      <c r="L3">
        <v>-1426112701</v>
      </c>
      <c r="M3">
        <v>1727847819</v>
      </c>
      <c r="N3">
        <v>1876849399</v>
      </c>
      <c r="O3">
        <v>1435590220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2626453093.2399998</v>
      </c>
      <c r="L4">
        <v>-4072741484.8299999</v>
      </c>
      <c r="M4">
        <v>5316044371.5600004</v>
      </c>
      <c r="N4">
        <v>2167482294.8699999</v>
      </c>
      <c r="O4">
        <v>219963440.91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897026046</v>
      </c>
      <c r="G5">
        <v>1147784074</v>
      </c>
      <c r="H5">
        <v>163057068</v>
      </c>
      <c r="I5">
        <v>-866012734</v>
      </c>
      <c r="J5">
        <v>-918193709</v>
      </c>
      <c r="K5">
        <v>157196294</v>
      </c>
      <c r="L5">
        <v>-314841539</v>
      </c>
      <c r="M5">
        <v>-529140193</v>
      </c>
      <c r="N5">
        <v>40597000</v>
      </c>
      <c r="O5">
        <v>-880011627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1635244520</v>
      </c>
      <c r="G6">
        <v>1131925288</v>
      </c>
      <c r="H6">
        <v>1129785445</v>
      </c>
      <c r="I6">
        <v>1057946437</v>
      </c>
      <c r="J6">
        <v>824566218</v>
      </c>
      <c r="K6">
        <v>137460646</v>
      </c>
      <c r="L6">
        <v>333764623</v>
      </c>
      <c r="M6">
        <v>720898804</v>
      </c>
      <c r="N6">
        <v>569164312</v>
      </c>
      <c r="O6">
        <v>731591481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-5771468229</v>
      </c>
      <c r="G7">
        <v>-7909169302</v>
      </c>
      <c r="H7">
        <v>-8274889333</v>
      </c>
      <c r="I7">
        <v>-5864894495</v>
      </c>
      <c r="J7">
        <v>-4692519490</v>
      </c>
      <c r="K7">
        <v>-1498749063</v>
      </c>
      <c r="L7">
        <v>-1448714694</v>
      </c>
      <c r="M7">
        <v>-1362567566</v>
      </c>
      <c r="N7">
        <v>-1266956981</v>
      </c>
      <c r="O7">
        <v>-817354214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-1191807676</v>
      </c>
      <c r="G8">
        <v>-2542880951</v>
      </c>
      <c r="H8">
        <v>2583961159</v>
      </c>
      <c r="I8">
        <v>898042626</v>
      </c>
      <c r="J8">
        <v>1822767148</v>
      </c>
      <c r="K8">
        <v>-8722540</v>
      </c>
      <c r="L8">
        <v>2296601816</v>
      </c>
      <c r="M8">
        <v>2531231089</v>
      </c>
      <c r="N8">
        <v>2319435099</v>
      </c>
      <c r="O8">
        <v>2074601873</v>
      </c>
      <c r="P8">
        <v>5732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10024530835</v>
      </c>
      <c r="G9">
        <v>2778319085</v>
      </c>
      <c r="H9">
        <v>-2346956326</v>
      </c>
      <c r="I9">
        <v>5509777395</v>
      </c>
      <c r="J9">
        <v>6600260869</v>
      </c>
      <c r="K9">
        <v>-1510121216</v>
      </c>
      <c r="L9">
        <v>-25760993908</v>
      </c>
      <c r="M9">
        <v>393399998</v>
      </c>
      <c r="N9">
        <v>-8913811355</v>
      </c>
      <c r="O9">
        <v>-4320980781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-36936595075</v>
      </c>
      <c r="G10">
        <v>-163097363</v>
      </c>
      <c r="H10">
        <v>6292955109</v>
      </c>
      <c r="I10">
        <v>8312046100</v>
      </c>
      <c r="J10">
        <v>3438536703</v>
      </c>
      <c r="K10">
        <v>11370183521</v>
      </c>
      <c r="L10">
        <v>18137408236</v>
      </c>
      <c r="M10">
        <v>13010885281</v>
      </c>
      <c r="N10">
        <v>22675959067</v>
      </c>
      <c r="O10">
        <v>12269939853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22</v>
      </c>
      <c r="F11">
        <v>1688432550</v>
      </c>
      <c r="G11">
        <v>1198726634</v>
      </c>
      <c r="H11">
        <v>586707610</v>
      </c>
      <c r="I11">
        <v>695274200</v>
      </c>
      <c r="J11">
        <v>664022101</v>
      </c>
      <c r="K11">
        <v>1228684947</v>
      </c>
      <c r="L11">
        <v>647856180</v>
      </c>
      <c r="M11">
        <v>914601594</v>
      </c>
      <c r="N11">
        <v>384233183</v>
      </c>
      <c r="O11">
        <v>452121629</v>
      </c>
      <c r="P11">
        <v>805</v>
      </c>
      <c r="Q11" t="s">
        <v>44</v>
      </c>
    </row>
    <row r="12" spans="1:17" x14ac:dyDescent="0.3">
      <c r="A12" t="s">
        <v>17</v>
      </c>
      <c r="B12" t="str">
        <f>"600015"</f>
        <v>600015</v>
      </c>
      <c r="C12" t="s">
        <v>45</v>
      </c>
      <c r="D12" t="s">
        <v>19</v>
      </c>
      <c r="F12">
        <v>69711000000</v>
      </c>
      <c r="G12">
        <v>33699000000</v>
      </c>
      <c r="H12">
        <v>78400000000</v>
      </c>
      <c r="I12">
        <v>-102655000000</v>
      </c>
      <c r="J12">
        <v>-90231000000</v>
      </c>
      <c r="K12">
        <v>138679000000</v>
      </c>
      <c r="L12">
        <v>-1391000000</v>
      </c>
      <c r="M12">
        <v>10681000000</v>
      </c>
      <c r="N12">
        <v>79525000000</v>
      </c>
      <c r="O12">
        <v>92025861420</v>
      </c>
      <c r="P12">
        <v>1538</v>
      </c>
      <c r="Q12" t="s">
        <v>46</v>
      </c>
    </row>
    <row r="13" spans="1:17" x14ac:dyDescent="0.3">
      <c r="A13" t="s">
        <v>17</v>
      </c>
      <c r="B13" t="str">
        <f>"600016"</f>
        <v>600016</v>
      </c>
      <c r="C13" t="s">
        <v>47</v>
      </c>
      <c r="D13" t="s">
        <v>19</v>
      </c>
      <c r="F13">
        <v>148762000000</v>
      </c>
      <c r="G13">
        <v>-86781000000</v>
      </c>
      <c r="H13">
        <v>-92644000000</v>
      </c>
      <c r="I13">
        <v>-399273000000</v>
      </c>
      <c r="J13">
        <v>-267303000000</v>
      </c>
      <c r="K13">
        <v>1018174000000</v>
      </c>
      <c r="L13">
        <v>217631000000</v>
      </c>
      <c r="M13">
        <v>210514000000</v>
      </c>
      <c r="N13">
        <v>-49938000000</v>
      </c>
      <c r="O13">
        <v>-29187000000</v>
      </c>
      <c r="P13">
        <v>20731</v>
      </c>
      <c r="Q13" t="s">
        <v>48</v>
      </c>
    </row>
    <row r="14" spans="1:17" x14ac:dyDescent="0.3">
      <c r="A14" t="s">
        <v>17</v>
      </c>
      <c r="B14" t="str">
        <f>"600017"</f>
        <v>600017</v>
      </c>
      <c r="C14" t="s">
        <v>49</v>
      </c>
      <c r="D14" t="s">
        <v>22</v>
      </c>
      <c r="F14">
        <v>809050802</v>
      </c>
      <c r="G14">
        <v>-607244333</v>
      </c>
      <c r="H14">
        <v>-730127268</v>
      </c>
      <c r="I14">
        <v>102327440</v>
      </c>
      <c r="J14">
        <v>-1552285580</v>
      </c>
      <c r="K14">
        <v>183107726</v>
      </c>
      <c r="L14">
        <v>-219253693</v>
      </c>
      <c r="M14">
        <v>-382409958</v>
      </c>
      <c r="N14">
        <v>-75003806</v>
      </c>
      <c r="O14">
        <v>237968903</v>
      </c>
      <c r="P14">
        <v>180</v>
      </c>
      <c r="Q14" t="s">
        <v>50</v>
      </c>
    </row>
    <row r="15" spans="1:17" x14ac:dyDescent="0.3">
      <c r="A15" t="s">
        <v>17</v>
      </c>
      <c r="B15" t="str">
        <f>"600018"</f>
        <v>600018</v>
      </c>
      <c r="C15" t="s">
        <v>51</v>
      </c>
      <c r="D15" t="s">
        <v>22</v>
      </c>
      <c r="F15">
        <v>9420472852</v>
      </c>
      <c r="G15">
        <v>7120136887</v>
      </c>
      <c r="H15">
        <v>3754402942</v>
      </c>
      <c r="I15">
        <v>4380507543</v>
      </c>
      <c r="J15">
        <v>7798766464</v>
      </c>
      <c r="K15">
        <v>1289365455</v>
      </c>
      <c r="L15">
        <v>8593388502</v>
      </c>
      <c r="M15">
        <v>8534810487</v>
      </c>
      <c r="N15">
        <v>6067091465</v>
      </c>
      <c r="O15">
        <v>4933666410</v>
      </c>
      <c r="P15">
        <v>878</v>
      </c>
      <c r="Q15" t="s">
        <v>52</v>
      </c>
    </row>
    <row r="16" spans="1:17" x14ac:dyDescent="0.3">
      <c r="A16" t="s">
        <v>17</v>
      </c>
      <c r="B16" t="str">
        <f>"600019"</f>
        <v>600019</v>
      </c>
      <c r="C16" t="s">
        <v>53</v>
      </c>
      <c r="D16" t="s">
        <v>38</v>
      </c>
      <c r="F16">
        <v>38381326037</v>
      </c>
      <c r="G16">
        <v>9672810786</v>
      </c>
      <c r="H16">
        <v>12606296991</v>
      </c>
      <c r="I16">
        <v>32926885162</v>
      </c>
      <c r="J16">
        <v>20168706872</v>
      </c>
      <c r="K16">
        <v>4881905824</v>
      </c>
      <c r="L16">
        <v>-2756874195</v>
      </c>
      <c r="M16">
        <v>6826611184</v>
      </c>
      <c r="N16">
        <v>909314640</v>
      </c>
      <c r="O16">
        <v>31187533461</v>
      </c>
      <c r="P16">
        <v>2293</v>
      </c>
      <c r="Q16" t="s">
        <v>54</v>
      </c>
    </row>
    <row r="17" spans="1:17" x14ac:dyDescent="0.3">
      <c r="A17" t="s">
        <v>17</v>
      </c>
      <c r="B17" t="str">
        <f>"600020"</f>
        <v>600020</v>
      </c>
      <c r="C17" t="s">
        <v>55</v>
      </c>
      <c r="D17" t="s">
        <v>22</v>
      </c>
      <c r="F17">
        <v>2487068831</v>
      </c>
      <c r="G17">
        <v>1317631078</v>
      </c>
      <c r="H17">
        <v>2237565692</v>
      </c>
      <c r="I17">
        <v>3456891864</v>
      </c>
      <c r="J17">
        <v>781095961</v>
      </c>
      <c r="K17">
        <v>566528229</v>
      </c>
      <c r="L17">
        <v>-3711796012</v>
      </c>
      <c r="M17">
        <v>-1839760982</v>
      </c>
      <c r="N17">
        <v>-113948448</v>
      </c>
      <c r="O17">
        <v>329232574</v>
      </c>
      <c r="P17">
        <v>386</v>
      </c>
      <c r="Q17" t="s">
        <v>56</v>
      </c>
    </row>
    <row r="18" spans="1:17" x14ac:dyDescent="0.3">
      <c r="A18" t="s">
        <v>17</v>
      </c>
      <c r="B18" t="str">
        <f>"600021"</f>
        <v>600021</v>
      </c>
      <c r="C18" t="s">
        <v>57</v>
      </c>
      <c r="D18" t="s">
        <v>41</v>
      </c>
      <c r="F18">
        <v>-9973781904</v>
      </c>
      <c r="G18">
        <v>-7146048138</v>
      </c>
      <c r="H18">
        <v>-1914744698</v>
      </c>
      <c r="I18">
        <v>-3612060822</v>
      </c>
      <c r="J18">
        <v>-2387970756</v>
      </c>
      <c r="K18">
        <v>2375202387</v>
      </c>
      <c r="L18">
        <v>2360839622</v>
      </c>
      <c r="M18">
        <v>-1047195444</v>
      </c>
      <c r="N18">
        <v>-872357982</v>
      </c>
      <c r="O18">
        <v>2302410067</v>
      </c>
      <c r="P18">
        <v>336</v>
      </c>
      <c r="Q18" t="s">
        <v>58</v>
      </c>
    </row>
    <row r="19" spans="1:17" x14ac:dyDescent="0.3">
      <c r="A19" t="s">
        <v>17</v>
      </c>
      <c r="B19" t="str">
        <f>"600022"</f>
        <v>600022</v>
      </c>
      <c r="C19" t="s">
        <v>59</v>
      </c>
      <c r="D19" t="s">
        <v>38</v>
      </c>
      <c r="F19">
        <v>6207842352</v>
      </c>
      <c r="G19">
        <v>3750593790</v>
      </c>
      <c r="H19">
        <v>-812052295</v>
      </c>
      <c r="I19">
        <v>-4561563988</v>
      </c>
      <c r="J19">
        <v>-2953043220</v>
      </c>
      <c r="K19">
        <v>-2201920382</v>
      </c>
      <c r="L19">
        <v>5543354669</v>
      </c>
      <c r="M19">
        <v>-1853274294</v>
      </c>
      <c r="N19">
        <v>1489237207</v>
      </c>
      <c r="O19">
        <v>603944204</v>
      </c>
      <c r="P19">
        <v>233</v>
      </c>
      <c r="Q19" t="s">
        <v>60</v>
      </c>
    </row>
    <row r="20" spans="1:17" x14ac:dyDescent="0.3">
      <c r="A20" t="s">
        <v>17</v>
      </c>
      <c r="B20" t="str">
        <f>"600023"</f>
        <v>600023</v>
      </c>
      <c r="C20" t="s">
        <v>61</v>
      </c>
      <c r="D20" t="s">
        <v>41</v>
      </c>
      <c r="F20">
        <v>-3803217121</v>
      </c>
      <c r="G20">
        <v>6948847059</v>
      </c>
      <c r="H20">
        <v>7362214177</v>
      </c>
      <c r="I20">
        <v>4697920738</v>
      </c>
      <c r="J20">
        <v>3820767072</v>
      </c>
      <c r="K20">
        <v>6738609500</v>
      </c>
      <c r="L20">
        <v>5651446315</v>
      </c>
      <c r="M20">
        <v>1687816157</v>
      </c>
      <c r="N20">
        <v>3044415373</v>
      </c>
      <c r="O20">
        <v>2050121211</v>
      </c>
      <c r="P20">
        <v>918</v>
      </c>
      <c r="Q20" t="s">
        <v>62</v>
      </c>
    </row>
    <row r="21" spans="1:17" x14ac:dyDescent="0.3">
      <c r="A21" t="s">
        <v>17</v>
      </c>
      <c r="B21" t="str">
        <f>"600025"</f>
        <v>600025</v>
      </c>
      <c r="C21" t="s">
        <v>63</v>
      </c>
      <c r="D21" t="s">
        <v>41</v>
      </c>
      <c r="F21">
        <v>10474500821</v>
      </c>
      <c r="G21">
        <v>10300677943</v>
      </c>
      <c r="H21">
        <v>11884596283</v>
      </c>
      <c r="I21">
        <v>3396157235</v>
      </c>
      <c r="J21">
        <v>51915310</v>
      </c>
      <c r="K21">
        <v>-1142731506</v>
      </c>
      <c r="L21">
        <v>-154382414</v>
      </c>
      <c r="M21">
        <v>-356685828</v>
      </c>
      <c r="P21">
        <v>766</v>
      </c>
      <c r="Q21" t="s">
        <v>64</v>
      </c>
    </row>
    <row r="22" spans="1:17" x14ac:dyDescent="0.3">
      <c r="A22" t="s">
        <v>17</v>
      </c>
      <c r="B22" t="str">
        <f>"600026"</f>
        <v>600026</v>
      </c>
      <c r="C22" t="s">
        <v>65</v>
      </c>
      <c r="D22" t="s">
        <v>22</v>
      </c>
      <c r="F22">
        <v>560398717</v>
      </c>
      <c r="G22">
        <v>1860344424</v>
      </c>
      <c r="H22">
        <v>4071920569</v>
      </c>
      <c r="I22">
        <v>-1207944511</v>
      </c>
      <c r="J22">
        <v>-2572913176</v>
      </c>
      <c r="K22">
        <v>7936254288</v>
      </c>
      <c r="L22">
        <v>3699191844</v>
      </c>
      <c r="M22">
        <v>-3075057126</v>
      </c>
      <c r="N22">
        <v>-2064137149</v>
      </c>
      <c r="O22">
        <v>-4841891351</v>
      </c>
      <c r="P22">
        <v>401</v>
      </c>
      <c r="Q22" t="s">
        <v>66</v>
      </c>
    </row>
    <row r="23" spans="1:17" x14ac:dyDescent="0.3">
      <c r="A23" t="s">
        <v>17</v>
      </c>
      <c r="B23" t="str">
        <f>"600027"</f>
        <v>600027</v>
      </c>
      <c r="C23" t="s">
        <v>67</v>
      </c>
      <c r="D23" t="s">
        <v>41</v>
      </c>
      <c r="F23">
        <v>-19521116000</v>
      </c>
      <c r="G23">
        <v>6862792000</v>
      </c>
      <c r="H23">
        <v>6439139000</v>
      </c>
      <c r="I23">
        <v>623544000</v>
      </c>
      <c r="J23">
        <v>-1123921000</v>
      </c>
      <c r="K23">
        <v>5392507000</v>
      </c>
      <c r="L23">
        <v>17159315000</v>
      </c>
      <c r="M23">
        <v>5170649000</v>
      </c>
      <c r="N23">
        <v>6580929000</v>
      </c>
      <c r="O23">
        <v>-3624184000</v>
      </c>
      <c r="P23">
        <v>987</v>
      </c>
      <c r="Q23" t="s">
        <v>68</v>
      </c>
    </row>
    <row r="24" spans="1:17" x14ac:dyDescent="0.3">
      <c r="A24" t="s">
        <v>17</v>
      </c>
      <c r="B24" t="str">
        <f>"600028"</f>
        <v>600028</v>
      </c>
      <c r="C24" t="s">
        <v>69</v>
      </c>
      <c r="D24" t="s">
        <v>70</v>
      </c>
      <c r="F24">
        <v>81731000000</v>
      </c>
      <c r="G24">
        <v>38985000000</v>
      </c>
      <c r="H24">
        <v>12981000000</v>
      </c>
      <c r="I24">
        <v>82520000000</v>
      </c>
      <c r="J24">
        <v>121300000000</v>
      </c>
      <c r="K24">
        <v>142136000000</v>
      </c>
      <c r="L24">
        <v>63615000000</v>
      </c>
      <c r="M24">
        <v>24986000000</v>
      </c>
      <c r="N24">
        <v>-1503000000</v>
      </c>
      <c r="O24">
        <v>-14361000000</v>
      </c>
      <c r="P24">
        <v>2313</v>
      </c>
      <c r="Q24" t="s">
        <v>71</v>
      </c>
    </row>
    <row r="25" spans="1:17" x14ac:dyDescent="0.3">
      <c r="A25" t="s">
        <v>17</v>
      </c>
      <c r="B25" t="str">
        <f>"600029"</f>
        <v>600029</v>
      </c>
      <c r="C25" t="s">
        <v>72</v>
      </c>
      <c r="D25" t="s">
        <v>22</v>
      </c>
      <c r="F25">
        <v>-2776000000</v>
      </c>
      <c r="G25">
        <v>836000000</v>
      </c>
      <c r="H25">
        <v>23314000000</v>
      </c>
      <c r="I25">
        <v>-898000000</v>
      </c>
      <c r="J25">
        <v>13480000000</v>
      </c>
      <c r="K25">
        <v>10525000000</v>
      </c>
      <c r="L25">
        <v>17152000000</v>
      </c>
      <c r="M25">
        <v>8495000000</v>
      </c>
      <c r="N25">
        <v>-654000000</v>
      </c>
      <c r="O25">
        <v>-2065000000</v>
      </c>
      <c r="P25">
        <v>1137</v>
      </c>
      <c r="Q25" t="s">
        <v>73</v>
      </c>
    </row>
    <row r="26" spans="1:17" x14ac:dyDescent="0.3">
      <c r="A26" t="s">
        <v>17</v>
      </c>
      <c r="B26" t="str">
        <f>"600030"</f>
        <v>600030</v>
      </c>
      <c r="C26" t="s">
        <v>74</v>
      </c>
      <c r="D26" t="s">
        <v>75</v>
      </c>
      <c r="F26">
        <v>27738387600</v>
      </c>
      <c r="G26">
        <v>101215766057</v>
      </c>
      <c r="H26">
        <v>21547771396</v>
      </c>
      <c r="I26">
        <v>57194943937</v>
      </c>
      <c r="J26">
        <v>-104636062126</v>
      </c>
      <c r="K26">
        <v>-49989555015</v>
      </c>
      <c r="L26">
        <v>81958639555</v>
      </c>
      <c r="M26">
        <v>29827684801</v>
      </c>
      <c r="N26">
        <v>-18942537563</v>
      </c>
      <c r="O26">
        <v>-19618055130</v>
      </c>
      <c r="P26">
        <v>5754</v>
      </c>
      <c r="Q26" t="s">
        <v>76</v>
      </c>
    </row>
    <row r="27" spans="1:17" x14ac:dyDescent="0.3">
      <c r="A27" t="s">
        <v>17</v>
      </c>
      <c r="B27" t="str">
        <f>"600031"</f>
        <v>600031</v>
      </c>
      <c r="C27" t="s">
        <v>77</v>
      </c>
      <c r="D27" t="s">
        <v>78</v>
      </c>
      <c r="F27">
        <v>1927695000</v>
      </c>
      <c r="G27">
        <v>9230151000</v>
      </c>
      <c r="H27">
        <v>11108209000</v>
      </c>
      <c r="I27">
        <v>9523717000</v>
      </c>
      <c r="J27">
        <v>8530979000</v>
      </c>
      <c r="K27">
        <v>3024459000</v>
      </c>
      <c r="L27">
        <v>1007234000</v>
      </c>
      <c r="M27">
        <v>155459000</v>
      </c>
      <c r="N27">
        <v>1066788000</v>
      </c>
      <c r="O27">
        <v>1247460000</v>
      </c>
      <c r="P27">
        <v>6540</v>
      </c>
      <c r="Q27" t="s">
        <v>79</v>
      </c>
    </row>
    <row r="28" spans="1:17" x14ac:dyDescent="0.3">
      <c r="A28" t="s">
        <v>17</v>
      </c>
      <c r="B28" t="str">
        <f>"600032"</f>
        <v>600032</v>
      </c>
      <c r="C28" t="s">
        <v>80</v>
      </c>
      <c r="D28" t="s">
        <v>41</v>
      </c>
      <c r="F28">
        <v>-1569747508</v>
      </c>
      <c r="G28">
        <v>-3500490447</v>
      </c>
      <c r="H28">
        <v>-1919269166</v>
      </c>
      <c r="I28">
        <v>106334655</v>
      </c>
      <c r="J28">
        <v>10429300</v>
      </c>
      <c r="P28">
        <v>81</v>
      </c>
      <c r="Q28" t="s">
        <v>81</v>
      </c>
    </row>
    <row r="29" spans="1:17" x14ac:dyDescent="0.3">
      <c r="A29" t="s">
        <v>17</v>
      </c>
      <c r="B29" t="str">
        <f>"600033"</f>
        <v>600033</v>
      </c>
      <c r="C29" t="s">
        <v>82</v>
      </c>
      <c r="D29" t="s">
        <v>22</v>
      </c>
      <c r="F29">
        <v>1911111677</v>
      </c>
      <c r="G29">
        <v>1138960793</v>
      </c>
      <c r="H29">
        <v>1576900004</v>
      </c>
      <c r="I29">
        <v>1748203027</v>
      </c>
      <c r="J29">
        <v>1515676566</v>
      </c>
      <c r="K29">
        <v>1733538816</v>
      </c>
      <c r="L29">
        <v>2061464454</v>
      </c>
      <c r="M29">
        <v>1596044363</v>
      </c>
      <c r="N29">
        <v>1327924682</v>
      </c>
      <c r="O29">
        <v>1232934313</v>
      </c>
      <c r="P29">
        <v>397</v>
      </c>
      <c r="Q29" t="s">
        <v>83</v>
      </c>
    </row>
    <row r="30" spans="1:17" x14ac:dyDescent="0.3">
      <c r="A30" t="s">
        <v>17</v>
      </c>
      <c r="B30" t="str">
        <f>"600035"</f>
        <v>600035</v>
      </c>
      <c r="C30" t="s">
        <v>84</v>
      </c>
      <c r="D30" t="s">
        <v>22</v>
      </c>
      <c r="F30">
        <v>1542509000</v>
      </c>
      <c r="G30">
        <v>1558892842</v>
      </c>
      <c r="H30">
        <v>1083512558</v>
      </c>
      <c r="I30">
        <v>579281851</v>
      </c>
      <c r="J30">
        <v>714537839</v>
      </c>
      <c r="K30">
        <v>701239127</v>
      </c>
      <c r="L30">
        <v>367740148</v>
      </c>
      <c r="M30">
        <v>-245540121</v>
      </c>
      <c r="N30">
        <v>-1280995699</v>
      </c>
      <c r="O30">
        <v>-982899543</v>
      </c>
      <c r="P30">
        <v>290</v>
      </c>
      <c r="Q30" t="s">
        <v>85</v>
      </c>
    </row>
    <row r="31" spans="1:17" x14ac:dyDescent="0.3">
      <c r="A31" t="s">
        <v>17</v>
      </c>
      <c r="B31" t="str">
        <f>"600036"</f>
        <v>600036</v>
      </c>
      <c r="C31" t="s">
        <v>86</v>
      </c>
      <c r="D31" t="s">
        <v>19</v>
      </c>
      <c r="F31">
        <v>160287000000</v>
      </c>
      <c r="G31">
        <v>402203000000</v>
      </c>
      <c r="H31">
        <v>-14469000000</v>
      </c>
      <c r="I31">
        <v>-51040000000</v>
      </c>
      <c r="J31">
        <v>-21996000000</v>
      </c>
      <c r="K31">
        <v>-138119000000</v>
      </c>
      <c r="L31">
        <v>391341000000</v>
      </c>
      <c r="M31">
        <v>264048000000</v>
      </c>
      <c r="N31">
        <v>110942000000</v>
      </c>
      <c r="O31">
        <v>243219000000</v>
      </c>
      <c r="P31">
        <v>68597</v>
      </c>
      <c r="Q31" t="s">
        <v>87</v>
      </c>
    </row>
    <row r="32" spans="1:17" x14ac:dyDescent="0.3">
      <c r="A32" t="s">
        <v>17</v>
      </c>
      <c r="B32" t="str">
        <f>"600037"</f>
        <v>600037</v>
      </c>
      <c r="C32" t="s">
        <v>88</v>
      </c>
      <c r="D32" t="s">
        <v>89</v>
      </c>
      <c r="F32">
        <v>266714137</v>
      </c>
      <c r="G32">
        <v>-65921795</v>
      </c>
      <c r="H32">
        <v>-309055288</v>
      </c>
      <c r="I32">
        <v>83046489</v>
      </c>
      <c r="J32">
        <v>272697679</v>
      </c>
      <c r="K32">
        <v>651641176</v>
      </c>
      <c r="L32">
        <v>861225427</v>
      </c>
      <c r="M32">
        <v>571867805</v>
      </c>
      <c r="N32">
        <v>382131298</v>
      </c>
      <c r="O32">
        <v>-239849350</v>
      </c>
      <c r="P32">
        <v>309</v>
      </c>
      <c r="Q32" t="s">
        <v>90</v>
      </c>
    </row>
    <row r="33" spans="1:17" x14ac:dyDescent="0.3">
      <c r="A33" t="s">
        <v>17</v>
      </c>
      <c r="B33" t="str">
        <f>"600038"</f>
        <v>600038</v>
      </c>
      <c r="C33" t="s">
        <v>91</v>
      </c>
      <c r="D33" t="s">
        <v>92</v>
      </c>
      <c r="F33">
        <v>1317189783</v>
      </c>
      <c r="G33">
        <v>-844803681</v>
      </c>
      <c r="H33">
        <v>680556013</v>
      </c>
      <c r="I33">
        <v>843101472</v>
      </c>
      <c r="J33">
        <v>494497867</v>
      </c>
      <c r="K33">
        <v>-487768455</v>
      </c>
      <c r="L33">
        <v>488674785</v>
      </c>
      <c r="M33">
        <v>-482119911</v>
      </c>
      <c r="N33">
        <v>-24588633</v>
      </c>
      <c r="O33">
        <v>451463981</v>
      </c>
      <c r="P33">
        <v>447</v>
      </c>
      <c r="Q33" t="s">
        <v>93</v>
      </c>
    </row>
    <row r="34" spans="1:17" x14ac:dyDescent="0.3">
      <c r="A34" t="s">
        <v>17</v>
      </c>
      <c r="B34" t="str">
        <f>"600039"</f>
        <v>600039</v>
      </c>
      <c r="C34" t="s">
        <v>94</v>
      </c>
      <c r="D34" t="s">
        <v>95</v>
      </c>
      <c r="F34">
        <v>-3580760574</v>
      </c>
      <c r="G34">
        <v>-1625859984</v>
      </c>
      <c r="H34">
        <v>-1374838040</v>
      </c>
      <c r="I34">
        <v>-520793729</v>
      </c>
      <c r="J34">
        <v>-3157654743</v>
      </c>
      <c r="K34">
        <v>-2029587924</v>
      </c>
      <c r="L34">
        <v>-896729695</v>
      </c>
      <c r="M34">
        <v>-664418870</v>
      </c>
      <c r="N34">
        <v>-1933109374</v>
      </c>
      <c r="O34">
        <v>-3998555453</v>
      </c>
      <c r="P34">
        <v>484</v>
      </c>
      <c r="Q34" t="s">
        <v>96</v>
      </c>
    </row>
    <row r="35" spans="1:17" x14ac:dyDescent="0.3">
      <c r="A35" t="s">
        <v>17</v>
      </c>
      <c r="B35" t="str">
        <f>"600048"</f>
        <v>600048</v>
      </c>
      <c r="C35" t="s">
        <v>97</v>
      </c>
      <c r="D35" t="s">
        <v>30</v>
      </c>
      <c r="F35">
        <v>10415815334</v>
      </c>
      <c r="G35">
        <v>15771526148</v>
      </c>
      <c r="H35">
        <v>38888143916</v>
      </c>
      <c r="I35">
        <v>11298346562</v>
      </c>
      <c r="J35">
        <v>-29785611008</v>
      </c>
      <c r="K35">
        <v>33951950174</v>
      </c>
      <c r="L35">
        <v>17722479573</v>
      </c>
      <c r="M35">
        <v>-10536568588</v>
      </c>
      <c r="N35">
        <v>-9855458665</v>
      </c>
      <c r="O35">
        <v>3021695433</v>
      </c>
      <c r="P35">
        <v>8845</v>
      </c>
      <c r="Q35" t="s">
        <v>98</v>
      </c>
    </row>
    <row r="36" spans="1:17" x14ac:dyDescent="0.3">
      <c r="A36" t="s">
        <v>17</v>
      </c>
      <c r="B36" t="str">
        <f>"600050"</f>
        <v>600050</v>
      </c>
      <c r="C36" t="s">
        <v>99</v>
      </c>
      <c r="D36" t="s">
        <v>100</v>
      </c>
      <c r="F36">
        <v>42196563822</v>
      </c>
      <c r="G36">
        <v>50325383364</v>
      </c>
      <c r="H36">
        <v>37353511268</v>
      </c>
      <c r="I36">
        <v>39096256116</v>
      </c>
      <c r="J36">
        <v>47826592949</v>
      </c>
      <c r="K36">
        <v>-16533679880</v>
      </c>
      <c r="L36">
        <v>-1328935791</v>
      </c>
      <c r="M36">
        <v>19835131593</v>
      </c>
      <c r="N36">
        <v>6104635916</v>
      </c>
      <c r="O36">
        <v>-14941943894</v>
      </c>
      <c r="P36">
        <v>1304</v>
      </c>
      <c r="Q36" t="s">
        <v>101</v>
      </c>
    </row>
    <row r="37" spans="1:17" x14ac:dyDescent="0.3">
      <c r="A37" t="s">
        <v>17</v>
      </c>
      <c r="B37" t="str">
        <f>"600051"</f>
        <v>600051</v>
      </c>
      <c r="C37" t="s">
        <v>102</v>
      </c>
      <c r="D37" t="s">
        <v>103</v>
      </c>
      <c r="F37">
        <v>-244660401</v>
      </c>
      <c r="G37">
        <v>125624454</v>
      </c>
      <c r="H37">
        <v>1670391853</v>
      </c>
      <c r="I37">
        <v>868346844</v>
      </c>
      <c r="J37">
        <v>10788612</v>
      </c>
      <c r="K37">
        <v>1034625765</v>
      </c>
      <c r="L37">
        <v>-74835979</v>
      </c>
      <c r="M37">
        <v>-238181795</v>
      </c>
      <c r="N37">
        <v>-786870259</v>
      </c>
      <c r="O37">
        <v>-128511027</v>
      </c>
      <c r="P37">
        <v>305</v>
      </c>
      <c r="Q37" t="s">
        <v>104</v>
      </c>
    </row>
    <row r="38" spans="1:17" x14ac:dyDescent="0.3">
      <c r="A38" t="s">
        <v>17</v>
      </c>
      <c r="B38" t="str">
        <f>"600052"</f>
        <v>600052</v>
      </c>
      <c r="C38" t="s">
        <v>105</v>
      </c>
      <c r="D38" t="s">
        <v>89</v>
      </c>
      <c r="F38">
        <v>-319066892</v>
      </c>
      <c r="G38">
        <v>-23211913</v>
      </c>
      <c r="H38">
        <v>829803009</v>
      </c>
      <c r="I38">
        <v>159452545</v>
      </c>
      <c r="J38">
        <v>618246703</v>
      </c>
      <c r="K38">
        <v>1144106056</v>
      </c>
      <c r="L38">
        <v>290910886</v>
      </c>
      <c r="M38">
        <v>-524315568</v>
      </c>
      <c r="N38">
        <v>121470545</v>
      </c>
      <c r="O38">
        <v>-1106486</v>
      </c>
      <c r="P38">
        <v>133</v>
      </c>
      <c r="Q38" t="s">
        <v>106</v>
      </c>
    </row>
    <row r="39" spans="1:17" x14ac:dyDescent="0.3">
      <c r="A39" t="s">
        <v>17</v>
      </c>
      <c r="B39" t="str">
        <f>"600053"</f>
        <v>600053</v>
      </c>
      <c r="C39" t="s">
        <v>107</v>
      </c>
      <c r="D39" t="s">
        <v>75</v>
      </c>
      <c r="F39">
        <v>32625641</v>
      </c>
      <c r="G39">
        <v>-326115500</v>
      </c>
      <c r="H39">
        <v>259909138</v>
      </c>
      <c r="I39">
        <v>1490161523</v>
      </c>
      <c r="J39">
        <v>-72072145</v>
      </c>
      <c r="K39">
        <v>874239330</v>
      </c>
      <c r="L39">
        <v>502823797</v>
      </c>
      <c r="M39">
        <v>326433563</v>
      </c>
      <c r="N39">
        <v>448647609</v>
      </c>
      <c r="O39">
        <v>4726022</v>
      </c>
      <c r="P39">
        <v>229</v>
      </c>
      <c r="Q39" t="s">
        <v>108</v>
      </c>
    </row>
    <row r="40" spans="1:17" x14ac:dyDescent="0.3">
      <c r="A40" t="s">
        <v>17</v>
      </c>
      <c r="B40" t="str">
        <f>"600054"</f>
        <v>600054</v>
      </c>
      <c r="C40" t="s">
        <v>109</v>
      </c>
      <c r="D40" t="s">
        <v>110</v>
      </c>
      <c r="F40">
        <v>-180398420</v>
      </c>
      <c r="G40">
        <v>-209372631</v>
      </c>
      <c r="H40">
        <v>215846751</v>
      </c>
      <c r="I40">
        <v>367916207</v>
      </c>
      <c r="J40">
        <v>474177659</v>
      </c>
      <c r="K40">
        <v>434507486</v>
      </c>
      <c r="L40">
        <v>485733404</v>
      </c>
      <c r="M40">
        <v>201846043</v>
      </c>
      <c r="N40">
        <v>63661367</v>
      </c>
      <c r="O40">
        <v>-27111135</v>
      </c>
      <c r="P40">
        <v>380</v>
      </c>
      <c r="Q40" t="s">
        <v>111</v>
      </c>
    </row>
    <row r="41" spans="1:17" x14ac:dyDescent="0.3">
      <c r="A41" t="s">
        <v>17</v>
      </c>
      <c r="B41" t="str">
        <f>"600055"</f>
        <v>600055</v>
      </c>
      <c r="C41" t="s">
        <v>112</v>
      </c>
      <c r="D41" t="s">
        <v>113</v>
      </c>
      <c r="F41">
        <v>78071072</v>
      </c>
      <c r="G41">
        <v>497897586</v>
      </c>
      <c r="H41">
        <v>53582090</v>
      </c>
      <c r="I41">
        <v>32933617</v>
      </c>
      <c r="J41">
        <v>-128086380</v>
      </c>
      <c r="K41">
        <v>88888456</v>
      </c>
      <c r="L41">
        <v>-148285855</v>
      </c>
      <c r="M41">
        <v>-40729102</v>
      </c>
      <c r="N41">
        <v>-18649714</v>
      </c>
      <c r="O41">
        <v>47381756</v>
      </c>
      <c r="P41">
        <v>358</v>
      </c>
      <c r="Q41" t="s">
        <v>114</v>
      </c>
    </row>
    <row r="42" spans="1:17" x14ac:dyDescent="0.3">
      <c r="A42" t="s">
        <v>17</v>
      </c>
      <c r="B42" t="str">
        <f>"600056"</f>
        <v>600056</v>
      </c>
      <c r="C42" t="s">
        <v>115</v>
      </c>
      <c r="D42" t="s">
        <v>113</v>
      </c>
      <c r="F42">
        <v>-122814377</v>
      </c>
      <c r="G42">
        <v>1241695280</v>
      </c>
      <c r="H42">
        <v>-334120690</v>
      </c>
      <c r="I42">
        <v>-149532479</v>
      </c>
      <c r="J42">
        <v>402236385</v>
      </c>
      <c r="K42">
        <v>856530944</v>
      </c>
      <c r="L42">
        <v>1022555000</v>
      </c>
      <c r="M42">
        <v>897987436</v>
      </c>
      <c r="N42">
        <v>-108529042</v>
      </c>
      <c r="O42">
        <v>892253305</v>
      </c>
      <c r="P42">
        <v>890</v>
      </c>
      <c r="Q42" t="s">
        <v>116</v>
      </c>
    </row>
    <row r="43" spans="1:17" x14ac:dyDescent="0.3">
      <c r="A43" t="s">
        <v>17</v>
      </c>
      <c r="B43" t="str">
        <f>"600057"</f>
        <v>600057</v>
      </c>
      <c r="C43" t="s">
        <v>117</v>
      </c>
      <c r="D43" t="s">
        <v>22</v>
      </c>
      <c r="F43">
        <v>4824463292</v>
      </c>
      <c r="G43">
        <v>1012338381</v>
      </c>
      <c r="H43">
        <v>3444412233</v>
      </c>
      <c r="I43">
        <v>653463964</v>
      </c>
      <c r="J43">
        <v>-4666851730</v>
      </c>
      <c r="K43">
        <v>689336297</v>
      </c>
      <c r="L43">
        <v>-96389150</v>
      </c>
      <c r="M43">
        <v>-4913506886</v>
      </c>
      <c r="N43">
        <v>-4769674639</v>
      </c>
      <c r="O43">
        <v>534360845</v>
      </c>
      <c r="P43">
        <v>414</v>
      </c>
      <c r="Q43" t="s">
        <v>118</v>
      </c>
    </row>
    <row r="44" spans="1:17" x14ac:dyDescent="0.3">
      <c r="A44" t="s">
        <v>17</v>
      </c>
      <c r="B44" t="str">
        <f>"600058"</f>
        <v>600058</v>
      </c>
      <c r="C44" t="s">
        <v>119</v>
      </c>
      <c r="D44" t="s">
        <v>120</v>
      </c>
      <c r="F44">
        <v>983991479</v>
      </c>
      <c r="G44">
        <v>-164615038</v>
      </c>
      <c r="H44">
        <v>1423452426</v>
      </c>
      <c r="I44">
        <v>-264794085</v>
      </c>
      <c r="J44">
        <v>303907341</v>
      </c>
      <c r="K44">
        <v>10872883882</v>
      </c>
      <c r="L44">
        <v>949077462</v>
      </c>
      <c r="M44">
        <v>-2403746865</v>
      </c>
      <c r="N44">
        <v>-3778934786</v>
      </c>
      <c r="O44">
        <v>3492335208</v>
      </c>
      <c r="P44">
        <v>139</v>
      </c>
      <c r="Q44" t="s">
        <v>121</v>
      </c>
    </row>
    <row r="45" spans="1:17" x14ac:dyDescent="0.3">
      <c r="A45" t="s">
        <v>17</v>
      </c>
      <c r="B45" t="str">
        <f>"600059"</f>
        <v>600059</v>
      </c>
      <c r="C45" t="s">
        <v>122</v>
      </c>
      <c r="D45" t="s">
        <v>123</v>
      </c>
      <c r="F45">
        <v>-170655610</v>
      </c>
      <c r="G45">
        <v>-9255919</v>
      </c>
      <c r="H45">
        <v>273904976</v>
      </c>
      <c r="I45">
        <v>225648996</v>
      </c>
      <c r="J45">
        <v>220052194</v>
      </c>
      <c r="K45">
        <v>114044426</v>
      </c>
      <c r="L45">
        <v>-21354601</v>
      </c>
      <c r="M45">
        <v>-241040206</v>
      </c>
      <c r="N45">
        <v>-73743343</v>
      </c>
      <c r="O45">
        <v>-136628825</v>
      </c>
      <c r="P45">
        <v>323</v>
      </c>
      <c r="Q45" t="s">
        <v>124</v>
      </c>
    </row>
    <row r="46" spans="1:17" x14ac:dyDescent="0.3">
      <c r="A46" t="s">
        <v>17</v>
      </c>
      <c r="B46" t="str">
        <f>"600060"</f>
        <v>600060</v>
      </c>
      <c r="C46" t="s">
        <v>125</v>
      </c>
      <c r="D46" t="s">
        <v>126</v>
      </c>
      <c r="F46">
        <v>360463374</v>
      </c>
      <c r="G46">
        <v>-192393633</v>
      </c>
      <c r="H46">
        <v>1563893105</v>
      </c>
      <c r="I46">
        <v>-440367322</v>
      </c>
      <c r="J46">
        <v>2087886897</v>
      </c>
      <c r="K46">
        <v>2179338689</v>
      </c>
      <c r="L46">
        <v>809128935</v>
      </c>
      <c r="M46">
        <v>552068997</v>
      </c>
      <c r="N46">
        <v>771019469</v>
      </c>
      <c r="O46">
        <v>-230330737</v>
      </c>
      <c r="P46">
        <v>532</v>
      </c>
      <c r="Q46" t="s">
        <v>127</v>
      </c>
    </row>
    <row r="47" spans="1:17" x14ac:dyDescent="0.3">
      <c r="A47" t="s">
        <v>17</v>
      </c>
      <c r="B47" t="str">
        <f>"600061"</f>
        <v>600061</v>
      </c>
      <c r="C47" t="s">
        <v>128</v>
      </c>
      <c r="D47" t="s">
        <v>75</v>
      </c>
      <c r="F47">
        <v>1995764145</v>
      </c>
      <c r="G47">
        <v>-4401522973</v>
      </c>
      <c r="H47">
        <v>-1884242122</v>
      </c>
      <c r="I47">
        <v>-14318020239</v>
      </c>
      <c r="J47">
        <v>-13587593188</v>
      </c>
      <c r="K47">
        <v>-4225211196</v>
      </c>
      <c r="L47">
        <v>10742757688</v>
      </c>
      <c r="M47">
        <v>125596017</v>
      </c>
      <c r="N47">
        <v>-66689754</v>
      </c>
      <c r="O47">
        <v>71172494</v>
      </c>
      <c r="P47">
        <v>1304</v>
      </c>
      <c r="Q47" t="s">
        <v>129</v>
      </c>
    </row>
    <row r="48" spans="1:17" x14ac:dyDescent="0.3">
      <c r="A48" t="s">
        <v>17</v>
      </c>
      <c r="B48" t="str">
        <f>"600062"</f>
        <v>600062</v>
      </c>
      <c r="C48" t="s">
        <v>130</v>
      </c>
      <c r="D48" t="s">
        <v>113</v>
      </c>
      <c r="F48">
        <v>860661160</v>
      </c>
      <c r="G48">
        <v>1054729002</v>
      </c>
      <c r="H48">
        <v>1200596546</v>
      </c>
      <c r="I48">
        <v>1243098071</v>
      </c>
      <c r="J48">
        <v>1042223595</v>
      </c>
      <c r="K48">
        <v>662416611</v>
      </c>
      <c r="L48">
        <v>546696277</v>
      </c>
      <c r="M48">
        <v>585648811</v>
      </c>
      <c r="N48">
        <v>447523405</v>
      </c>
      <c r="O48">
        <v>186642149</v>
      </c>
      <c r="P48">
        <v>635</v>
      </c>
      <c r="Q48" t="s">
        <v>131</v>
      </c>
    </row>
    <row r="49" spans="1:17" x14ac:dyDescent="0.3">
      <c r="A49" t="s">
        <v>17</v>
      </c>
      <c r="B49" t="str">
        <f>"600063"</f>
        <v>600063</v>
      </c>
      <c r="C49" t="s">
        <v>132</v>
      </c>
      <c r="D49" t="s">
        <v>133</v>
      </c>
      <c r="F49">
        <v>621399058</v>
      </c>
      <c r="G49">
        <v>491355121</v>
      </c>
      <c r="H49">
        <v>659303188</v>
      </c>
      <c r="I49">
        <v>1057633861</v>
      </c>
      <c r="J49">
        <v>-916633390</v>
      </c>
      <c r="K49">
        <v>-551418737</v>
      </c>
      <c r="L49">
        <v>69939086</v>
      </c>
      <c r="M49">
        <v>425116957</v>
      </c>
      <c r="N49">
        <v>-61023556</v>
      </c>
      <c r="O49">
        <v>-400144182</v>
      </c>
      <c r="P49">
        <v>224</v>
      </c>
      <c r="Q49" t="s">
        <v>134</v>
      </c>
    </row>
    <row r="50" spans="1:17" x14ac:dyDescent="0.3">
      <c r="A50" t="s">
        <v>17</v>
      </c>
      <c r="B50" t="str">
        <f>"600064"</f>
        <v>600064</v>
      </c>
      <c r="C50" t="s">
        <v>135</v>
      </c>
      <c r="D50" t="s">
        <v>30</v>
      </c>
      <c r="F50">
        <v>493567705</v>
      </c>
      <c r="G50">
        <v>-2163728411</v>
      </c>
      <c r="H50">
        <v>1172873590</v>
      </c>
      <c r="I50">
        <v>441860522</v>
      </c>
      <c r="J50">
        <v>136915453</v>
      </c>
      <c r="K50">
        <v>1978625765</v>
      </c>
      <c r="L50">
        <v>1679379215</v>
      </c>
      <c r="M50">
        <v>1217128532</v>
      </c>
      <c r="N50">
        <v>888034868</v>
      </c>
      <c r="O50">
        <v>351070455</v>
      </c>
      <c r="P50">
        <v>432</v>
      </c>
      <c r="Q50" t="s">
        <v>136</v>
      </c>
    </row>
    <row r="51" spans="1:17" x14ac:dyDescent="0.3">
      <c r="A51" t="s">
        <v>17</v>
      </c>
      <c r="B51" t="str">
        <f>"600065"</f>
        <v>600065</v>
      </c>
      <c r="C51" t="s">
        <v>137</v>
      </c>
      <c r="K51">
        <v>-123274547.98999999</v>
      </c>
      <c r="L51">
        <v>1180359.8</v>
      </c>
      <c r="M51">
        <v>-112019148.67</v>
      </c>
      <c r="N51">
        <v>-184859304.78</v>
      </c>
      <c r="O51">
        <v>-49851563.530000001</v>
      </c>
      <c r="P51">
        <v>4</v>
      </c>
      <c r="Q51" t="s">
        <v>138</v>
      </c>
    </row>
    <row r="52" spans="1:17" x14ac:dyDescent="0.3">
      <c r="A52" t="s">
        <v>17</v>
      </c>
      <c r="B52" t="str">
        <f>"600066"</f>
        <v>600066</v>
      </c>
      <c r="C52" t="s">
        <v>139</v>
      </c>
      <c r="D52" t="s">
        <v>27</v>
      </c>
      <c r="F52">
        <v>49462524</v>
      </c>
      <c r="G52">
        <v>2821835028</v>
      </c>
      <c r="H52">
        <v>4945676433</v>
      </c>
      <c r="I52">
        <v>1524566037</v>
      </c>
      <c r="J52">
        <v>-2475903887</v>
      </c>
      <c r="K52">
        <v>3110622214</v>
      </c>
      <c r="L52">
        <v>4715310944</v>
      </c>
      <c r="M52">
        <v>1291137587</v>
      </c>
      <c r="N52">
        <v>1019154395</v>
      </c>
      <c r="O52">
        <v>-522455561</v>
      </c>
      <c r="P52">
        <v>2894</v>
      </c>
      <c r="Q52" t="s">
        <v>140</v>
      </c>
    </row>
    <row r="53" spans="1:17" x14ac:dyDescent="0.3">
      <c r="A53" t="s">
        <v>17</v>
      </c>
      <c r="B53" t="str">
        <f>"600067"</f>
        <v>600067</v>
      </c>
      <c r="C53" t="s">
        <v>141</v>
      </c>
      <c r="D53" t="s">
        <v>30</v>
      </c>
      <c r="F53">
        <v>2035305425</v>
      </c>
      <c r="G53">
        <v>57052085</v>
      </c>
      <c r="H53">
        <v>-197249224</v>
      </c>
      <c r="I53">
        <v>-1058027457</v>
      </c>
      <c r="J53">
        <v>-867887720</v>
      </c>
      <c r="K53">
        <v>2227953464</v>
      </c>
      <c r="L53">
        <v>1099708634</v>
      </c>
      <c r="M53">
        <v>1052308446</v>
      </c>
      <c r="N53">
        <v>-358562510</v>
      </c>
      <c r="O53">
        <v>987874334</v>
      </c>
      <c r="P53">
        <v>222</v>
      </c>
      <c r="Q53" t="s">
        <v>142</v>
      </c>
    </row>
    <row r="54" spans="1:17" x14ac:dyDescent="0.3">
      <c r="A54" t="s">
        <v>17</v>
      </c>
      <c r="B54" t="str">
        <f>"600068"</f>
        <v>600068</v>
      </c>
      <c r="C54" t="s">
        <v>143</v>
      </c>
      <c r="G54">
        <v>-1795977535</v>
      </c>
      <c r="H54">
        <v>-201999580</v>
      </c>
      <c r="I54">
        <v>-7758351941</v>
      </c>
      <c r="J54">
        <v>-9373594423</v>
      </c>
      <c r="K54">
        <v>-6401469125</v>
      </c>
      <c r="L54">
        <v>-8434423570</v>
      </c>
      <c r="M54">
        <v>-1641235608</v>
      </c>
      <c r="N54">
        <v>1713689855</v>
      </c>
      <c r="O54">
        <v>-3304563422</v>
      </c>
      <c r="P54">
        <v>843</v>
      </c>
      <c r="Q54" t="s">
        <v>144</v>
      </c>
    </row>
    <row r="55" spans="1:17" x14ac:dyDescent="0.3">
      <c r="A55" t="s">
        <v>17</v>
      </c>
      <c r="B55" t="str">
        <f>"600069"</f>
        <v>600069</v>
      </c>
      <c r="C55" t="s">
        <v>145</v>
      </c>
      <c r="H55">
        <v>33740475</v>
      </c>
      <c r="I55">
        <v>-358792901</v>
      </c>
      <c r="J55">
        <v>519153149</v>
      </c>
      <c r="K55">
        <v>340584778</v>
      </c>
      <c r="L55">
        <v>319217716</v>
      </c>
      <c r="M55">
        <v>-18766164</v>
      </c>
      <c r="N55">
        <v>-144310619</v>
      </c>
      <c r="O55">
        <v>59885277</v>
      </c>
      <c r="P55">
        <v>48</v>
      </c>
      <c r="Q55" t="s">
        <v>146</v>
      </c>
    </row>
    <row r="56" spans="1:17" x14ac:dyDescent="0.3">
      <c r="A56" t="s">
        <v>17</v>
      </c>
      <c r="B56" t="str">
        <f>"600070"</f>
        <v>600070</v>
      </c>
      <c r="C56" t="s">
        <v>147</v>
      </c>
      <c r="D56" t="s">
        <v>103</v>
      </c>
      <c r="F56">
        <v>-284474639</v>
      </c>
      <c r="G56">
        <v>-68642354</v>
      </c>
      <c r="H56">
        <v>61322872</v>
      </c>
      <c r="I56">
        <v>-126612042</v>
      </c>
      <c r="J56">
        <v>-50803356</v>
      </c>
      <c r="K56">
        <v>39247485</v>
      </c>
      <c r="L56">
        <v>-3947033</v>
      </c>
      <c r="M56">
        <v>-116425339</v>
      </c>
      <c r="N56">
        <v>170535351</v>
      </c>
      <c r="O56">
        <v>235844221</v>
      </c>
      <c r="P56">
        <v>183</v>
      </c>
      <c r="Q56" t="s">
        <v>148</v>
      </c>
    </row>
    <row r="57" spans="1:17" x14ac:dyDescent="0.3">
      <c r="A57" t="s">
        <v>17</v>
      </c>
      <c r="B57" t="str">
        <f>"600071"</f>
        <v>600071</v>
      </c>
      <c r="C57" t="s">
        <v>149</v>
      </c>
      <c r="D57" t="s">
        <v>150</v>
      </c>
      <c r="F57">
        <v>-102786423</v>
      </c>
      <c r="G57">
        <v>-141276938</v>
      </c>
      <c r="H57">
        <v>-39835214</v>
      </c>
      <c r="I57">
        <v>-87459757</v>
      </c>
      <c r="J57">
        <v>-45927231</v>
      </c>
      <c r="K57">
        <v>-58465468</v>
      </c>
      <c r="L57">
        <v>-55807575</v>
      </c>
      <c r="M57">
        <v>-115950713</v>
      </c>
      <c r="N57">
        <v>-50699743</v>
      </c>
      <c r="O57">
        <v>29497980</v>
      </c>
      <c r="P57">
        <v>97</v>
      </c>
      <c r="Q57" t="s">
        <v>151</v>
      </c>
    </row>
    <row r="58" spans="1:17" x14ac:dyDescent="0.3">
      <c r="A58" t="s">
        <v>17</v>
      </c>
      <c r="B58" t="str">
        <f>"600072"</f>
        <v>600072</v>
      </c>
      <c r="C58" t="s">
        <v>152</v>
      </c>
      <c r="D58" t="s">
        <v>92</v>
      </c>
      <c r="F58">
        <v>205054642</v>
      </c>
      <c r="G58">
        <v>556698534</v>
      </c>
      <c r="H58">
        <v>197816978</v>
      </c>
      <c r="I58">
        <v>-442243653</v>
      </c>
      <c r="J58">
        <v>-1166333048</v>
      </c>
      <c r="K58">
        <v>-1624018297</v>
      </c>
      <c r="L58">
        <v>56979011</v>
      </c>
      <c r="M58">
        <v>-163825923</v>
      </c>
      <c r="N58">
        <v>-80232773</v>
      </c>
      <c r="O58">
        <v>-163914866</v>
      </c>
      <c r="P58">
        <v>181</v>
      </c>
      <c r="Q58" t="s">
        <v>153</v>
      </c>
    </row>
    <row r="59" spans="1:17" x14ac:dyDescent="0.3">
      <c r="A59" t="s">
        <v>17</v>
      </c>
      <c r="B59" t="str">
        <f>"600073"</f>
        <v>600073</v>
      </c>
      <c r="C59" t="s">
        <v>154</v>
      </c>
      <c r="D59" t="s">
        <v>123</v>
      </c>
      <c r="F59">
        <v>-172348148</v>
      </c>
      <c r="G59">
        <v>1224963942</v>
      </c>
      <c r="H59">
        <v>-676913257</v>
      </c>
      <c r="I59">
        <v>132718673</v>
      </c>
      <c r="J59">
        <v>339621785</v>
      </c>
      <c r="K59">
        <v>1052175423</v>
      </c>
      <c r="L59">
        <v>145370492</v>
      </c>
      <c r="M59">
        <v>31592663</v>
      </c>
      <c r="N59">
        <v>70659456</v>
      </c>
      <c r="O59">
        <v>-83380408</v>
      </c>
      <c r="P59">
        <v>442</v>
      </c>
      <c r="Q59" t="s">
        <v>155</v>
      </c>
    </row>
    <row r="60" spans="1:17" x14ac:dyDescent="0.3">
      <c r="A60" t="s">
        <v>17</v>
      </c>
      <c r="B60" t="str">
        <f>"600074"</f>
        <v>600074</v>
      </c>
      <c r="C60" t="s">
        <v>156</v>
      </c>
      <c r="H60">
        <v>-75775226</v>
      </c>
      <c r="I60">
        <v>-77941001</v>
      </c>
      <c r="J60">
        <v>-1066995224</v>
      </c>
      <c r="K60">
        <v>-930400541</v>
      </c>
      <c r="L60">
        <v>-176341262</v>
      </c>
      <c r="M60">
        <v>10876956</v>
      </c>
      <c r="N60">
        <v>20318653</v>
      </c>
      <c r="O60">
        <v>78166907</v>
      </c>
      <c r="P60">
        <v>61</v>
      </c>
      <c r="Q60" t="s">
        <v>157</v>
      </c>
    </row>
    <row r="61" spans="1:17" x14ac:dyDescent="0.3">
      <c r="A61" t="s">
        <v>17</v>
      </c>
      <c r="B61" t="str">
        <f>"600075"</f>
        <v>600075</v>
      </c>
      <c r="C61" t="s">
        <v>158</v>
      </c>
      <c r="D61" t="s">
        <v>133</v>
      </c>
      <c r="F61">
        <v>2180692404</v>
      </c>
      <c r="G61">
        <v>726474304</v>
      </c>
      <c r="H61">
        <v>949195341</v>
      </c>
      <c r="I61">
        <v>137140524</v>
      </c>
      <c r="J61">
        <v>739044038</v>
      </c>
      <c r="K61">
        <v>43851257</v>
      </c>
      <c r="L61">
        <v>-107305171</v>
      </c>
      <c r="M61">
        <v>696968135</v>
      </c>
      <c r="N61">
        <v>357373035</v>
      </c>
      <c r="O61">
        <v>70413044</v>
      </c>
      <c r="P61">
        <v>194</v>
      </c>
      <c r="Q61" t="s">
        <v>159</v>
      </c>
    </row>
    <row r="62" spans="1:17" x14ac:dyDescent="0.3">
      <c r="A62" t="s">
        <v>17</v>
      </c>
      <c r="B62" t="str">
        <f>"600076"</f>
        <v>600076</v>
      </c>
      <c r="C62" t="s">
        <v>160</v>
      </c>
      <c r="D62" t="s">
        <v>161</v>
      </c>
      <c r="F62">
        <v>-272198746</v>
      </c>
      <c r="G62">
        <v>-774069669</v>
      </c>
      <c r="H62">
        <v>-30112310</v>
      </c>
      <c r="I62">
        <v>-59007507</v>
      </c>
      <c r="J62">
        <v>-186501331</v>
      </c>
      <c r="K62">
        <v>-246595601</v>
      </c>
      <c r="L62">
        <v>-176057606</v>
      </c>
      <c r="M62">
        <v>-97389581</v>
      </c>
      <c r="N62">
        <v>-350228</v>
      </c>
      <c r="O62">
        <v>-13740871</v>
      </c>
      <c r="P62">
        <v>200</v>
      </c>
      <c r="Q62" t="s">
        <v>162</v>
      </c>
    </row>
    <row r="63" spans="1:17" x14ac:dyDescent="0.3">
      <c r="A63" t="s">
        <v>17</v>
      </c>
      <c r="B63" t="str">
        <f>"600077"</f>
        <v>600077</v>
      </c>
      <c r="C63" t="s">
        <v>163</v>
      </c>
      <c r="D63" t="s">
        <v>30</v>
      </c>
      <c r="F63">
        <v>2782888447</v>
      </c>
      <c r="G63">
        <v>58766322</v>
      </c>
      <c r="H63">
        <v>-513847747</v>
      </c>
      <c r="I63">
        <v>3566874747</v>
      </c>
      <c r="J63">
        <v>-6992235</v>
      </c>
      <c r="K63">
        <v>2585493499</v>
      </c>
      <c r="L63">
        <v>2105881493</v>
      </c>
      <c r="M63">
        <v>-978264858</v>
      </c>
      <c r="N63">
        <v>-682212318</v>
      </c>
      <c r="O63">
        <v>1354547968</v>
      </c>
      <c r="P63">
        <v>126</v>
      </c>
      <c r="Q63" t="s">
        <v>164</v>
      </c>
    </row>
    <row r="64" spans="1:17" x14ac:dyDescent="0.3">
      <c r="A64" t="s">
        <v>17</v>
      </c>
      <c r="B64" t="str">
        <f>"600078"</f>
        <v>600078</v>
      </c>
      <c r="C64" t="s">
        <v>165</v>
      </c>
      <c r="D64" t="s">
        <v>133</v>
      </c>
      <c r="F64">
        <v>452735225</v>
      </c>
      <c r="G64">
        <v>602872174</v>
      </c>
      <c r="H64">
        <v>515387811</v>
      </c>
      <c r="I64">
        <v>317312272</v>
      </c>
      <c r="J64">
        <v>188207818</v>
      </c>
      <c r="K64">
        <v>169162003</v>
      </c>
      <c r="L64">
        <v>-244121289</v>
      </c>
      <c r="M64">
        <v>6445956</v>
      </c>
      <c r="N64">
        <v>156806070</v>
      </c>
      <c r="O64">
        <v>433672549</v>
      </c>
      <c r="P64">
        <v>85</v>
      </c>
      <c r="Q64" t="s">
        <v>166</v>
      </c>
    </row>
    <row r="65" spans="1:17" x14ac:dyDescent="0.3">
      <c r="A65" t="s">
        <v>17</v>
      </c>
      <c r="B65" t="str">
        <f>"600079"</f>
        <v>600079</v>
      </c>
      <c r="C65" t="s">
        <v>167</v>
      </c>
      <c r="D65" t="s">
        <v>113</v>
      </c>
      <c r="F65">
        <v>401864485</v>
      </c>
      <c r="G65">
        <v>1253425402</v>
      </c>
      <c r="H65">
        <v>1952901619</v>
      </c>
      <c r="I65">
        <v>-652475818</v>
      </c>
      <c r="J65">
        <v>-1683479691</v>
      </c>
      <c r="K65">
        <v>-710535845</v>
      </c>
      <c r="L65">
        <v>-516532125</v>
      </c>
      <c r="M65">
        <v>-392381984</v>
      </c>
      <c r="N65">
        <v>-411051192</v>
      </c>
      <c r="O65">
        <v>-631641601</v>
      </c>
      <c r="P65">
        <v>942</v>
      </c>
      <c r="Q65" t="s">
        <v>168</v>
      </c>
    </row>
    <row r="66" spans="1:17" x14ac:dyDescent="0.3">
      <c r="A66" t="s">
        <v>17</v>
      </c>
      <c r="B66" t="str">
        <f>"600080"</f>
        <v>600080</v>
      </c>
      <c r="C66" t="s">
        <v>169</v>
      </c>
      <c r="D66" t="s">
        <v>113</v>
      </c>
      <c r="F66">
        <v>18579510</v>
      </c>
      <c r="G66">
        <v>36331410</v>
      </c>
      <c r="H66">
        <v>47981499</v>
      </c>
      <c r="I66">
        <v>23031618</v>
      </c>
      <c r="J66">
        <v>-5176743</v>
      </c>
      <c r="K66">
        <v>26053215</v>
      </c>
      <c r="L66">
        <v>17349282</v>
      </c>
      <c r="M66">
        <v>13885115</v>
      </c>
      <c r="N66">
        <v>32407153</v>
      </c>
      <c r="O66">
        <v>10662924</v>
      </c>
      <c r="P66">
        <v>97</v>
      </c>
      <c r="Q66" t="s">
        <v>170</v>
      </c>
    </row>
    <row r="67" spans="1:17" x14ac:dyDescent="0.3">
      <c r="A67" t="s">
        <v>17</v>
      </c>
      <c r="B67" t="str">
        <f>"600081"</f>
        <v>600081</v>
      </c>
      <c r="C67" t="s">
        <v>171</v>
      </c>
      <c r="D67" t="s">
        <v>27</v>
      </c>
      <c r="F67">
        <v>269724989</v>
      </c>
      <c r="G67">
        <v>27099122</v>
      </c>
      <c r="H67">
        <v>358333261</v>
      </c>
      <c r="I67">
        <v>242367604</v>
      </c>
      <c r="J67">
        <v>295370542</v>
      </c>
      <c r="K67">
        <v>69902208</v>
      </c>
      <c r="L67">
        <v>300463777</v>
      </c>
      <c r="M67">
        <v>232101612</v>
      </c>
      <c r="N67">
        <v>21499775</v>
      </c>
      <c r="O67">
        <v>220167772</v>
      </c>
      <c r="P67">
        <v>205</v>
      </c>
      <c r="Q67" t="s">
        <v>172</v>
      </c>
    </row>
    <row r="68" spans="1:17" x14ac:dyDescent="0.3">
      <c r="A68" t="s">
        <v>17</v>
      </c>
      <c r="B68" t="str">
        <f>"600082"</f>
        <v>600082</v>
      </c>
      <c r="C68" t="s">
        <v>173</v>
      </c>
      <c r="D68" t="s">
        <v>30</v>
      </c>
      <c r="F68">
        <v>41173335</v>
      </c>
      <c r="G68">
        <v>22547546</v>
      </c>
      <c r="H68">
        <v>86554909</v>
      </c>
      <c r="I68">
        <v>299550196</v>
      </c>
      <c r="J68">
        <v>167919486</v>
      </c>
      <c r="K68">
        <v>-69059806</v>
      </c>
      <c r="L68">
        <v>-114339001</v>
      </c>
      <c r="M68">
        <v>-129256052</v>
      </c>
      <c r="N68">
        <v>-270230712</v>
      </c>
      <c r="O68">
        <v>-591844263</v>
      </c>
      <c r="P68">
        <v>75</v>
      </c>
      <c r="Q68" t="s">
        <v>174</v>
      </c>
    </row>
    <row r="69" spans="1:17" x14ac:dyDescent="0.3">
      <c r="A69" t="s">
        <v>17</v>
      </c>
      <c r="B69" t="str">
        <f>"600083"</f>
        <v>600083</v>
      </c>
      <c r="C69" t="s">
        <v>175</v>
      </c>
      <c r="D69" t="s">
        <v>103</v>
      </c>
      <c r="F69">
        <v>23706344</v>
      </c>
      <c r="G69">
        <v>23742836</v>
      </c>
      <c r="H69">
        <v>-22754208</v>
      </c>
      <c r="I69">
        <v>-160952159</v>
      </c>
      <c r="J69">
        <v>8563183</v>
      </c>
      <c r="K69">
        <v>18603640</v>
      </c>
      <c r="L69">
        <v>-77842778</v>
      </c>
      <c r="M69">
        <v>60805081</v>
      </c>
      <c r="N69">
        <v>11089126</v>
      </c>
      <c r="O69">
        <v>5219585</v>
      </c>
      <c r="P69">
        <v>83</v>
      </c>
      <c r="Q69" t="s">
        <v>176</v>
      </c>
    </row>
    <row r="70" spans="1:17" x14ac:dyDescent="0.3">
      <c r="A70" t="s">
        <v>17</v>
      </c>
      <c r="B70" t="str">
        <f>"600084"</f>
        <v>600084</v>
      </c>
      <c r="C70" t="s">
        <v>177</v>
      </c>
      <c r="D70" t="s">
        <v>123</v>
      </c>
      <c r="F70">
        <v>81004431</v>
      </c>
      <c r="G70">
        <v>-33352764</v>
      </c>
      <c r="H70">
        <v>-50895811</v>
      </c>
      <c r="I70">
        <v>-205536552</v>
      </c>
      <c r="J70">
        <v>-246709748</v>
      </c>
      <c r="K70">
        <v>-110753273</v>
      </c>
      <c r="L70">
        <v>-30941513</v>
      </c>
      <c r="M70">
        <v>-375014974</v>
      </c>
      <c r="N70">
        <v>118836742</v>
      </c>
      <c r="O70">
        <v>-94737731</v>
      </c>
      <c r="P70">
        <v>99</v>
      </c>
      <c r="Q70" t="s">
        <v>178</v>
      </c>
    </row>
    <row r="71" spans="1:17" x14ac:dyDescent="0.3">
      <c r="A71" t="s">
        <v>17</v>
      </c>
      <c r="B71" t="str">
        <f>"600085"</f>
        <v>600085</v>
      </c>
      <c r="C71" t="s">
        <v>179</v>
      </c>
      <c r="D71" t="s">
        <v>113</v>
      </c>
      <c r="F71">
        <v>2957774476</v>
      </c>
      <c r="G71">
        <v>1038808672</v>
      </c>
      <c r="H71">
        <v>1820599174</v>
      </c>
      <c r="I71">
        <v>1514392805</v>
      </c>
      <c r="J71">
        <v>672818091</v>
      </c>
      <c r="K71">
        <v>449455543</v>
      </c>
      <c r="L71">
        <v>291058934</v>
      </c>
      <c r="M71">
        <v>137986800</v>
      </c>
      <c r="N71">
        <v>251652672</v>
      </c>
      <c r="O71">
        <v>585396672</v>
      </c>
      <c r="P71">
        <v>2032</v>
      </c>
      <c r="Q71" t="s">
        <v>180</v>
      </c>
    </row>
    <row r="72" spans="1:17" x14ac:dyDescent="0.3">
      <c r="A72" t="s">
        <v>17</v>
      </c>
      <c r="B72" t="str">
        <f>"600086"</f>
        <v>600086</v>
      </c>
      <c r="C72" t="s">
        <v>181</v>
      </c>
      <c r="H72">
        <v>-2697959</v>
      </c>
      <c r="I72">
        <v>-147518225</v>
      </c>
      <c r="J72">
        <v>-1829838289</v>
      </c>
      <c r="K72">
        <v>-1190268684</v>
      </c>
      <c r="L72">
        <v>-1812139738</v>
      </c>
      <c r="M72">
        <v>-357051668</v>
      </c>
      <c r="N72">
        <v>-462440459</v>
      </c>
      <c r="O72">
        <v>279416332</v>
      </c>
      <c r="P72">
        <v>73</v>
      </c>
      <c r="Q72" t="s">
        <v>182</v>
      </c>
    </row>
    <row r="73" spans="1:17" x14ac:dyDescent="0.3">
      <c r="A73" t="s">
        <v>17</v>
      </c>
      <c r="B73" t="str">
        <f>"600087"</f>
        <v>600087</v>
      </c>
      <c r="C73" t="s">
        <v>183</v>
      </c>
      <c r="K73">
        <v>1392972761.0799999</v>
      </c>
      <c r="L73">
        <v>1120506273.22</v>
      </c>
      <c r="M73">
        <v>3138689007.6700001</v>
      </c>
      <c r="N73">
        <v>760157745.87</v>
      </c>
      <c r="O73">
        <v>-561295412.60000002</v>
      </c>
      <c r="P73">
        <v>7</v>
      </c>
      <c r="Q73" t="s">
        <v>184</v>
      </c>
    </row>
    <row r="74" spans="1:17" x14ac:dyDescent="0.3">
      <c r="A74" t="s">
        <v>17</v>
      </c>
      <c r="B74" t="str">
        <f>"600088"</f>
        <v>600088</v>
      </c>
      <c r="C74" t="s">
        <v>185</v>
      </c>
      <c r="D74" t="s">
        <v>89</v>
      </c>
      <c r="F74">
        <v>-109279397</v>
      </c>
      <c r="G74">
        <v>37965037</v>
      </c>
      <c r="H74">
        <v>52363807</v>
      </c>
      <c r="I74">
        <v>165866329</v>
      </c>
      <c r="J74">
        <v>71607632</v>
      </c>
      <c r="K74">
        <v>127651372</v>
      </c>
      <c r="L74">
        <v>-64192647</v>
      </c>
      <c r="M74">
        <v>71707321</v>
      </c>
      <c r="N74">
        <v>-181128642</v>
      </c>
      <c r="O74">
        <v>-596841963</v>
      </c>
      <c r="P74">
        <v>114</v>
      </c>
      <c r="Q74" t="s">
        <v>186</v>
      </c>
    </row>
    <row r="75" spans="1:17" x14ac:dyDescent="0.3">
      <c r="A75" t="s">
        <v>17</v>
      </c>
      <c r="B75" t="str">
        <f>"600089"</f>
        <v>600089</v>
      </c>
      <c r="C75" t="s">
        <v>187</v>
      </c>
      <c r="D75" t="s">
        <v>188</v>
      </c>
      <c r="F75">
        <v>738625588</v>
      </c>
      <c r="G75">
        <v>-1633092159</v>
      </c>
      <c r="H75">
        <v>-3852241943</v>
      </c>
      <c r="I75">
        <v>-1419338220</v>
      </c>
      <c r="J75">
        <v>-2007268403</v>
      </c>
      <c r="K75">
        <v>-2156817220</v>
      </c>
      <c r="L75">
        <v>-580968017</v>
      </c>
      <c r="M75">
        <v>-3009410721</v>
      </c>
      <c r="N75">
        <v>-758389109</v>
      </c>
      <c r="O75">
        <v>-3261909527</v>
      </c>
      <c r="P75">
        <v>1283</v>
      </c>
      <c r="Q75" t="s">
        <v>189</v>
      </c>
    </row>
    <row r="76" spans="1:17" x14ac:dyDescent="0.3">
      <c r="A76" t="s">
        <v>17</v>
      </c>
      <c r="B76" t="str">
        <f>"600090"</f>
        <v>600090</v>
      </c>
      <c r="C76" t="s">
        <v>190</v>
      </c>
      <c r="D76" t="s">
        <v>113</v>
      </c>
      <c r="G76">
        <v>10190742</v>
      </c>
      <c r="H76">
        <v>-429549179</v>
      </c>
      <c r="I76">
        <v>-1113046648</v>
      </c>
      <c r="J76">
        <v>136127857</v>
      </c>
      <c r="K76">
        <v>77304607</v>
      </c>
      <c r="L76">
        <v>217090936</v>
      </c>
      <c r="M76">
        <v>132354642</v>
      </c>
      <c r="N76">
        <v>91485508</v>
      </c>
      <c r="O76">
        <v>97049344</v>
      </c>
      <c r="P76">
        <v>214</v>
      </c>
      <c r="Q76" t="s">
        <v>191</v>
      </c>
    </row>
    <row r="77" spans="1:17" x14ac:dyDescent="0.3">
      <c r="A77" t="s">
        <v>17</v>
      </c>
      <c r="B77" t="str">
        <f>"600091"</f>
        <v>600091</v>
      </c>
      <c r="C77" t="s">
        <v>192</v>
      </c>
      <c r="D77" t="s">
        <v>133</v>
      </c>
      <c r="F77">
        <v>-24826433</v>
      </c>
      <c r="G77">
        <v>-35981821</v>
      </c>
      <c r="H77">
        <v>-54718780</v>
      </c>
      <c r="I77">
        <v>-68048178</v>
      </c>
      <c r="J77">
        <v>-81040619</v>
      </c>
      <c r="K77">
        <v>-47274133</v>
      </c>
      <c r="L77">
        <v>9750816</v>
      </c>
      <c r="M77">
        <v>-58679722</v>
      </c>
      <c r="N77">
        <v>-109960601</v>
      </c>
      <c r="O77">
        <v>-148458058</v>
      </c>
      <c r="P77">
        <v>58</v>
      </c>
      <c r="Q77" t="s">
        <v>193</v>
      </c>
    </row>
    <row r="78" spans="1:17" x14ac:dyDescent="0.3">
      <c r="A78" t="s">
        <v>17</v>
      </c>
      <c r="B78" t="str">
        <f>"600092"</f>
        <v>600092</v>
      </c>
      <c r="C78" t="s">
        <v>194</v>
      </c>
      <c r="K78">
        <v>-471.71</v>
      </c>
      <c r="L78">
        <v>-13791.37</v>
      </c>
      <c r="M78">
        <v>2512.56</v>
      </c>
      <c r="N78">
        <v>-45270.11</v>
      </c>
      <c r="O78">
        <v>16512</v>
      </c>
      <c r="P78">
        <v>3</v>
      </c>
      <c r="Q78" t="s">
        <v>195</v>
      </c>
    </row>
    <row r="79" spans="1:17" x14ac:dyDescent="0.3">
      <c r="A79" t="s">
        <v>17</v>
      </c>
      <c r="B79" t="str">
        <f>"600093"</f>
        <v>600093</v>
      </c>
      <c r="C79" t="s">
        <v>196</v>
      </c>
      <c r="D79" t="s">
        <v>75</v>
      </c>
      <c r="F79">
        <v>-19635823</v>
      </c>
      <c r="G79">
        <v>-585392436</v>
      </c>
      <c r="H79">
        <v>720000857</v>
      </c>
      <c r="I79">
        <v>675203594</v>
      </c>
      <c r="J79">
        <v>-1462879345</v>
      </c>
      <c r="K79">
        <v>-3039930757</v>
      </c>
      <c r="L79">
        <v>-2459229437</v>
      </c>
      <c r="M79">
        <v>-11991886</v>
      </c>
      <c r="N79">
        <v>61863538</v>
      </c>
      <c r="O79">
        <v>25752395</v>
      </c>
      <c r="P79">
        <v>222</v>
      </c>
      <c r="Q79" t="s">
        <v>197</v>
      </c>
    </row>
    <row r="80" spans="1:17" x14ac:dyDescent="0.3">
      <c r="A80" t="s">
        <v>17</v>
      </c>
      <c r="B80" t="str">
        <f>"600094"</f>
        <v>600094</v>
      </c>
      <c r="C80" t="s">
        <v>198</v>
      </c>
      <c r="D80" t="s">
        <v>30</v>
      </c>
      <c r="F80">
        <v>6510784735</v>
      </c>
      <c r="G80">
        <v>-2445929379</v>
      </c>
      <c r="H80">
        <v>10284993490</v>
      </c>
      <c r="I80">
        <v>6299141353</v>
      </c>
      <c r="J80">
        <v>544502055</v>
      </c>
      <c r="K80">
        <v>-6807713311</v>
      </c>
      <c r="L80">
        <v>-6767407587</v>
      </c>
      <c r="M80">
        <v>-2655858747</v>
      </c>
      <c r="N80">
        <v>-3029042325</v>
      </c>
      <c r="O80">
        <v>-1134277681</v>
      </c>
      <c r="P80">
        <v>159</v>
      </c>
      <c r="Q80" t="s">
        <v>199</v>
      </c>
    </row>
    <row r="81" spans="1:17" x14ac:dyDescent="0.3">
      <c r="A81" t="s">
        <v>17</v>
      </c>
      <c r="B81" t="str">
        <f>"600095"</f>
        <v>600095</v>
      </c>
      <c r="C81" t="s">
        <v>200</v>
      </c>
      <c r="D81" t="s">
        <v>75</v>
      </c>
      <c r="F81">
        <v>-456729768</v>
      </c>
      <c r="G81">
        <v>185542428</v>
      </c>
      <c r="H81">
        <v>-6217830</v>
      </c>
      <c r="I81">
        <v>343496</v>
      </c>
      <c r="J81">
        <v>51304967</v>
      </c>
      <c r="K81">
        <v>127159264</v>
      </c>
      <c r="L81">
        <v>213571559</v>
      </c>
      <c r="M81">
        <v>27643435</v>
      </c>
      <c r="N81">
        <v>129539096</v>
      </c>
      <c r="O81">
        <v>41125088</v>
      </c>
      <c r="P81">
        <v>330</v>
      </c>
      <c r="Q81" t="s">
        <v>201</v>
      </c>
    </row>
    <row r="82" spans="1:17" x14ac:dyDescent="0.3">
      <c r="A82" t="s">
        <v>17</v>
      </c>
      <c r="B82" t="str">
        <f>"600096"</f>
        <v>600096</v>
      </c>
      <c r="C82" t="s">
        <v>202</v>
      </c>
      <c r="D82" t="s">
        <v>133</v>
      </c>
      <c r="F82">
        <v>5684857184</v>
      </c>
      <c r="G82">
        <v>4144017752</v>
      </c>
      <c r="H82">
        <v>3650823109</v>
      </c>
      <c r="I82">
        <v>2048852887</v>
      </c>
      <c r="J82">
        <v>1877842560</v>
      </c>
      <c r="K82">
        <v>799998001</v>
      </c>
      <c r="L82">
        <v>1401189324</v>
      </c>
      <c r="M82">
        <v>-1953924946</v>
      </c>
      <c r="N82">
        <v>-4662464960</v>
      </c>
      <c r="O82">
        <v>-225276040</v>
      </c>
      <c r="P82">
        <v>392</v>
      </c>
      <c r="Q82" t="s">
        <v>203</v>
      </c>
    </row>
    <row r="83" spans="1:17" x14ac:dyDescent="0.3">
      <c r="A83" t="s">
        <v>17</v>
      </c>
      <c r="B83" t="str">
        <f>"600097"</f>
        <v>600097</v>
      </c>
      <c r="C83" t="s">
        <v>204</v>
      </c>
      <c r="D83" t="s">
        <v>205</v>
      </c>
      <c r="F83">
        <v>237101922</v>
      </c>
      <c r="G83">
        <v>141018926</v>
      </c>
      <c r="H83">
        <v>228647607</v>
      </c>
      <c r="I83">
        <v>-260514219</v>
      </c>
      <c r="J83">
        <v>206005516</v>
      </c>
      <c r="K83">
        <v>155834656</v>
      </c>
      <c r="L83">
        <v>62551084</v>
      </c>
      <c r="M83">
        <v>123790796</v>
      </c>
      <c r="N83">
        <v>61151026</v>
      </c>
      <c r="O83">
        <v>275799251</v>
      </c>
      <c r="P83">
        <v>116</v>
      </c>
      <c r="Q83" t="s">
        <v>206</v>
      </c>
    </row>
    <row r="84" spans="1:17" x14ac:dyDescent="0.3">
      <c r="A84" t="s">
        <v>17</v>
      </c>
      <c r="B84" t="str">
        <f>"600098"</f>
        <v>600098</v>
      </c>
      <c r="C84" t="s">
        <v>207</v>
      </c>
      <c r="D84" t="s">
        <v>41</v>
      </c>
      <c r="F84">
        <v>-1129503881</v>
      </c>
      <c r="G84">
        <v>320967312</v>
      </c>
      <c r="H84">
        <v>1178632215</v>
      </c>
      <c r="I84">
        <v>709322323</v>
      </c>
      <c r="J84">
        <v>1426064262</v>
      </c>
      <c r="K84">
        <v>1740460572</v>
      </c>
      <c r="L84">
        <v>2189226197</v>
      </c>
      <c r="M84">
        <v>2212221974</v>
      </c>
      <c r="N84">
        <v>1167887153</v>
      </c>
      <c r="O84">
        <v>1502301597</v>
      </c>
      <c r="P84">
        <v>192</v>
      </c>
      <c r="Q84" t="s">
        <v>208</v>
      </c>
    </row>
    <row r="85" spans="1:17" x14ac:dyDescent="0.3">
      <c r="A85" t="s">
        <v>17</v>
      </c>
      <c r="B85" t="str">
        <f>"600099"</f>
        <v>600099</v>
      </c>
      <c r="C85" t="s">
        <v>209</v>
      </c>
      <c r="D85" t="s">
        <v>27</v>
      </c>
      <c r="F85">
        <v>-12958633</v>
      </c>
      <c r="G85">
        <v>31072696</v>
      </c>
      <c r="H85">
        <v>-6167214</v>
      </c>
      <c r="I85">
        <v>-3864575</v>
      </c>
      <c r="J85">
        <v>-15316327</v>
      </c>
      <c r="K85">
        <v>-7967229</v>
      </c>
      <c r="L85">
        <v>3558338</v>
      </c>
      <c r="M85">
        <v>-32046108</v>
      </c>
      <c r="N85">
        <v>-35524547</v>
      </c>
      <c r="O85">
        <v>-24281545</v>
      </c>
      <c r="P85">
        <v>74</v>
      </c>
      <c r="Q85" t="s">
        <v>210</v>
      </c>
    </row>
    <row r="86" spans="1:17" x14ac:dyDescent="0.3">
      <c r="A86" t="s">
        <v>17</v>
      </c>
      <c r="B86" t="str">
        <f>"600100"</f>
        <v>600100</v>
      </c>
      <c r="C86" t="s">
        <v>211</v>
      </c>
      <c r="D86" t="s">
        <v>212</v>
      </c>
      <c r="F86">
        <v>-1472668774</v>
      </c>
      <c r="G86">
        <v>-1743189909</v>
      </c>
      <c r="H86">
        <v>1022644643</v>
      </c>
      <c r="I86">
        <v>-1715182741</v>
      </c>
      <c r="J86">
        <v>-446669680</v>
      </c>
      <c r="K86">
        <v>-3062776486</v>
      </c>
      <c r="L86">
        <v>1359371987</v>
      </c>
      <c r="M86">
        <v>-67992682</v>
      </c>
      <c r="N86">
        <v>-456671270</v>
      </c>
      <c r="O86">
        <v>-842497290</v>
      </c>
      <c r="P86">
        <v>321</v>
      </c>
      <c r="Q86" t="s">
        <v>213</v>
      </c>
    </row>
    <row r="87" spans="1:17" x14ac:dyDescent="0.3">
      <c r="A87" t="s">
        <v>17</v>
      </c>
      <c r="B87" t="str">
        <f>"600101"</f>
        <v>600101</v>
      </c>
      <c r="C87" t="s">
        <v>214</v>
      </c>
      <c r="D87" t="s">
        <v>41</v>
      </c>
      <c r="F87">
        <v>795264</v>
      </c>
      <c r="G87">
        <v>67643075</v>
      </c>
      <c r="H87">
        <v>208644415</v>
      </c>
      <c r="I87">
        <v>-11643220</v>
      </c>
      <c r="J87">
        <v>228243025</v>
      </c>
      <c r="K87">
        <v>32415295</v>
      </c>
      <c r="L87">
        <v>-31651813</v>
      </c>
      <c r="M87">
        <v>-32331399</v>
      </c>
      <c r="N87">
        <v>-37358492</v>
      </c>
      <c r="O87">
        <v>88452012</v>
      </c>
      <c r="P87">
        <v>123</v>
      </c>
      <c r="Q87" t="s">
        <v>215</v>
      </c>
    </row>
    <row r="88" spans="1:17" x14ac:dyDescent="0.3">
      <c r="A88" t="s">
        <v>17</v>
      </c>
      <c r="B88" t="str">
        <f>"600102"</f>
        <v>600102</v>
      </c>
      <c r="C88" t="s">
        <v>216</v>
      </c>
      <c r="N88">
        <v>1489237207.75</v>
      </c>
      <c r="O88">
        <v>603944204.51999998</v>
      </c>
      <c r="P88">
        <v>12</v>
      </c>
      <c r="Q88" t="s">
        <v>217</v>
      </c>
    </row>
    <row r="89" spans="1:17" x14ac:dyDescent="0.3">
      <c r="A89" t="s">
        <v>17</v>
      </c>
      <c r="B89" t="str">
        <f>"600103"</f>
        <v>600103</v>
      </c>
      <c r="C89" t="s">
        <v>218</v>
      </c>
      <c r="D89" t="s">
        <v>161</v>
      </c>
      <c r="F89">
        <v>388823342</v>
      </c>
      <c r="G89">
        <v>31113917</v>
      </c>
      <c r="H89">
        <v>-115692256</v>
      </c>
      <c r="I89">
        <v>518479789</v>
      </c>
      <c r="J89">
        <v>1743830</v>
      </c>
      <c r="K89">
        <v>-61677348</v>
      </c>
      <c r="L89">
        <v>40439539</v>
      </c>
      <c r="M89">
        <v>98782975</v>
      </c>
      <c r="N89">
        <v>47800563</v>
      </c>
      <c r="O89">
        <v>-321517898</v>
      </c>
      <c r="P89">
        <v>138</v>
      </c>
      <c r="Q89" t="s">
        <v>219</v>
      </c>
    </row>
    <row r="90" spans="1:17" x14ac:dyDescent="0.3">
      <c r="A90" t="s">
        <v>17</v>
      </c>
      <c r="B90" t="str">
        <f>"600104"</f>
        <v>600104</v>
      </c>
      <c r="C90" t="s">
        <v>220</v>
      </c>
      <c r="D90" t="s">
        <v>27</v>
      </c>
      <c r="F90">
        <v>4962227783</v>
      </c>
      <c r="G90">
        <v>23304043129</v>
      </c>
      <c r="H90">
        <v>21192591923</v>
      </c>
      <c r="I90">
        <v>-21343612275</v>
      </c>
      <c r="J90">
        <v>-357820819</v>
      </c>
      <c r="K90">
        <v>-4578341228</v>
      </c>
      <c r="L90">
        <v>11136745227</v>
      </c>
      <c r="M90">
        <v>9203718926</v>
      </c>
      <c r="N90">
        <v>5358150853</v>
      </c>
      <c r="O90">
        <v>4306349400</v>
      </c>
      <c r="P90">
        <v>11366</v>
      </c>
      <c r="Q90" t="s">
        <v>221</v>
      </c>
    </row>
    <row r="91" spans="1:17" x14ac:dyDescent="0.3">
      <c r="A91" t="s">
        <v>17</v>
      </c>
      <c r="B91" t="str">
        <f>"600105"</f>
        <v>600105</v>
      </c>
      <c r="C91" t="s">
        <v>222</v>
      </c>
      <c r="D91" t="s">
        <v>100</v>
      </c>
      <c r="F91">
        <v>-1162119485</v>
      </c>
      <c r="G91">
        <v>663127138</v>
      </c>
      <c r="H91">
        <v>22301042</v>
      </c>
      <c r="I91">
        <v>-652689702</v>
      </c>
      <c r="J91">
        <v>-121264143</v>
      </c>
      <c r="K91">
        <v>-6827501</v>
      </c>
      <c r="L91">
        <v>-39579706</v>
      </c>
      <c r="M91">
        <v>136216032</v>
      </c>
      <c r="N91">
        <v>-95868136</v>
      </c>
      <c r="O91">
        <v>7874783</v>
      </c>
      <c r="P91">
        <v>274</v>
      </c>
      <c r="Q91" t="s">
        <v>223</v>
      </c>
    </row>
    <row r="92" spans="1:17" x14ac:dyDescent="0.3">
      <c r="A92" t="s">
        <v>17</v>
      </c>
      <c r="B92" t="str">
        <f>"600106"</f>
        <v>600106</v>
      </c>
      <c r="C92" t="s">
        <v>224</v>
      </c>
      <c r="D92" t="s">
        <v>22</v>
      </c>
      <c r="F92">
        <v>194170870</v>
      </c>
      <c r="G92">
        <v>696033918</v>
      </c>
      <c r="H92">
        <v>-48983680</v>
      </c>
      <c r="I92">
        <v>108102903</v>
      </c>
      <c r="J92">
        <v>327074988</v>
      </c>
      <c r="K92">
        <v>315508068</v>
      </c>
      <c r="L92">
        <v>368781402</v>
      </c>
      <c r="M92">
        <v>279753672</v>
      </c>
      <c r="N92">
        <v>251455140</v>
      </c>
      <c r="O92">
        <v>216560501</v>
      </c>
      <c r="P92">
        <v>145</v>
      </c>
      <c r="Q92" t="s">
        <v>225</v>
      </c>
    </row>
    <row r="93" spans="1:17" x14ac:dyDescent="0.3">
      <c r="A93" t="s">
        <v>17</v>
      </c>
      <c r="B93" t="str">
        <f>"600107"</f>
        <v>600107</v>
      </c>
      <c r="C93" t="s">
        <v>226</v>
      </c>
      <c r="D93" t="s">
        <v>227</v>
      </c>
      <c r="F93">
        <v>-77066145</v>
      </c>
      <c r="G93">
        <v>69345202</v>
      </c>
      <c r="H93">
        <v>16861026</v>
      </c>
      <c r="I93">
        <v>48601965</v>
      </c>
      <c r="J93">
        <v>-135515222</v>
      </c>
      <c r="K93">
        <v>104294851</v>
      </c>
      <c r="L93">
        <v>-16055391</v>
      </c>
      <c r="M93">
        <v>550371034</v>
      </c>
      <c r="N93">
        <v>19673739</v>
      </c>
      <c r="O93">
        <v>95364032</v>
      </c>
      <c r="P93">
        <v>73</v>
      </c>
      <c r="Q93" t="s">
        <v>228</v>
      </c>
    </row>
    <row r="94" spans="1:17" x14ac:dyDescent="0.3">
      <c r="A94" t="s">
        <v>17</v>
      </c>
      <c r="B94" t="str">
        <f>"600108"</f>
        <v>600108</v>
      </c>
      <c r="C94" t="s">
        <v>229</v>
      </c>
      <c r="D94" t="s">
        <v>205</v>
      </c>
      <c r="F94">
        <v>12685609</v>
      </c>
      <c r="G94">
        <v>-3899919</v>
      </c>
      <c r="H94">
        <v>-226460572</v>
      </c>
      <c r="I94">
        <v>84848598</v>
      </c>
      <c r="J94">
        <v>-114823227</v>
      </c>
      <c r="K94">
        <v>-82385038</v>
      </c>
      <c r="L94">
        <v>-28219503</v>
      </c>
      <c r="M94">
        <v>-191769310</v>
      </c>
      <c r="N94">
        <v>-91554440</v>
      </c>
      <c r="O94">
        <v>-57296930</v>
      </c>
      <c r="P94">
        <v>120</v>
      </c>
      <c r="Q94" t="s">
        <v>230</v>
      </c>
    </row>
    <row r="95" spans="1:17" x14ac:dyDescent="0.3">
      <c r="A95" t="s">
        <v>17</v>
      </c>
      <c r="B95" t="str">
        <f>"600109"</f>
        <v>600109</v>
      </c>
      <c r="C95" t="s">
        <v>231</v>
      </c>
      <c r="D95" t="s">
        <v>75</v>
      </c>
      <c r="F95">
        <v>-3742443317</v>
      </c>
      <c r="G95">
        <v>-3526558161</v>
      </c>
      <c r="H95">
        <v>-1966198281</v>
      </c>
      <c r="I95">
        <v>2534701052</v>
      </c>
      <c r="J95">
        <v>-10571788278</v>
      </c>
      <c r="K95">
        <v>-7070442245</v>
      </c>
      <c r="L95">
        <v>13520912716</v>
      </c>
      <c r="M95">
        <v>2820095714</v>
      </c>
      <c r="N95">
        <v>-597797578</v>
      </c>
      <c r="O95">
        <v>-228234996</v>
      </c>
      <c r="P95">
        <v>1128</v>
      </c>
      <c r="Q95" t="s">
        <v>232</v>
      </c>
    </row>
    <row r="96" spans="1:17" x14ac:dyDescent="0.3">
      <c r="A96" t="s">
        <v>17</v>
      </c>
      <c r="B96" t="str">
        <f>"600110"</f>
        <v>600110</v>
      </c>
      <c r="C96" t="s">
        <v>233</v>
      </c>
      <c r="D96" t="s">
        <v>234</v>
      </c>
      <c r="F96">
        <v>482280289</v>
      </c>
      <c r="G96">
        <v>227338068</v>
      </c>
      <c r="H96">
        <v>73959316</v>
      </c>
      <c r="I96">
        <v>-40869349</v>
      </c>
      <c r="J96">
        <v>50833375</v>
      </c>
      <c r="K96">
        <v>86866117</v>
      </c>
      <c r="L96">
        <v>491660217</v>
      </c>
      <c r="M96">
        <v>186013363</v>
      </c>
      <c r="N96">
        <v>-252088341</v>
      </c>
      <c r="O96">
        <v>-420256210</v>
      </c>
      <c r="P96">
        <v>340</v>
      </c>
      <c r="Q96" t="s">
        <v>235</v>
      </c>
    </row>
    <row r="97" spans="1:17" x14ac:dyDescent="0.3">
      <c r="A97" t="s">
        <v>17</v>
      </c>
      <c r="B97" t="str">
        <f>"600111"</f>
        <v>600111</v>
      </c>
      <c r="C97" t="s">
        <v>236</v>
      </c>
      <c r="D97" t="s">
        <v>234</v>
      </c>
      <c r="F97">
        <v>3510256191</v>
      </c>
      <c r="G97">
        <v>430008300</v>
      </c>
      <c r="H97">
        <v>703937177</v>
      </c>
      <c r="I97">
        <v>-884176701</v>
      </c>
      <c r="J97">
        <v>-2022935267</v>
      </c>
      <c r="K97">
        <v>-48047816</v>
      </c>
      <c r="L97">
        <v>2568778569</v>
      </c>
      <c r="M97">
        <v>570534016</v>
      </c>
      <c r="N97">
        <v>945948771</v>
      </c>
      <c r="O97">
        <v>-1444147536</v>
      </c>
      <c r="P97">
        <v>1179</v>
      </c>
      <c r="Q97" t="s">
        <v>237</v>
      </c>
    </row>
    <row r="98" spans="1:17" x14ac:dyDescent="0.3">
      <c r="A98" t="s">
        <v>17</v>
      </c>
      <c r="B98" t="str">
        <f>"600112"</f>
        <v>600112</v>
      </c>
      <c r="C98" t="s">
        <v>238</v>
      </c>
      <c r="D98" t="s">
        <v>188</v>
      </c>
      <c r="F98">
        <v>-7435335</v>
      </c>
      <c r="G98">
        <v>-9265733</v>
      </c>
      <c r="H98">
        <v>-117821813</v>
      </c>
      <c r="I98">
        <v>-201053864</v>
      </c>
      <c r="J98">
        <v>73277233</v>
      </c>
      <c r="K98">
        <v>-4379910</v>
      </c>
      <c r="L98">
        <v>257844600</v>
      </c>
      <c r="M98">
        <v>-57905821</v>
      </c>
      <c r="N98">
        <v>-18660707</v>
      </c>
      <c r="O98">
        <v>-291171588</v>
      </c>
      <c r="P98">
        <v>56</v>
      </c>
      <c r="Q98" t="s">
        <v>239</v>
      </c>
    </row>
    <row r="99" spans="1:17" x14ac:dyDescent="0.3">
      <c r="A99" t="s">
        <v>17</v>
      </c>
      <c r="B99" t="str">
        <f>"600113"</f>
        <v>600113</v>
      </c>
      <c r="C99" t="s">
        <v>240</v>
      </c>
      <c r="D99" t="s">
        <v>120</v>
      </c>
      <c r="F99">
        <v>213570431</v>
      </c>
      <c r="G99">
        <v>130218037</v>
      </c>
      <c r="H99">
        <v>-266617235</v>
      </c>
      <c r="I99">
        <v>107874572</v>
      </c>
      <c r="J99">
        <v>157170209</v>
      </c>
      <c r="K99">
        <v>153625409</v>
      </c>
      <c r="L99">
        <v>223109121</v>
      </c>
      <c r="M99">
        <v>47329784</v>
      </c>
      <c r="N99">
        <v>-5872818</v>
      </c>
      <c r="O99">
        <v>-125991452</v>
      </c>
      <c r="P99">
        <v>136</v>
      </c>
      <c r="Q99" t="s">
        <v>241</v>
      </c>
    </row>
    <row r="100" spans="1:17" x14ac:dyDescent="0.3">
      <c r="A100" t="s">
        <v>17</v>
      </c>
      <c r="B100" t="str">
        <f>"600114"</f>
        <v>600114</v>
      </c>
      <c r="C100" t="s">
        <v>242</v>
      </c>
      <c r="D100" t="s">
        <v>78</v>
      </c>
      <c r="F100">
        <v>-169084190</v>
      </c>
      <c r="G100">
        <v>-199045779</v>
      </c>
      <c r="H100">
        <v>256591731</v>
      </c>
      <c r="I100">
        <v>21914853</v>
      </c>
      <c r="J100">
        <v>-55557929</v>
      </c>
      <c r="K100">
        <v>85622116</v>
      </c>
      <c r="L100">
        <v>21056769</v>
      </c>
      <c r="M100">
        <v>-829755</v>
      </c>
      <c r="N100">
        <v>80654206</v>
      </c>
      <c r="O100">
        <v>-16409488</v>
      </c>
      <c r="P100">
        <v>302</v>
      </c>
      <c r="Q100" t="s">
        <v>243</v>
      </c>
    </row>
    <row r="101" spans="1:17" x14ac:dyDescent="0.3">
      <c r="A101" t="s">
        <v>17</v>
      </c>
      <c r="B101" t="str">
        <f>"600115"</f>
        <v>600115</v>
      </c>
      <c r="C101" t="s">
        <v>244</v>
      </c>
      <c r="D101" t="s">
        <v>22</v>
      </c>
      <c r="F101">
        <v>-1261000000</v>
      </c>
      <c r="G101">
        <v>-5137000000</v>
      </c>
      <c r="H101">
        <v>21542000000</v>
      </c>
      <c r="I101">
        <v>1796000000</v>
      </c>
      <c r="J101">
        <v>-4070000000</v>
      </c>
      <c r="K101">
        <v>-12558000000</v>
      </c>
      <c r="L101">
        <v>-3680000000</v>
      </c>
      <c r="M101">
        <v>-11675000000</v>
      </c>
      <c r="N101">
        <v>-7748498000</v>
      </c>
      <c r="O101">
        <v>-477555000</v>
      </c>
      <c r="P101">
        <v>690</v>
      </c>
      <c r="Q101" t="s">
        <v>245</v>
      </c>
    </row>
    <row r="102" spans="1:17" x14ac:dyDescent="0.3">
      <c r="A102" t="s">
        <v>17</v>
      </c>
      <c r="B102" t="str">
        <f>"600116"</f>
        <v>600116</v>
      </c>
      <c r="C102" t="s">
        <v>246</v>
      </c>
      <c r="D102" t="s">
        <v>41</v>
      </c>
      <c r="F102">
        <v>324157210</v>
      </c>
      <c r="G102">
        <v>491584758</v>
      </c>
      <c r="H102">
        <v>52511451</v>
      </c>
      <c r="I102">
        <v>55219055</v>
      </c>
      <c r="J102">
        <v>-136575947</v>
      </c>
      <c r="K102">
        <v>-8936027</v>
      </c>
      <c r="L102">
        <v>46825038</v>
      </c>
      <c r="M102">
        <v>94822412</v>
      </c>
      <c r="N102">
        <v>59598182</v>
      </c>
      <c r="O102">
        <v>-124091569</v>
      </c>
      <c r="P102">
        <v>236</v>
      </c>
      <c r="Q102" t="s">
        <v>247</v>
      </c>
    </row>
    <row r="103" spans="1:17" x14ac:dyDescent="0.3">
      <c r="A103" t="s">
        <v>17</v>
      </c>
      <c r="B103" t="str">
        <f>"600117"</f>
        <v>600117</v>
      </c>
      <c r="C103" t="s">
        <v>248</v>
      </c>
      <c r="D103" t="s">
        <v>38</v>
      </c>
      <c r="F103">
        <v>1319643642</v>
      </c>
      <c r="G103">
        <v>827769268</v>
      </c>
      <c r="H103">
        <v>246261059</v>
      </c>
      <c r="I103">
        <v>-259910312</v>
      </c>
      <c r="J103">
        <v>204966369</v>
      </c>
      <c r="K103">
        <v>-2668902996</v>
      </c>
      <c r="L103">
        <v>-1714880529</v>
      </c>
      <c r="M103">
        <v>-743471545</v>
      </c>
      <c r="N103">
        <v>-984408976</v>
      </c>
      <c r="O103">
        <v>-908317147</v>
      </c>
      <c r="P103">
        <v>116</v>
      </c>
      <c r="Q103" t="s">
        <v>249</v>
      </c>
    </row>
    <row r="104" spans="1:17" x14ac:dyDescent="0.3">
      <c r="A104" t="s">
        <v>17</v>
      </c>
      <c r="B104" t="str">
        <f>"600118"</f>
        <v>600118</v>
      </c>
      <c r="C104" t="s">
        <v>250</v>
      </c>
      <c r="D104" t="s">
        <v>92</v>
      </c>
      <c r="F104">
        <v>1795796811</v>
      </c>
      <c r="G104">
        <v>-364369003</v>
      </c>
      <c r="H104">
        <v>-896609967</v>
      </c>
      <c r="I104">
        <v>694540433</v>
      </c>
      <c r="J104">
        <v>-653928146</v>
      </c>
      <c r="K104">
        <v>188657516</v>
      </c>
      <c r="L104">
        <v>-477776929</v>
      </c>
      <c r="M104">
        <v>-220739821</v>
      </c>
      <c r="N104">
        <v>-194982144</v>
      </c>
      <c r="O104">
        <v>60001193</v>
      </c>
      <c r="P104">
        <v>3372</v>
      </c>
      <c r="Q104" t="s">
        <v>251</v>
      </c>
    </row>
    <row r="105" spans="1:17" x14ac:dyDescent="0.3">
      <c r="A105" t="s">
        <v>17</v>
      </c>
      <c r="B105" t="str">
        <f>"600119"</f>
        <v>600119</v>
      </c>
      <c r="C105" t="s">
        <v>252</v>
      </c>
      <c r="D105" t="s">
        <v>22</v>
      </c>
      <c r="F105">
        <v>90192305</v>
      </c>
      <c r="G105">
        <v>14773920</v>
      </c>
      <c r="H105">
        <v>476465070</v>
      </c>
      <c r="I105">
        <v>180534517</v>
      </c>
      <c r="J105">
        <v>309327970</v>
      </c>
      <c r="K105">
        <v>-135040731</v>
      </c>
      <c r="L105">
        <v>-106459187</v>
      </c>
      <c r="M105">
        <v>11264239</v>
      </c>
      <c r="N105">
        <v>-85648105</v>
      </c>
      <c r="O105">
        <v>-220914142</v>
      </c>
      <c r="P105">
        <v>55</v>
      </c>
      <c r="Q105" t="s">
        <v>253</v>
      </c>
    </row>
    <row r="106" spans="1:17" x14ac:dyDescent="0.3">
      <c r="A106" t="s">
        <v>17</v>
      </c>
      <c r="B106" t="str">
        <f>"600120"</f>
        <v>600120</v>
      </c>
      <c r="C106" t="s">
        <v>254</v>
      </c>
      <c r="D106" t="s">
        <v>75</v>
      </c>
      <c r="F106">
        <v>1425566878</v>
      </c>
      <c r="G106">
        <v>-197732524</v>
      </c>
      <c r="H106">
        <v>-1436416821</v>
      </c>
      <c r="I106">
        <v>-1247339912</v>
      </c>
      <c r="J106">
        <v>734803549</v>
      </c>
      <c r="K106">
        <v>-239394691</v>
      </c>
      <c r="L106">
        <v>264822245</v>
      </c>
      <c r="M106">
        <v>-320390052</v>
      </c>
      <c r="N106">
        <v>-1131325994</v>
      </c>
      <c r="O106">
        <v>-545664305</v>
      </c>
      <c r="P106">
        <v>193</v>
      </c>
      <c r="Q106" t="s">
        <v>255</v>
      </c>
    </row>
    <row r="107" spans="1:17" x14ac:dyDescent="0.3">
      <c r="A107" t="s">
        <v>17</v>
      </c>
      <c r="B107" t="str">
        <f>"600121"</f>
        <v>600121</v>
      </c>
      <c r="C107" t="s">
        <v>256</v>
      </c>
      <c r="D107" t="s">
        <v>257</v>
      </c>
      <c r="F107">
        <v>-21987362</v>
      </c>
      <c r="G107">
        <v>-63099256</v>
      </c>
      <c r="H107">
        <v>-268684469</v>
      </c>
      <c r="I107">
        <v>715629985</v>
      </c>
      <c r="J107">
        <v>39080065</v>
      </c>
      <c r="K107">
        <v>695873883</v>
      </c>
      <c r="L107">
        <v>-304906602</v>
      </c>
      <c r="M107">
        <v>-322833178</v>
      </c>
      <c r="N107">
        <v>276483421</v>
      </c>
      <c r="O107">
        <v>-256925538</v>
      </c>
      <c r="P107">
        <v>180</v>
      </c>
      <c r="Q107" t="s">
        <v>258</v>
      </c>
    </row>
    <row r="108" spans="1:17" x14ac:dyDescent="0.3">
      <c r="A108" t="s">
        <v>17</v>
      </c>
      <c r="B108" t="str">
        <f>"600122"</f>
        <v>600122</v>
      </c>
      <c r="C108" t="s">
        <v>259</v>
      </c>
      <c r="D108" t="s">
        <v>120</v>
      </c>
      <c r="F108">
        <v>46756083</v>
      </c>
      <c r="G108">
        <v>32783818</v>
      </c>
      <c r="H108">
        <v>-647388692</v>
      </c>
      <c r="I108">
        <v>-5154456282</v>
      </c>
      <c r="J108">
        <v>704913111</v>
      </c>
      <c r="K108">
        <v>795596772</v>
      </c>
      <c r="L108">
        <v>470380389</v>
      </c>
      <c r="M108">
        <v>378106595</v>
      </c>
      <c r="N108">
        <v>421986519</v>
      </c>
      <c r="O108">
        <v>-1283061652</v>
      </c>
      <c r="P108">
        <v>96</v>
      </c>
      <c r="Q108" t="s">
        <v>260</v>
      </c>
    </row>
    <row r="109" spans="1:17" x14ac:dyDescent="0.3">
      <c r="A109" t="s">
        <v>17</v>
      </c>
      <c r="B109" t="str">
        <f>"600123"</f>
        <v>600123</v>
      </c>
      <c r="C109" t="s">
        <v>261</v>
      </c>
      <c r="D109" t="s">
        <v>257</v>
      </c>
      <c r="F109">
        <v>2496649529</v>
      </c>
      <c r="G109">
        <v>-53654966</v>
      </c>
      <c r="H109">
        <v>39306362</v>
      </c>
      <c r="I109">
        <v>1077285853</v>
      </c>
      <c r="J109">
        <v>404429229</v>
      </c>
      <c r="K109">
        <v>-752003854</v>
      </c>
      <c r="L109">
        <v>-655010745</v>
      </c>
      <c r="M109">
        <v>-1190039662</v>
      </c>
      <c r="N109">
        <v>-1586868407</v>
      </c>
      <c r="O109">
        <v>-119233018</v>
      </c>
      <c r="P109">
        <v>623</v>
      </c>
      <c r="Q109" t="s">
        <v>262</v>
      </c>
    </row>
    <row r="110" spans="1:17" x14ac:dyDescent="0.3">
      <c r="A110" t="s">
        <v>17</v>
      </c>
      <c r="B110" t="str">
        <f>"600125"</f>
        <v>600125</v>
      </c>
      <c r="C110" t="s">
        <v>263</v>
      </c>
      <c r="D110" t="s">
        <v>22</v>
      </c>
      <c r="F110">
        <v>499603194</v>
      </c>
      <c r="G110">
        <v>217132926</v>
      </c>
      <c r="H110">
        <v>300570224</v>
      </c>
      <c r="I110">
        <v>11752807</v>
      </c>
      <c r="J110">
        <v>-6936891</v>
      </c>
      <c r="K110">
        <v>187892565</v>
      </c>
      <c r="L110">
        <v>171062960</v>
      </c>
      <c r="M110">
        <v>-2770056</v>
      </c>
      <c r="N110">
        <v>-392017140</v>
      </c>
      <c r="O110">
        <v>-137353246</v>
      </c>
      <c r="P110">
        <v>203</v>
      </c>
      <c r="Q110" t="s">
        <v>264</v>
      </c>
    </row>
    <row r="111" spans="1:17" x14ac:dyDescent="0.3">
      <c r="A111" t="s">
        <v>17</v>
      </c>
      <c r="B111" t="str">
        <f>"600126"</f>
        <v>600126</v>
      </c>
      <c r="C111" t="s">
        <v>265</v>
      </c>
      <c r="D111" t="s">
        <v>38</v>
      </c>
      <c r="F111">
        <v>1256600175</v>
      </c>
      <c r="G111">
        <v>1469080668</v>
      </c>
      <c r="H111">
        <v>419272422</v>
      </c>
      <c r="I111">
        <v>1985075675</v>
      </c>
      <c r="J111">
        <v>1343622929</v>
      </c>
      <c r="K111">
        <v>2413161567</v>
      </c>
      <c r="L111">
        <v>930393070</v>
      </c>
      <c r="M111">
        <v>971060559</v>
      </c>
      <c r="N111">
        <v>-41584465</v>
      </c>
      <c r="O111">
        <v>158515794</v>
      </c>
      <c r="P111">
        <v>231</v>
      </c>
      <c r="Q111" t="s">
        <v>266</v>
      </c>
    </row>
    <row r="112" spans="1:17" x14ac:dyDescent="0.3">
      <c r="A112" t="s">
        <v>17</v>
      </c>
      <c r="B112" t="str">
        <f>"600127"</f>
        <v>600127</v>
      </c>
      <c r="C112" t="s">
        <v>267</v>
      </c>
      <c r="D112" t="s">
        <v>205</v>
      </c>
      <c r="F112">
        <v>67276036</v>
      </c>
      <c r="G112">
        <v>-149990940</v>
      </c>
      <c r="H112">
        <v>-9864863</v>
      </c>
      <c r="I112">
        <v>-122472752</v>
      </c>
      <c r="J112">
        <v>-151245805</v>
      </c>
      <c r="K112">
        <v>-208143499</v>
      </c>
      <c r="L112">
        <v>-167101724</v>
      </c>
      <c r="M112">
        <v>-100765631</v>
      </c>
      <c r="N112">
        <v>73206981</v>
      </c>
      <c r="O112">
        <v>14826114</v>
      </c>
      <c r="P112">
        <v>231</v>
      </c>
      <c r="Q112" t="s">
        <v>268</v>
      </c>
    </row>
    <row r="113" spans="1:17" x14ac:dyDescent="0.3">
      <c r="A113" t="s">
        <v>17</v>
      </c>
      <c r="B113" t="str">
        <f>"600128"</f>
        <v>600128</v>
      </c>
      <c r="C113" t="s">
        <v>269</v>
      </c>
      <c r="D113" t="s">
        <v>120</v>
      </c>
      <c r="F113">
        <v>-243992572</v>
      </c>
      <c r="G113">
        <v>371249064</v>
      </c>
      <c r="H113">
        <v>340966055</v>
      </c>
      <c r="I113">
        <v>14126079</v>
      </c>
      <c r="J113">
        <v>-143455395</v>
      </c>
      <c r="K113">
        <v>168198447</v>
      </c>
      <c r="L113">
        <v>302226329</v>
      </c>
      <c r="M113">
        <v>-209523853</v>
      </c>
      <c r="N113">
        <v>26127781</v>
      </c>
      <c r="O113">
        <v>82467019</v>
      </c>
      <c r="P113">
        <v>77</v>
      </c>
      <c r="Q113" t="s">
        <v>270</v>
      </c>
    </row>
    <row r="114" spans="1:17" x14ac:dyDescent="0.3">
      <c r="A114" t="s">
        <v>17</v>
      </c>
      <c r="B114" t="str">
        <f>"600129"</f>
        <v>600129</v>
      </c>
      <c r="C114" t="s">
        <v>271</v>
      </c>
      <c r="D114" t="s">
        <v>113</v>
      </c>
      <c r="F114">
        <v>338983804</v>
      </c>
      <c r="G114">
        <v>25375123</v>
      </c>
      <c r="H114">
        <v>-616846178</v>
      </c>
      <c r="I114">
        <v>-395197194</v>
      </c>
      <c r="J114">
        <v>-614350038</v>
      </c>
      <c r="K114">
        <v>-337487396</v>
      </c>
      <c r="L114">
        <v>-86934809</v>
      </c>
      <c r="M114">
        <v>-118577865</v>
      </c>
      <c r="N114">
        <v>-117349839</v>
      </c>
      <c r="O114">
        <v>-801443</v>
      </c>
      <c r="P114">
        <v>283</v>
      </c>
      <c r="Q114" t="s">
        <v>272</v>
      </c>
    </row>
    <row r="115" spans="1:17" x14ac:dyDescent="0.3">
      <c r="A115" t="s">
        <v>17</v>
      </c>
      <c r="B115" t="str">
        <f>"600130"</f>
        <v>600130</v>
      </c>
      <c r="C115" t="s">
        <v>273</v>
      </c>
      <c r="D115" t="s">
        <v>150</v>
      </c>
      <c r="F115">
        <v>79993953</v>
      </c>
      <c r="G115">
        <v>-96543749</v>
      </c>
      <c r="H115">
        <v>35965808</v>
      </c>
      <c r="I115">
        <v>102465728</v>
      </c>
      <c r="J115">
        <v>44541841</v>
      </c>
      <c r="K115">
        <v>-232459293</v>
      </c>
      <c r="L115">
        <v>80027387</v>
      </c>
      <c r="M115">
        <v>-134470906</v>
      </c>
      <c r="N115">
        <v>75781688</v>
      </c>
      <c r="O115">
        <v>-28048244</v>
      </c>
      <c r="P115">
        <v>93</v>
      </c>
      <c r="Q115" t="s">
        <v>274</v>
      </c>
    </row>
    <row r="116" spans="1:17" x14ac:dyDescent="0.3">
      <c r="A116" t="s">
        <v>17</v>
      </c>
      <c r="B116" t="str">
        <f>"600131"</f>
        <v>600131</v>
      </c>
      <c r="C116" t="s">
        <v>275</v>
      </c>
      <c r="D116" t="s">
        <v>212</v>
      </c>
      <c r="F116">
        <v>121371718</v>
      </c>
      <c r="G116">
        <v>169214776</v>
      </c>
      <c r="H116">
        <v>181570062</v>
      </c>
      <c r="I116">
        <v>186147900</v>
      </c>
      <c r="J116">
        <v>47427321</v>
      </c>
      <c r="K116">
        <v>145118362</v>
      </c>
      <c r="L116">
        <v>-17047308</v>
      </c>
      <c r="M116">
        <v>129365417</v>
      </c>
      <c r="N116">
        <v>103157318</v>
      </c>
      <c r="O116">
        <v>114373982</v>
      </c>
      <c r="P116">
        <v>209</v>
      </c>
      <c r="Q116" t="s">
        <v>276</v>
      </c>
    </row>
    <row r="117" spans="1:17" x14ac:dyDescent="0.3">
      <c r="A117" t="s">
        <v>17</v>
      </c>
      <c r="B117" t="str">
        <f>"600132"</f>
        <v>600132</v>
      </c>
      <c r="C117" t="s">
        <v>277</v>
      </c>
      <c r="D117" t="s">
        <v>123</v>
      </c>
      <c r="F117">
        <v>2848594514</v>
      </c>
      <c r="G117">
        <v>3170365934</v>
      </c>
      <c r="H117">
        <v>598488103</v>
      </c>
      <c r="I117">
        <v>615456909</v>
      </c>
      <c r="J117">
        <v>502432827</v>
      </c>
      <c r="K117">
        <v>410240144</v>
      </c>
      <c r="L117">
        <v>379781774</v>
      </c>
      <c r="M117">
        <v>331648397</v>
      </c>
      <c r="N117">
        <v>475255294</v>
      </c>
      <c r="O117">
        <v>61782103</v>
      </c>
      <c r="P117">
        <v>2098</v>
      </c>
      <c r="Q117" t="s">
        <v>278</v>
      </c>
    </row>
    <row r="118" spans="1:17" x14ac:dyDescent="0.3">
      <c r="A118" t="s">
        <v>17</v>
      </c>
      <c r="B118" t="str">
        <f>"600133"</f>
        <v>600133</v>
      </c>
      <c r="C118" t="s">
        <v>279</v>
      </c>
      <c r="D118" t="s">
        <v>95</v>
      </c>
      <c r="F118">
        <v>604477762</v>
      </c>
      <c r="G118">
        <v>2226356887</v>
      </c>
      <c r="H118">
        <v>-298439402</v>
      </c>
      <c r="I118">
        <v>-880180533</v>
      </c>
      <c r="J118">
        <v>682069550</v>
      </c>
      <c r="K118">
        <v>45248917</v>
      </c>
      <c r="L118">
        <v>-651765159</v>
      </c>
      <c r="M118">
        <v>-1767740204</v>
      </c>
      <c r="N118">
        <v>-563982844</v>
      </c>
      <c r="O118">
        <v>-709888988</v>
      </c>
      <c r="P118">
        <v>192</v>
      </c>
      <c r="Q118" t="s">
        <v>280</v>
      </c>
    </row>
    <row r="119" spans="1:17" x14ac:dyDescent="0.3">
      <c r="A119" t="s">
        <v>17</v>
      </c>
      <c r="B119" t="str">
        <f>"600135"</f>
        <v>600135</v>
      </c>
      <c r="C119" t="s">
        <v>281</v>
      </c>
      <c r="D119" t="s">
        <v>133</v>
      </c>
      <c r="F119">
        <v>48891097</v>
      </c>
      <c r="G119">
        <v>27094672</v>
      </c>
      <c r="H119">
        <v>132431874</v>
      </c>
      <c r="I119">
        <v>3577196</v>
      </c>
      <c r="J119">
        <v>-59188317</v>
      </c>
      <c r="K119">
        <v>-98537953</v>
      </c>
      <c r="L119">
        <v>-257675190</v>
      </c>
      <c r="M119">
        <v>-143013847</v>
      </c>
      <c r="N119">
        <v>64245301</v>
      </c>
      <c r="O119">
        <v>-64052726</v>
      </c>
      <c r="P119">
        <v>112</v>
      </c>
      <c r="Q119" t="s">
        <v>282</v>
      </c>
    </row>
    <row r="120" spans="1:17" x14ac:dyDescent="0.3">
      <c r="A120" t="s">
        <v>17</v>
      </c>
      <c r="B120" t="str">
        <f>"600136"</f>
        <v>600136</v>
      </c>
      <c r="C120" t="s">
        <v>283</v>
      </c>
      <c r="D120" t="s">
        <v>110</v>
      </c>
      <c r="F120">
        <v>127694971</v>
      </c>
      <c r="G120">
        <v>117578569</v>
      </c>
      <c r="H120">
        <v>-1289219523</v>
      </c>
      <c r="I120">
        <v>-361239223</v>
      </c>
      <c r="J120">
        <v>-880540555</v>
      </c>
      <c r="K120">
        <v>-327916947</v>
      </c>
      <c r="L120">
        <v>-80582782</v>
      </c>
      <c r="M120">
        <v>6431459</v>
      </c>
      <c r="N120">
        <v>19866961</v>
      </c>
      <c r="O120">
        <v>2225215</v>
      </c>
      <c r="P120">
        <v>136</v>
      </c>
      <c r="Q120" t="s">
        <v>284</v>
      </c>
    </row>
    <row r="121" spans="1:17" x14ac:dyDescent="0.3">
      <c r="A121" t="s">
        <v>17</v>
      </c>
      <c r="B121" t="str">
        <f>"600137"</f>
        <v>600137</v>
      </c>
      <c r="C121" t="s">
        <v>285</v>
      </c>
      <c r="D121" t="s">
        <v>227</v>
      </c>
      <c r="F121">
        <v>33544268</v>
      </c>
      <c r="G121">
        <v>19746330</v>
      </c>
      <c r="H121">
        <v>14813292</v>
      </c>
      <c r="I121">
        <v>-29731026</v>
      </c>
      <c r="J121">
        <v>22783813</v>
      </c>
      <c r="K121">
        <v>72969452</v>
      </c>
      <c r="L121">
        <v>18249201</v>
      </c>
      <c r="M121">
        <v>56756451</v>
      </c>
      <c r="N121">
        <v>16595557</v>
      </c>
      <c r="O121">
        <v>9808473</v>
      </c>
      <c r="P121">
        <v>76</v>
      </c>
      <c r="Q121" t="s">
        <v>286</v>
      </c>
    </row>
    <row r="122" spans="1:17" x14ac:dyDescent="0.3">
      <c r="A122" t="s">
        <v>17</v>
      </c>
      <c r="B122" t="str">
        <f>"600138"</f>
        <v>600138</v>
      </c>
      <c r="C122" t="s">
        <v>287</v>
      </c>
      <c r="D122" t="s">
        <v>110</v>
      </c>
      <c r="F122">
        <v>228851164</v>
      </c>
      <c r="G122">
        <v>-172028759</v>
      </c>
      <c r="H122">
        <v>-464244933</v>
      </c>
      <c r="I122">
        <v>-12120631</v>
      </c>
      <c r="J122">
        <v>-1352097357</v>
      </c>
      <c r="K122">
        <v>-172921909</v>
      </c>
      <c r="L122">
        <v>-184203535</v>
      </c>
      <c r="M122">
        <v>2804505</v>
      </c>
      <c r="N122">
        <v>59500130</v>
      </c>
      <c r="O122">
        <v>-371222356</v>
      </c>
      <c r="P122">
        <v>486</v>
      </c>
      <c r="Q122" t="s">
        <v>288</v>
      </c>
    </row>
    <row r="123" spans="1:17" x14ac:dyDescent="0.3">
      <c r="A123" t="s">
        <v>17</v>
      </c>
      <c r="B123" t="str">
        <f>"600139"</f>
        <v>600139</v>
      </c>
      <c r="C123" t="s">
        <v>289</v>
      </c>
      <c r="D123" t="s">
        <v>75</v>
      </c>
      <c r="F123">
        <v>-77696059</v>
      </c>
      <c r="G123">
        <v>116553750</v>
      </c>
      <c r="H123">
        <v>-236770653</v>
      </c>
      <c r="I123">
        <v>117764107</v>
      </c>
      <c r="J123">
        <v>60327971</v>
      </c>
      <c r="K123">
        <v>-221778406</v>
      </c>
      <c r="L123">
        <v>252629055</v>
      </c>
      <c r="M123">
        <v>-32014001</v>
      </c>
      <c r="N123">
        <v>41298654</v>
      </c>
      <c r="O123">
        <v>284254881</v>
      </c>
      <c r="P123">
        <v>90</v>
      </c>
      <c r="Q123" t="s">
        <v>290</v>
      </c>
    </row>
    <row r="124" spans="1:17" x14ac:dyDescent="0.3">
      <c r="A124" t="s">
        <v>17</v>
      </c>
      <c r="B124" t="str">
        <f>"600141"</f>
        <v>600141</v>
      </c>
      <c r="C124" t="s">
        <v>291</v>
      </c>
      <c r="D124" t="s">
        <v>133</v>
      </c>
      <c r="F124">
        <v>4035443151</v>
      </c>
      <c r="G124">
        <v>1553604121</v>
      </c>
      <c r="H124">
        <v>-17873473</v>
      </c>
      <c r="I124">
        <v>950613526</v>
      </c>
      <c r="J124">
        <v>982932200</v>
      </c>
      <c r="K124">
        <v>191042485</v>
      </c>
      <c r="L124">
        <v>-531412991</v>
      </c>
      <c r="M124">
        <v>-403647391</v>
      </c>
      <c r="N124">
        <v>-1049602282</v>
      </c>
      <c r="O124">
        <v>-2461794399</v>
      </c>
      <c r="P124">
        <v>426</v>
      </c>
      <c r="Q124" t="s">
        <v>292</v>
      </c>
    </row>
    <row r="125" spans="1:17" x14ac:dyDescent="0.3">
      <c r="A125" t="s">
        <v>17</v>
      </c>
      <c r="B125" t="str">
        <f>"600143"</f>
        <v>600143</v>
      </c>
      <c r="C125" t="s">
        <v>293</v>
      </c>
      <c r="D125" t="s">
        <v>133</v>
      </c>
      <c r="F125">
        <v>-4073474044</v>
      </c>
      <c r="G125">
        <v>3403109000</v>
      </c>
      <c r="H125">
        <v>1435288092</v>
      </c>
      <c r="I125">
        <v>-829608188</v>
      </c>
      <c r="J125">
        <v>-988714044</v>
      </c>
      <c r="K125">
        <v>-1062907484</v>
      </c>
      <c r="L125">
        <v>-31291391</v>
      </c>
      <c r="M125">
        <v>115862257</v>
      </c>
      <c r="N125">
        <v>-119331610</v>
      </c>
      <c r="O125">
        <v>-354573481</v>
      </c>
      <c r="P125">
        <v>1349</v>
      </c>
      <c r="Q125" t="s">
        <v>294</v>
      </c>
    </row>
    <row r="126" spans="1:17" x14ac:dyDescent="0.3">
      <c r="A126" t="s">
        <v>17</v>
      </c>
      <c r="B126" t="str">
        <f>"600145"</f>
        <v>600145</v>
      </c>
      <c r="C126" t="s">
        <v>295</v>
      </c>
      <c r="D126" t="s">
        <v>120</v>
      </c>
      <c r="G126">
        <v>32098667</v>
      </c>
      <c r="H126">
        <v>17705</v>
      </c>
      <c r="I126">
        <v>-823705</v>
      </c>
      <c r="J126">
        <v>-344181468</v>
      </c>
      <c r="K126">
        <v>-316203295</v>
      </c>
      <c r="L126">
        <v>-5148156</v>
      </c>
      <c r="M126">
        <v>208561</v>
      </c>
      <c r="N126">
        <v>-14472444</v>
      </c>
      <c r="O126">
        <v>-21401844</v>
      </c>
      <c r="P126">
        <v>46</v>
      </c>
      <c r="Q126" t="s">
        <v>296</v>
      </c>
    </row>
    <row r="127" spans="1:17" x14ac:dyDescent="0.3">
      <c r="A127" t="s">
        <v>17</v>
      </c>
      <c r="B127" t="str">
        <f>"600146"</f>
        <v>600146</v>
      </c>
      <c r="C127" t="s">
        <v>297</v>
      </c>
      <c r="D127" t="s">
        <v>227</v>
      </c>
      <c r="G127">
        <v>-60660487</v>
      </c>
      <c r="H127">
        <v>-390366137</v>
      </c>
      <c r="I127">
        <v>-655153654</v>
      </c>
      <c r="J127">
        <v>31451595</v>
      </c>
      <c r="K127">
        <v>-93488864</v>
      </c>
      <c r="L127">
        <v>-49630349</v>
      </c>
      <c r="M127">
        <v>-30926438</v>
      </c>
      <c r="N127">
        <v>-24274491</v>
      </c>
      <c r="O127">
        <v>-12922191</v>
      </c>
      <c r="P127">
        <v>70</v>
      </c>
      <c r="Q127" t="s">
        <v>298</v>
      </c>
    </row>
    <row r="128" spans="1:17" x14ac:dyDescent="0.3">
      <c r="A128" t="s">
        <v>17</v>
      </c>
      <c r="B128" t="str">
        <f>"600148"</f>
        <v>600148</v>
      </c>
      <c r="C128" t="s">
        <v>299</v>
      </c>
      <c r="D128" t="s">
        <v>27</v>
      </c>
      <c r="F128">
        <v>-9984848</v>
      </c>
      <c r="G128">
        <v>46707831</v>
      </c>
      <c r="H128">
        <v>93675101</v>
      </c>
      <c r="I128">
        <v>15802736</v>
      </c>
      <c r="J128">
        <v>-17051599</v>
      </c>
      <c r="K128">
        <v>35966512</v>
      </c>
      <c r="L128">
        <v>25365080</v>
      </c>
      <c r="M128">
        <v>52409537</v>
      </c>
      <c r="N128">
        <v>45413787</v>
      </c>
      <c r="O128">
        <v>25118567</v>
      </c>
      <c r="P128">
        <v>75</v>
      </c>
      <c r="Q128" t="s">
        <v>300</v>
      </c>
    </row>
    <row r="129" spans="1:17" x14ac:dyDescent="0.3">
      <c r="A129" t="s">
        <v>17</v>
      </c>
      <c r="B129" t="str">
        <f>"600149"</f>
        <v>600149</v>
      </c>
      <c r="C129" t="s">
        <v>301</v>
      </c>
      <c r="D129" t="s">
        <v>41</v>
      </c>
      <c r="F129">
        <v>21630482</v>
      </c>
      <c r="G129">
        <v>2361672</v>
      </c>
      <c r="H129">
        <v>-24392687</v>
      </c>
      <c r="I129">
        <v>-9316704</v>
      </c>
      <c r="J129">
        <v>22281920</v>
      </c>
      <c r="K129">
        <v>31588600</v>
      </c>
      <c r="L129">
        <v>-31372393</v>
      </c>
      <c r="M129">
        <v>30609981</v>
      </c>
      <c r="N129">
        <v>-2759576</v>
      </c>
      <c r="O129">
        <v>-35778082</v>
      </c>
      <c r="P129">
        <v>44</v>
      </c>
      <c r="Q129" t="s">
        <v>302</v>
      </c>
    </row>
    <row r="130" spans="1:17" x14ac:dyDescent="0.3">
      <c r="A130" t="s">
        <v>17</v>
      </c>
      <c r="B130" t="str">
        <f>"600150"</f>
        <v>600150</v>
      </c>
      <c r="C130" t="s">
        <v>303</v>
      </c>
      <c r="D130" t="s">
        <v>92</v>
      </c>
      <c r="F130">
        <v>870571028</v>
      </c>
      <c r="G130">
        <v>-1112985561</v>
      </c>
      <c r="H130">
        <v>-172690618</v>
      </c>
      <c r="I130">
        <v>2161208287</v>
      </c>
      <c r="J130">
        <v>7757674399</v>
      </c>
      <c r="K130">
        <v>-4060116488</v>
      </c>
      <c r="L130">
        <v>-4738540077</v>
      </c>
      <c r="M130">
        <v>-1505770618</v>
      </c>
      <c r="N130">
        <v>-3132708260</v>
      </c>
      <c r="O130">
        <v>-4338515867</v>
      </c>
      <c r="P130">
        <v>469</v>
      </c>
      <c r="Q130" t="s">
        <v>304</v>
      </c>
    </row>
    <row r="131" spans="1:17" x14ac:dyDescent="0.3">
      <c r="A131" t="s">
        <v>17</v>
      </c>
      <c r="B131" t="str">
        <f>"600151"</f>
        <v>600151</v>
      </c>
      <c r="C131" t="s">
        <v>305</v>
      </c>
      <c r="D131" t="s">
        <v>188</v>
      </c>
      <c r="F131">
        <v>241932748</v>
      </c>
      <c r="G131">
        <v>-196069179</v>
      </c>
      <c r="H131">
        <v>14471706</v>
      </c>
      <c r="I131">
        <v>-1401506176</v>
      </c>
      <c r="J131">
        <v>-1451076609</v>
      </c>
      <c r="K131">
        <v>-259507836</v>
      </c>
      <c r="L131">
        <v>-2017665285</v>
      </c>
      <c r="M131">
        <v>-1503831958</v>
      </c>
      <c r="N131">
        <v>-807527006</v>
      </c>
      <c r="O131">
        <v>-1416194268</v>
      </c>
      <c r="P131">
        <v>165</v>
      </c>
      <c r="Q131" t="s">
        <v>306</v>
      </c>
    </row>
    <row r="132" spans="1:17" x14ac:dyDescent="0.3">
      <c r="A132" t="s">
        <v>17</v>
      </c>
      <c r="B132" t="str">
        <f>"600152"</f>
        <v>600152</v>
      </c>
      <c r="C132" t="s">
        <v>307</v>
      </c>
      <c r="D132" t="s">
        <v>188</v>
      </c>
      <c r="F132">
        <v>-526882614</v>
      </c>
      <c r="G132">
        <v>-156693667</v>
      </c>
      <c r="H132">
        <v>-172866665</v>
      </c>
      <c r="I132">
        <v>-104860575</v>
      </c>
      <c r="J132">
        <v>-107908741</v>
      </c>
      <c r="K132">
        <v>25750260</v>
      </c>
      <c r="L132">
        <v>133338687</v>
      </c>
      <c r="M132">
        <v>-16926199</v>
      </c>
      <c r="N132">
        <v>98114714</v>
      </c>
      <c r="O132">
        <v>-139622821</v>
      </c>
      <c r="P132">
        <v>147</v>
      </c>
      <c r="Q132" t="s">
        <v>308</v>
      </c>
    </row>
    <row r="133" spans="1:17" x14ac:dyDescent="0.3">
      <c r="A133" t="s">
        <v>17</v>
      </c>
      <c r="B133" t="str">
        <f>"600153"</f>
        <v>600153</v>
      </c>
      <c r="C133" t="s">
        <v>309</v>
      </c>
      <c r="D133" t="s">
        <v>22</v>
      </c>
      <c r="F133">
        <v>-161892677</v>
      </c>
      <c r="G133">
        <v>9242080038</v>
      </c>
      <c r="H133">
        <v>10673677436</v>
      </c>
      <c r="I133">
        <v>4616998214</v>
      </c>
      <c r="J133">
        <v>-19084311050</v>
      </c>
      <c r="K133">
        <v>-5320860132</v>
      </c>
      <c r="L133">
        <v>5607707003</v>
      </c>
      <c r="M133">
        <v>-1079256733</v>
      </c>
      <c r="N133">
        <v>-2466928586</v>
      </c>
      <c r="O133">
        <v>4121760115</v>
      </c>
      <c r="P133">
        <v>2155</v>
      </c>
      <c r="Q133" t="s">
        <v>310</v>
      </c>
    </row>
    <row r="134" spans="1:17" x14ac:dyDescent="0.3">
      <c r="A134" t="s">
        <v>17</v>
      </c>
      <c r="B134" t="str">
        <f>"600155"</f>
        <v>600155</v>
      </c>
      <c r="C134" t="s">
        <v>311</v>
      </c>
      <c r="D134" t="s">
        <v>75</v>
      </c>
      <c r="F134">
        <v>2829386333</v>
      </c>
      <c r="G134">
        <v>1702965195</v>
      </c>
      <c r="H134">
        <v>260027106</v>
      </c>
      <c r="I134">
        <v>-1548888275</v>
      </c>
      <c r="J134">
        <v>-3840619780</v>
      </c>
      <c r="K134">
        <v>-7444029172</v>
      </c>
      <c r="L134">
        <v>-66439858</v>
      </c>
      <c r="M134">
        <v>-124412411</v>
      </c>
      <c r="N134">
        <v>-376030798</v>
      </c>
      <c r="O134">
        <v>-51665458</v>
      </c>
      <c r="P134">
        <v>630</v>
      </c>
      <c r="Q134" t="s">
        <v>312</v>
      </c>
    </row>
    <row r="135" spans="1:17" x14ac:dyDescent="0.3">
      <c r="A135" t="s">
        <v>17</v>
      </c>
      <c r="B135" t="str">
        <f>"600156"</f>
        <v>600156</v>
      </c>
      <c r="C135" t="s">
        <v>313</v>
      </c>
      <c r="D135" t="s">
        <v>227</v>
      </c>
      <c r="F135">
        <v>-90708979</v>
      </c>
      <c r="G135">
        <v>-73252690</v>
      </c>
      <c r="H135">
        <v>-72589722</v>
      </c>
      <c r="I135">
        <v>-9408180</v>
      </c>
      <c r="J135">
        <v>6330603</v>
      </c>
      <c r="K135">
        <v>43807336</v>
      </c>
      <c r="L135">
        <v>48012366</v>
      </c>
      <c r="M135">
        <v>-113618758</v>
      </c>
      <c r="N135">
        <v>-88501706</v>
      </c>
      <c r="O135">
        <v>35108962</v>
      </c>
      <c r="P135">
        <v>75</v>
      </c>
      <c r="Q135" t="s">
        <v>314</v>
      </c>
    </row>
    <row r="136" spans="1:17" x14ac:dyDescent="0.3">
      <c r="A136" t="s">
        <v>17</v>
      </c>
      <c r="B136" t="str">
        <f>"600157"</f>
        <v>600157</v>
      </c>
      <c r="C136" t="s">
        <v>315</v>
      </c>
      <c r="D136" t="s">
        <v>257</v>
      </c>
      <c r="F136">
        <v>4429211334</v>
      </c>
      <c r="G136">
        <v>3389382417</v>
      </c>
      <c r="H136">
        <v>2904599201</v>
      </c>
      <c r="I136">
        <v>2223924422</v>
      </c>
      <c r="J136">
        <v>406218047</v>
      </c>
      <c r="K136">
        <v>-2478072893</v>
      </c>
      <c r="L136">
        <v>675030117</v>
      </c>
      <c r="M136">
        <v>1375072385</v>
      </c>
      <c r="N136">
        <v>461698256</v>
      </c>
      <c r="O136">
        <v>-338541186</v>
      </c>
      <c r="P136">
        <v>226</v>
      </c>
      <c r="Q136" t="s">
        <v>316</v>
      </c>
    </row>
    <row r="137" spans="1:17" x14ac:dyDescent="0.3">
      <c r="A137" t="s">
        <v>17</v>
      </c>
      <c r="B137" t="str">
        <f>"600158"</f>
        <v>600158</v>
      </c>
      <c r="C137" t="s">
        <v>317</v>
      </c>
      <c r="D137" t="s">
        <v>110</v>
      </c>
      <c r="F137">
        <v>-354723383</v>
      </c>
      <c r="G137">
        <v>56017249</v>
      </c>
      <c r="H137">
        <v>-140270105</v>
      </c>
      <c r="I137">
        <v>420660379</v>
      </c>
      <c r="J137">
        <v>213230708</v>
      </c>
      <c r="K137">
        <v>220048646</v>
      </c>
      <c r="L137">
        <v>14735743</v>
      </c>
      <c r="M137">
        <v>-42333478</v>
      </c>
      <c r="N137">
        <v>-42189143</v>
      </c>
      <c r="O137">
        <v>-108611477</v>
      </c>
      <c r="P137">
        <v>166</v>
      </c>
      <c r="Q137" t="s">
        <v>318</v>
      </c>
    </row>
    <row r="138" spans="1:17" x14ac:dyDescent="0.3">
      <c r="A138" t="s">
        <v>17</v>
      </c>
      <c r="B138" t="str">
        <f>"600159"</f>
        <v>600159</v>
      </c>
      <c r="C138" t="s">
        <v>319</v>
      </c>
      <c r="D138" t="s">
        <v>30</v>
      </c>
      <c r="F138">
        <v>229132197</v>
      </c>
      <c r="G138">
        <v>479249053</v>
      </c>
      <c r="H138">
        <v>526678427</v>
      </c>
      <c r="I138">
        <v>-83184065</v>
      </c>
      <c r="J138">
        <v>-349366055</v>
      </c>
      <c r="K138">
        <v>-225681575</v>
      </c>
      <c r="L138">
        <v>-74495295</v>
      </c>
      <c r="M138">
        <v>293543151</v>
      </c>
      <c r="N138">
        <v>1043656743</v>
      </c>
      <c r="O138">
        <v>-384959829</v>
      </c>
      <c r="P138">
        <v>87</v>
      </c>
      <c r="Q138" t="s">
        <v>320</v>
      </c>
    </row>
    <row r="139" spans="1:17" x14ac:dyDescent="0.3">
      <c r="A139" t="s">
        <v>17</v>
      </c>
      <c r="B139" t="str">
        <f>"600160"</f>
        <v>600160</v>
      </c>
      <c r="C139" t="s">
        <v>321</v>
      </c>
      <c r="D139" t="s">
        <v>133</v>
      </c>
      <c r="F139">
        <v>-428570665</v>
      </c>
      <c r="G139">
        <v>-878569583</v>
      </c>
      <c r="H139">
        <v>145855551</v>
      </c>
      <c r="I139">
        <v>2147562919</v>
      </c>
      <c r="J139">
        <v>161392503</v>
      </c>
      <c r="K139">
        <v>-40890802</v>
      </c>
      <c r="L139">
        <v>81216708</v>
      </c>
      <c r="M139">
        <v>-694102060</v>
      </c>
      <c r="N139">
        <v>-69884979</v>
      </c>
      <c r="O139">
        <v>-902685776</v>
      </c>
      <c r="P139">
        <v>471</v>
      </c>
      <c r="Q139" t="s">
        <v>322</v>
      </c>
    </row>
    <row r="140" spans="1:17" x14ac:dyDescent="0.3">
      <c r="A140" t="s">
        <v>17</v>
      </c>
      <c r="B140" t="str">
        <f>"600161"</f>
        <v>600161</v>
      </c>
      <c r="C140" t="s">
        <v>323</v>
      </c>
      <c r="D140" t="s">
        <v>113</v>
      </c>
      <c r="F140">
        <v>-142835709</v>
      </c>
      <c r="G140">
        <v>93813568</v>
      </c>
      <c r="H140">
        <v>133113220</v>
      </c>
      <c r="I140">
        <v>384298001</v>
      </c>
      <c r="J140">
        <v>78741138</v>
      </c>
      <c r="K140">
        <v>219040448</v>
      </c>
      <c r="L140">
        <v>173039365</v>
      </c>
      <c r="M140">
        <v>13835129</v>
      </c>
      <c r="N140">
        <v>20732474</v>
      </c>
      <c r="O140">
        <v>-125627948</v>
      </c>
      <c r="P140">
        <v>1406</v>
      </c>
      <c r="Q140" t="s">
        <v>324</v>
      </c>
    </row>
    <row r="141" spans="1:17" x14ac:dyDescent="0.3">
      <c r="A141" t="s">
        <v>17</v>
      </c>
      <c r="B141" t="str">
        <f>"600162"</f>
        <v>600162</v>
      </c>
      <c r="C141" t="s">
        <v>325</v>
      </c>
      <c r="D141" t="s">
        <v>30</v>
      </c>
      <c r="F141">
        <v>503128514</v>
      </c>
      <c r="G141">
        <v>595819156</v>
      </c>
      <c r="H141">
        <v>3319782366</v>
      </c>
      <c r="I141">
        <v>-2795812648</v>
      </c>
      <c r="J141">
        <v>618708208</v>
      </c>
      <c r="K141">
        <v>1902184980</v>
      </c>
      <c r="L141">
        <v>-287703861</v>
      </c>
      <c r="M141">
        <v>-462938505</v>
      </c>
      <c r="N141">
        <v>-604585069</v>
      </c>
      <c r="O141">
        <v>1487984629</v>
      </c>
      <c r="P141">
        <v>170</v>
      </c>
      <c r="Q141" t="s">
        <v>326</v>
      </c>
    </row>
    <row r="142" spans="1:17" x14ac:dyDescent="0.3">
      <c r="A142" t="s">
        <v>17</v>
      </c>
      <c r="B142" t="str">
        <f>"600163"</f>
        <v>600163</v>
      </c>
      <c r="C142" t="s">
        <v>327</v>
      </c>
      <c r="D142" t="s">
        <v>41</v>
      </c>
      <c r="F142">
        <v>257645323</v>
      </c>
      <c r="G142">
        <v>-95074312</v>
      </c>
      <c r="H142">
        <v>-62865041</v>
      </c>
      <c r="I142">
        <v>-230590755</v>
      </c>
      <c r="J142">
        <v>84738185</v>
      </c>
      <c r="K142">
        <v>-29488347</v>
      </c>
      <c r="L142">
        <v>31178201</v>
      </c>
      <c r="M142">
        <v>-49632291</v>
      </c>
      <c r="N142">
        <v>-261011063</v>
      </c>
      <c r="O142">
        <v>360509055</v>
      </c>
      <c r="P142">
        <v>219</v>
      </c>
      <c r="Q142" t="s">
        <v>328</v>
      </c>
    </row>
    <row r="143" spans="1:17" x14ac:dyDescent="0.3">
      <c r="A143" t="s">
        <v>17</v>
      </c>
      <c r="B143" t="str">
        <f>"600165"</f>
        <v>600165</v>
      </c>
      <c r="C143" t="s">
        <v>329</v>
      </c>
      <c r="D143" t="s">
        <v>133</v>
      </c>
      <c r="F143">
        <v>-255723596</v>
      </c>
      <c r="G143">
        <v>-773960001</v>
      </c>
      <c r="H143">
        <v>-546869761</v>
      </c>
      <c r="I143">
        <v>-253800294</v>
      </c>
      <c r="J143">
        <v>88245384</v>
      </c>
      <c r="K143">
        <v>-200313188</v>
      </c>
      <c r="L143">
        <v>-268274916</v>
      </c>
      <c r="M143">
        <v>-265988567</v>
      </c>
      <c r="N143">
        <v>-47752809</v>
      </c>
      <c r="O143">
        <v>-172449690</v>
      </c>
      <c r="P143">
        <v>70</v>
      </c>
      <c r="Q143" t="s">
        <v>330</v>
      </c>
    </row>
    <row r="144" spans="1:17" x14ac:dyDescent="0.3">
      <c r="A144" t="s">
        <v>17</v>
      </c>
      <c r="B144" t="str">
        <f>"600166"</f>
        <v>600166</v>
      </c>
      <c r="C144" t="s">
        <v>331</v>
      </c>
      <c r="D144" t="s">
        <v>27</v>
      </c>
      <c r="F144">
        <v>-367536118</v>
      </c>
      <c r="G144">
        <v>8340265385</v>
      </c>
      <c r="H144">
        <v>2449209812</v>
      </c>
      <c r="I144">
        <v>-2915239069</v>
      </c>
      <c r="J144">
        <v>-5397841410</v>
      </c>
      <c r="K144">
        <v>-3573953410</v>
      </c>
      <c r="L144">
        <v>-1232046701</v>
      </c>
      <c r="M144">
        <v>-1011792205</v>
      </c>
      <c r="N144">
        <v>-918768315</v>
      </c>
      <c r="O144">
        <v>-1169219487</v>
      </c>
      <c r="P144">
        <v>439</v>
      </c>
      <c r="Q144" t="s">
        <v>332</v>
      </c>
    </row>
    <row r="145" spans="1:17" x14ac:dyDescent="0.3">
      <c r="A145" t="s">
        <v>17</v>
      </c>
      <c r="B145" t="str">
        <f>"600167"</f>
        <v>600167</v>
      </c>
      <c r="C145" t="s">
        <v>333</v>
      </c>
      <c r="D145" t="s">
        <v>41</v>
      </c>
      <c r="F145">
        <v>1370460788</v>
      </c>
      <c r="G145">
        <v>571663469</v>
      </c>
      <c r="H145">
        <v>1094282879</v>
      </c>
      <c r="I145">
        <v>615345374</v>
      </c>
      <c r="J145">
        <v>777745744</v>
      </c>
      <c r="K145">
        <v>505716113</v>
      </c>
      <c r="L145">
        <v>321438654</v>
      </c>
      <c r="M145">
        <v>264680874</v>
      </c>
      <c r="N145">
        <v>433939747</v>
      </c>
      <c r="O145">
        <v>198386386</v>
      </c>
      <c r="P145">
        <v>39748</v>
      </c>
      <c r="Q145" t="s">
        <v>334</v>
      </c>
    </row>
    <row r="146" spans="1:17" x14ac:dyDescent="0.3">
      <c r="A146" t="s">
        <v>17</v>
      </c>
      <c r="B146" t="str">
        <f>"600168"</f>
        <v>600168</v>
      </c>
      <c r="C146" t="s">
        <v>335</v>
      </c>
      <c r="D146" t="s">
        <v>33</v>
      </c>
      <c r="F146">
        <v>-1557185083</v>
      </c>
      <c r="G146">
        <v>-880658103</v>
      </c>
      <c r="H146">
        <v>-675095402</v>
      </c>
      <c r="I146">
        <v>-912743624</v>
      </c>
      <c r="J146">
        <v>-1139699398</v>
      </c>
      <c r="K146">
        <v>-262306994</v>
      </c>
      <c r="L146">
        <v>-95880208</v>
      </c>
      <c r="M146">
        <v>95985820</v>
      </c>
      <c r="N146">
        <v>326125722</v>
      </c>
      <c r="O146">
        <v>106688831</v>
      </c>
      <c r="P146">
        <v>168</v>
      </c>
      <c r="Q146" t="s">
        <v>336</v>
      </c>
    </row>
    <row r="147" spans="1:17" x14ac:dyDescent="0.3">
      <c r="A147" t="s">
        <v>17</v>
      </c>
      <c r="B147" t="str">
        <f>"600169"</f>
        <v>600169</v>
      </c>
      <c r="C147" t="s">
        <v>337</v>
      </c>
      <c r="D147" t="s">
        <v>78</v>
      </c>
      <c r="F147">
        <v>-117935892</v>
      </c>
      <c r="G147">
        <v>-200159610</v>
      </c>
      <c r="H147">
        <v>-332566001</v>
      </c>
      <c r="I147">
        <v>10925446</v>
      </c>
      <c r="J147">
        <v>893693102</v>
      </c>
      <c r="K147">
        <v>-2160524898</v>
      </c>
      <c r="L147">
        <v>-1165187498</v>
      </c>
      <c r="M147">
        <v>-2471766808</v>
      </c>
      <c r="N147">
        <v>-1713004107</v>
      </c>
      <c r="O147">
        <v>-2125051255</v>
      </c>
      <c r="P147">
        <v>133</v>
      </c>
      <c r="Q147" t="s">
        <v>338</v>
      </c>
    </row>
    <row r="148" spans="1:17" x14ac:dyDescent="0.3">
      <c r="A148" t="s">
        <v>17</v>
      </c>
      <c r="B148" t="str">
        <f>"600170"</f>
        <v>600170</v>
      </c>
      <c r="C148" t="s">
        <v>339</v>
      </c>
      <c r="D148" t="s">
        <v>95</v>
      </c>
      <c r="F148">
        <v>6870538466</v>
      </c>
      <c r="G148">
        <v>-2110637935</v>
      </c>
      <c r="H148">
        <v>2338131441</v>
      </c>
      <c r="I148">
        <v>415327623</v>
      </c>
      <c r="J148">
        <v>4420422666</v>
      </c>
      <c r="K148">
        <v>1903729807</v>
      </c>
      <c r="L148">
        <v>5710073762</v>
      </c>
      <c r="M148">
        <v>-2426411637</v>
      </c>
      <c r="N148">
        <v>1056710951</v>
      </c>
      <c r="O148">
        <v>3508264331</v>
      </c>
      <c r="P148">
        <v>698</v>
      </c>
      <c r="Q148" t="s">
        <v>340</v>
      </c>
    </row>
    <row r="149" spans="1:17" x14ac:dyDescent="0.3">
      <c r="A149" t="s">
        <v>17</v>
      </c>
      <c r="B149" t="str">
        <f>"600171"</f>
        <v>600171</v>
      </c>
      <c r="C149" t="s">
        <v>341</v>
      </c>
      <c r="D149" t="s">
        <v>150</v>
      </c>
      <c r="F149">
        <v>375339737</v>
      </c>
      <c r="G149">
        <v>58014059</v>
      </c>
      <c r="H149">
        <v>111744722</v>
      </c>
      <c r="I149">
        <v>109405809</v>
      </c>
      <c r="J149">
        <v>14869553</v>
      </c>
      <c r="K149">
        <v>55669885</v>
      </c>
      <c r="L149">
        <v>46706880</v>
      </c>
      <c r="M149">
        <v>-20454651</v>
      </c>
      <c r="N149">
        <v>46471728</v>
      </c>
      <c r="O149">
        <v>-24631787</v>
      </c>
      <c r="P149">
        <v>574</v>
      </c>
      <c r="Q149" t="s">
        <v>342</v>
      </c>
    </row>
    <row r="150" spans="1:17" x14ac:dyDescent="0.3">
      <c r="A150" t="s">
        <v>17</v>
      </c>
      <c r="B150" t="str">
        <f>"600172"</f>
        <v>600172</v>
      </c>
      <c r="C150" t="s">
        <v>343</v>
      </c>
      <c r="D150" t="s">
        <v>78</v>
      </c>
      <c r="F150">
        <v>366988234</v>
      </c>
      <c r="G150">
        <v>432141137</v>
      </c>
      <c r="H150">
        <v>-965086304</v>
      </c>
      <c r="I150">
        <v>-531925146</v>
      </c>
      <c r="J150">
        <v>-1226439810</v>
      </c>
      <c r="K150">
        <v>-794790998</v>
      </c>
      <c r="L150">
        <v>-947558553</v>
      </c>
      <c r="M150">
        <v>-155686859</v>
      </c>
      <c r="N150">
        <v>-141197173</v>
      </c>
      <c r="O150">
        <v>-304014689</v>
      </c>
      <c r="P150">
        <v>325</v>
      </c>
      <c r="Q150" t="s">
        <v>344</v>
      </c>
    </row>
    <row r="151" spans="1:17" x14ac:dyDescent="0.3">
      <c r="A151" t="s">
        <v>17</v>
      </c>
      <c r="B151" t="str">
        <f>"600173"</f>
        <v>600173</v>
      </c>
      <c r="C151" t="s">
        <v>345</v>
      </c>
      <c r="D151" t="s">
        <v>30</v>
      </c>
      <c r="F151">
        <v>149373851</v>
      </c>
      <c r="G151">
        <v>-96539832</v>
      </c>
      <c r="H151">
        <v>1641394912</v>
      </c>
      <c r="I151">
        <v>260773413</v>
      </c>
      <c r="J151">
        <v>1447077482</v>
      </c>
      <c r="K151">
        <v>865502176</v>
      </c>
      <c r="L151">
        <v>471200965</v>
      </c>
      <c r="M151">
        <v>448939852</v>
      </c>
      <c r="N151">
        <v>-64560744</v>
      </c>
      <c r="O151">
        <v>-26479284</v>
      </c>
      <c r="P151">
        <v>302</v>
      </c>
      <c r="Q151" t="s">
        <v>346</v>
      </c>
    </row>
    <row r="152" spans="1:17" x14ac:dyDescent="0.3">
      <c r="A152" t="s">
        <v>17</v>
      </c>
      <c r="B152" t="str">
        <f>"600175"</f>
        <v>600175</v>
      </c>
      <c r="C152" t="s">
        <v>347</v>
      </c>
      <c r="H152">
        <v>-377427468</v>
      </c>
      <c r="I152">
        <v>-968541293</v>
      </c>
      <c r="J152">
        <v>671694257</v>
      </c>
      <c r="K152">
        <v>571426006</v>
      </c>
      <c r="L152">
        <v>-2696943063</v>
      </c>
      <c r="M152">
        <v>-1642275277</v>
      </c>
      <c r="N152">
        <v>-308560382</v>
      </c>
      <c r="O152">
        <v>-113223260</v>
      </c>
      <c r="P152">
        <v>58</v>
      </c>
      <c r="Q152" t="s">
        <v>348</v>
      </c>
    </row>
    <row r="153" spans="1:17" x14ac:dyDescent="0.3">
      <c r="A153" t="s">
        <v>17</v>
      </c>
      <c r="B153" t="str">
        <f>"600176"</f>
        <v>600176</v>
      </c>
      <c r="C153" t="s">
        <v>349</v>
      </c>
      <c r="D153" t="s">
        <v>350</v>
      </c>
      <c r="F153">
        <v>3387228483</v>
      </c>
      <c r="G153">
        <v>568388133</v>
      </c>
      <c r="H153">
        <v>-2138458753</v>
      </c>
      <c r="I153">
        <v>-2191473952</v>
      </c>
      <c r="J153">
        <v>1770408910</v>
      </c>
      <c r="K153">
        <v>1443534945</v>
      </c>
      <c r="L153">
        <v>1547234840</v>
      </c>
      <c r="M153">
        <v>176986014</v>
      </c>
      <c r="N153">
        <v>130621604</v>
      </c>
      <c r="O153">
        <v>174623904</v>
      </c>
      <c r="P153">
        <v>2780</v>
      </c>
      <c r="Q153" t="s">
        <v>351</v>
      </c>
    </row>
    <row r="154" spans="1:17" x14ac:dyDescent="0.3">
      <c r="A154" t="s">
        <v>17</v>
      </c>
      <c r="B154" t="str">
        <f>"600177"</f>
        <v>600177</v>
      </c>
      <c r="C154" t="s">
        <v>352</v>
      </c>
      <c r="D154" t="s">
        <v>227</v>
      </c>
      <c r="F154">
        <v>-1596488940</v>
      </c>
      <c r="G154">
        <v>288531004</v>
      </c>
      <c r="H154">
        <v>2115458005</v>
      </c>
      <c r="I154">
        <v>2095684986</v>
      </c>
      <c r="J154">
        <v>2453866715</v>
      </c>
      <c r="K154">
        <v>-527076901</v>
      </c>
      <c r="L154">
        <v>1812705202</v>
      </c>
      <c r="M154">
        <v>2989459908</v>
      </c>
      <c r="N154">
        <v>5917215606</v>
      </c>
      <c r="O154">
        <v>5077702041</v>
      </c>
      <c r="P154">
        <v>1574</v>
      </c>
      <c r="Q154" t="s">
        <v>353</v>
      </c>
    </row>
    <row r="155" spans="1:17" x14ac:dyDescent="0.3">
      <c r="A155" t="s">
        <v>17</v>
      </c>
      <c r="B155" t="str">
        <f>"600178"</f>
        <v>600178</v>
      </c>
      <c r="C155" t="s">
        <v>354</v>
      </c>
      <c r="D155" t="s">
        <v>27</v>
      </c>
      <c r="F155">
        <v>328255310</v>
      </c>
      <c r="G155">
        <v>33143531</v>
      </c>
      <c r="H155">
        <v>-7811498</v>
      </c>
      <c r="I155">
        <v>176151776</v>
      </c>
      <c r="J155">
        <v>-12095261</v>
      </c>
      <c r="K155">
        <v>-178652311</v>
      </c>
      <c r="L155">
        <v>60644473</v>
      </c>
      <c r="M155">
        <v>-142836480</v>
      </c>
      <c r="N155">
        <v>-217889890</v>
      </c>
      <c r="O155">
        <v>14510186</v>
      </c>
      <c r="P155">
        <v>119</v>
      </c>
      <c r="Q155" t="s">
        <v>355</v>
      </c>
    </row>
    <row r="156" spans="1:17" x14ac:dyDescent="0.3">
      <c r="A156" t="s">
        <v>17</v>
      </c>
      <c r="B156" t="str">
        <f>"600179"</f>
        <v>600179</v>
      </c>
      <c r="C156" t="s">
        <v>356</v>
      </c>
      <c r="D156" t="s">
        <v>22</v>
      </c>
      <c r="F156">
        <v>1825496452</v>
      </c>
      <c r="G156">
        <v>-584263134</v>
      </c>
      <c r="H156">
        <v>-5763103</v>
      </c>
      <c r="I156">
        <v>421019594</v>
      </c>
      <c r="J156">
        <v>-305602598</v>
      </c>
      <c r="K156">
        <v>446184950</v>
      </c>
      <c r="L156">
        <v>-222701861</v>
      </c>
      <c r="M156">
        <v>48000035</v>
      </c>
      <c r="N156">
        <v>-54215496</v>
      </c>
      <c r="O156">
        <v>57598743</v>
      </c>
      <c r="P156">
        <v>128</v>
      </c>
      <c r="Q156" t="s">
        <v>357</v>
      </c>
    </row>
    <row r="157" spans="1:17" x14ac:dyDescent="0.3">
      <c r="A157" t="s">
        <v>17</v>
      </c>
      <c r="B157" t="str">
        <f>"600180"</f>
        <v>600180</v>
      </c>
      <c r="C157" t="s">
        <v>358</v>
      </c>
      <c r="D157" t="s">
        <v>22</v>
      </c>
      <c r="F157">
        <v>-582550541</v>
      </c>
      <c r="G157">
        <v>2648391227</v>
      </c>
      <c r="H157">
        <v>7023309268</v>
      </c>
      <c r="I157">
        <v>3900752076</v>
      </c>
      <c r="J157">
        <v>-2069172516</v>
      </c>
      <c r="K157">
        <v>-4108474984</v>
      </c>
      <c r="L157">
        <v>361134240</v>
      </c>
      <c r="M157">
        <v>-749217443</v>
      </c>
      <c r="N157">
        <v>-2038457033</v>
      </c>
      <c r="O157">
        <v>429039010</v>
      </c>
      <c r="P157">
        <v>151</v>
      </c>
      <c r="Q157" t="s">
        <v>359</v>
      </c>
    </row>
    <row r="158" spans="1:17" x14ac:dyDescent="0.3">
      <c r="A158" t="s">
        <v>17</v>
      </c>
      <c r="B158" t="str">
        <f>"600182"</f>
        <v>600182</v>
      </c>
      <c r="C158" t="s">
        <v>360</v>
      </c>
      <c r="D158" t="s">
        <v>27</v>
      </c>
      <c r="F158">
        <v>201791169</v>
      </c>
      <c r="G158">
        <v>337795174</v>
      </c>
      <c r="H158">
        <v>133621625</v>
      </c>
      <c r="I158">
        <v>163601265</v>
      </c>
      <c r="J158">
        <v>80900154</v>
      </c>
      <c r="K158">
        <v>611259576</v>
      </c>
      <c r="L158">
        <v>596008631</v>
      </c>
      <c r="M158">
        <v>1070453885</v>
      </c>
      <c r="N158">
        <v>598334955</v>
      </c>
      <c r="O158">
        <v>327610224</v>
      </c>
      <c r="P158">
        <v>77</v>
      </c>
      <c r="Q158" t="s">
        <v>361</v>
      </c>
    </row>
    <row r="159" spans="1:17" x14ac:dyDescent="0.3">
      <c r="A159" t="s">
        <v>17</v>
      </c>
      <c r="B159" t="str">
        <f>"600183"</f>
        <v>600183</v>
      </c>
      <c r="C159" t="s">
        <v>362</v>
      </c>
      <c r="D159" t="s">
        <v>150</v>
      </c>
      <c r="F159">
        <v>19518835</v>
      </c>
      <c r="G159">
        <v>4959647</v>
      </c>
      <c r="H159">
        <v>113641859</v>
      </c>
      <c r="I159">
        <v>137940523</v>
      </c>
      <c r="J159">
        <v>45264591</v>
      </c>
      <c r="K159">
        <v>404187462</v>
      </c>
      <c r="L159">
        <v>583073856</v>
      </c>
      <c r="M159">
        <v>-627729626</v>
      </c>
      <c r="N159">
        <v>458508089</v>
      </c>
      <c r="O159">
        <v>72211601</v>
      </c>
      <c r="P159">
        <v>2339</v>
      </c>
      <c r="Q159" t="s">
        <v>363</v>
      </c>
    </row>
    <row r="160" spans="1:17" x14ac:dyDescent="0.3">
      <c r="A160" t="s">
        <v>17</v>
      </c>
      <c r="B160" t="str">
        <f>"600184"</f>
        <v>600184</v>
      </c>
      <c r="C160" t="s">
        <v>364</v>
      </c>
      <c r="D160" t="s">
        <v>92</v>
      </c>
      <c r="F160">
        <v>-315933794</v>
      </c>
      <c r="G160">
        <v>885515307</v>
      </c>
      <c r="H160">
        <v>582405717</v>
      </c>
      <c r="I160">
        <v>5681532</v>
      </c>
      <c r="J160">
        <v>-107785140</v>
      </c>
      <c r="K160">
        <v>-599448777</v>
      </c>
      <c r="L160">
        <v>58678101</v>
      </c>
      <c r="M160">
        <v>283324640</v>
      </c>
      <c r="N160">
        <v>-86310839</v>
      </c>
      <c r="O160">
        <v>393756480</v>
      </c>
      <c r="P160">
        <v>143</v>
      </c>
      <c r="Q160" t="s">
        <v>365</v>
      </c>
    </row>
    <row r="161" spans="1:17" x14ac:dyDescent="0.3">
      <c r="A161" t="s">
        <v>17</v>
      </c>
      <c r="B161" t="str">
        <f>"600185"</f>
        <v>600185</v>
      </c>
      <c r="C161" t="s">
        <v>366</v>
      </c>
      <c r="D161" t="s">
        <v>30</v>
      </c>
      <c r="F161">
        <v>3408230939</v>
      </c>
      <c r="G161">
        <v>1622774069</v>
      </c>
      <c r="H161">
        <v>1673059050</v>
      </c>
      <c r="I161">
        <v>-1519795853</v>
      </c>
      <c r="J161">
        <v>-2587963682</v>
      </c>
      <c r="K161">
        <v>-1964184510</v>
      </c>
      <c r="L161">
        <v>-7568578</v>
      </c>
      <c r="M161">
        <v>-1230958086</v>
      </c>
      <c r="N161">
        <v>-199425110</v>
      </c>
      <c r="O161">
        <v>-1372599437</v>
      </c>
      <c r="P161">
        <v>321</v>
      </c>
      <c r="Q161" t="s">
        <v>367</v>
      </c>
    </row>
    <row r="162" spans="1:17" x14ac:dyDescent="0.3">
      <c r="A162" t="s">
        <v>17</v>
      </c>
      <c r="B162" t="str">
        <f>"600186"</f>
        <v>600186</v>
      </c>
      <c r="C162" t="s">
        <v>368</v>
      </c>
      <c r="D162" t="s">
        <v>123</v>
      </c>
      <c r="F162">
        <v>-30134083</v>
      </c>
      <c r="G162">
        <v>-883946334</v>
      </c>
      <c r="H162">
        <v>341177944</v>
      </c>
      <c r="I162">
        <v>15216357</v>
      </c>
      <c r="J162">
        <v>92350362</v>
      </c>
      <c r="K162">
        <v>-43086825</v>
      </c>
      <c r="L162">
        <v>-2628611</v>
      </c>
      <c r="M162">
        <v>-18639000</v>
      </c>
      <c r="N162">
        <v>13624944</v>
      </c>
      <c r="O162">
        <v>-28771427</v>
      </c>
      <c r="P162">
        <v>182</v>
      </c>
      <c r="Q162" t="s">
        <v>369</v>
      </c>
    </row>
    <row r="163" spans="1:17" x14ac:dyDescent="0.3">
      <c r="A163" t="s">
        <v>17</v>
      </c>
      <c r="B163" t="str">
        <f>"600187"</f>
        <v>600187</v>
      </c>
      <c r="C163" t="s">
        <v>370</v>
      </c>
      <c r="D163" t="s">
        <v>33</v>
      </c>
      <c r="F163">
        <v>176132717</v>
      </c>
      <c r="G163">
        <v>-343393574</v>
      </c>
      <c r="H163">
        <v>-94553800</v>
      </c>
      <c r="I163">
        <v>35706753</v>
      </c>
      <c r="J163">
        <v>-141261244</v>
      </c>
      <c r="K163">
        <v>-30701960</v>
      </c>
      <c r="L163">
        <v>-293137344</v>
      </c>
      <c r="M163">
        <v>-259667106</v>
      </c>
      <c r="N163">
        <v>-271431407</v>
      </c>
      <c r="O163">
        <v>-192810368</v>
      </c>
      <c r="P163">
        <v>116</v>
      </c>
      <c r="Q163" t="s">
        <v>371</v>
      </c>
    </row>
    <row r="164" spans="1:17" x14ac:dyDescent="0.3">
      <c r="A164" t="s">
        <v>17</v>
      </c>
      <c r="B164" t="str">
        <f>"600188"</f>
        <v>600188</v>
      </c>
      <c r="C164" t="s">
        <v>372</v>
      </c>
      <c r="D164" t="s">
        <v>257</v>
      </c>
      <c r="F164">
        <v>26242942000</v>
      </c>
      <c r="G164">
        <v>10635630000</v>
      </c>
      <c r="H164">
        <v>13995106000</v>
      </c>
      <c r="I164">
        <v>15315741000</v>
      </c>
      <c r="J164">
        <v>5947516000</v>
      </c>
      <c r="K164">
        <v>-799787000</v>
      </c>
      <c r="L164">
        <v>-3756826000</v>
      </c>
      <c r="M164">
        <v>183313000</v>
      </c>
      <c r="N164">
        <v>-6129550000</v>
      </c>
      <c r="O164">
        <v>1203329685</v>
      </c>
      <c r="P164">
        <v>1941</v>
      </c>
      <c r="Q164" t="s">
        <v>373</v>
      </c>
    </row>
    <row r="165" spans="1:17" x14ac:dyDescent="0.3">
      <c r="A165" t="s">
        <v>17</v>
      </c>
      <c r="B165" t="str">
        <f>"600189"</f>
        <v>600189</v>
      </c>
      <c r="C165" t="s">
        <v>374</v>
      </c>
      <c r="D165" t="s">
        <v>123</v>
      </c>
      <c r="F165">
        <v>188536444</v>
      </c>
      <c r="G165">
        <v>162956450</v>
      </c>
      <c r="H165">
        <v>58798492</v>
      </c>
      <c r="I165">
        <v>127440995</v>
      </c>
      <c r="J165">
        <v>196371460</v>
      </c>
      <c r="K165">
        <v>-93878031</v>
      </c>
      <c r="L165">
        <v>355207449</v>
      </c>
      <c r="M165">
        <v>-175704825</v>
      </c>
      <c r="N165">
        <v>-92248515</v>
      </c>
      <c r="O165">
        <v>-413222280</v>
      </c>
      <c r="P165">
        <v>177</v>
      </c>
      <c r="Q165" t="s">
        <v>375</v>
      </c>
    </row>
    <row r="166" spans="1:17" x14ac:dyDescent="0.3">
      <c r="A166" t="s">
        <v>17</v>
      </c>
      <c r="B166" t="str">
        <f>"600190"</f>
        <v>600190</v>
      </c>
      <c r="C166" t="s">
        <v>376</v>
      </c>
      <c r="D166" t="s">
        <v>22</v>
      </c>
      <c r="F166">
        <v>1120160831</v>
      </c>
      <c r="G166">
        <v>703946052</v>
      </c>
      <c r="H166">
        <v>376020098</v>
      </c>
      <c r="I166">
        <v>435697142</v>
      </c>
      <c r="J166">
        <v>778701630</v>
      </c>
      <c r="K166">
        <v>461123107</v>
      </c>
      <c r="L166">
        <v>-486829327</v>
      </c>
      <c r="M166">
        <v>-375391075</v>
      </c>
      <c r="N166">
        <v>-432130187</v>
      </c>
      <c r="O166">
        <v>-1140076141</v>
      </c>
      <c r="P166">
        <v>90</v>
      </c>
      <c r="Q166" t="s">
        <v>377</v>
      </c>
    </row>
    <row r="167" spans="1:17" x14ac:dyDescent="0.3">
      <c r="A167" t="s">
        <v>17</v>
      </c>
      <c r="B167" t="str">
        <f>"600191"</f>
        <v>600191</v>
      </c>
      <c r="C167" t="s">
        <v>378</v>
      </c>
      <c r="D167" t="s">
        <v>205</v>
      </c>
      <c r="F167">
        <v>-18006136</v>
      </c>
      <c r="G167">
        <v>-7849313</v>
      </c>
      <c r="H167">
        <v>-11483434</v>
      </c>
      <c r="I167">
        <v>-43051685</v>
      </c>
      <c r="J167">
        <v>-34854874</v>
      </c>
      <c r="K167">
        <v>-11134248</v>
      </c>
      <c r="L167">
        <v>-65046121</v>
      </c>
      <c r="M167">
        <v>-65541108</v>
      </c>
      <c r="N167">
        <v>-151500999</v>
      </c>
      <c r="O167">
        <v>-99104840</v>
      </c>
      <c r="P167">
        <v>121</v>
      </c>
      <c r="Q167" t="s">
        <v>379</v>
      </c>
    </row>
    <row r="168" spans="1:17" x14ac:dyDescent="0.3">
      <c r="A168" t="s">
        <v>17</v>
      </c>
      <c r="B168" t="str">
        <f>"600192"</f>
        <v>600192</v>
      </c>
      <c r="C168" t="s">
        <v>380</v>
      </c>
      <c r="D168" t="s">
        <v>188</v>
      </c>
      <c r="F168">
        <v>-28576970</v>
      </c>
      <c r="G168">
        <v>-270160132</v>
      </c>
      <c r="H168">
        <v>110142650</v>
      </c>
      <c r="I168">
        <v>38436091</v>
      </c>
      <c r="J168">
        <v>-146820971</v>
      </c>
      <c r="K168">
        <v>-122265377</v>
      </c>
      <c r="L168">
        <v>-93616007</v>
      </c>
      <c r="M168">
        <v>-25466879</v>
      </c>
      <c r="N168">
        <v>-199409522</v>
      </c>
      <c r="O168">
        <v>-178312267</v>
      </c>
      <c r="P168">
        <v>76</v>
      </c>
      <c r="Q168" t="s">
        <v>381</v>
      </c>
    </row>
    <row r="169" spans="1:17" x14ac:dyDescent="0.3">
      <c r="A169" t="s">
        <v>17</v>
      </c>
      <c r="B169" t="str">
        <f>"600193"</f>
        <v>600193</v>
      </c>
      <c r="C169" t="s">
        <v>382</v>
      </c>
      <c r="D169" t="s">
        <v>95</v>
      </c>
      <c r="F169">
        <v>-9979780</v>
      </c>
      <c r="G169">
        <v>-45306479</v>
      </c>
      <c r="H169">
        <v>43742714</v>
      </c>
      <c r="I169">
        <v>-18029045</v>
      </c>
      <c r="J169">
        <v>-12279178</v>
      </c>
      <c r="K169">
        <v>5533828</v>
      </c>
      <c r="L169">
        <v>-29239993</v>
      </c>
      <c r="M169">
        <v>-8862991</v>
      </c>
      <c r="N169">
        <v>-29765131</v>
      </c>
      <c r="O169">
        <v>-34610765</v>
      </c>
      <c r="P169">
        <v>57</v>
      </c>
      <c r="Q169" t="s">
        <v>383</v>
      </c>
    </row>
    <row r="170" spans="1:17" x14ac:dyDescent="0.3">
      <c r="A170" t="s">
        <v>17</v>
      </c>
      <c r="B170" t="str">
        <f>"600195"</f>
        <v>600195</v>
      </c>
      <c r="C170" t="s">
        <v>384</v>
      </c>
      <c r="D170" t="s">
        <v>205</v>
      </c>
      <c r="F170">
        <v>-92819675</v>
      </c>
      <c r="G170">
        <v>134616002</v>
      </c>
      <c r="H170">
        <v>-396621648</v>
      </c>
      <c r="I170">
        <v>-24422668</v>
      </c>
      <c r="J170">
        <v>-44245442</v>
      </c>
      <c r="K170">
        <v>433986101</v>
      </c>
      <c r="L170">
        <v>187881674</v>
      </c>
      <c r="M170">
        <v>-104310328</v>
      </c>
      <c r="N170">
        <v>-12324703</v>
      </c>
      <c r="O170">
        <v>-204438187</v>
      </c>
      <c r="P170">
        <v>371</v>
      </c>
      <c r="Q170" t="s">
        <v>385</v>
      </c>
    </row>
    <row r="171" spans="1:17" x14ac:dyDescent="0.3">
      <c r="A171" t="s">
        <v>17</v>
      </c>
      <c r="B171" t="str">
        <f>"600196"</f>
        <v>600196</v>
      </c>
      <c r="C171" t="s">
        <v>386</v>
      </c>
      <c r="D171" t="s">
        <v>113</v>
      </c>
      <c r="F171">
        <v>-926741553</v>
      </c>
      <c r="G171">
        <v>-1848463530</v>
      </c>
      <c r="H171">
        <v>-705666690</v>
      </c>
      <c r="I171">
        <v>-195627242</v>
      </c>
      <c r="J171">
        <v>509784559</v>
      </c>
      <c r="K171">
        <v>249884898</v>
      </c>
      <c r="L171">
        <v>407491127</v>
      </c>
      <c r="M171">
        <v>207749262</v>
      </c>
      <c r="N171">
        <v>-22449577</v>
      </c>
      <c r="O171">
        <v>-485643554</v>
      </c>
      <c r="P171">
        <v>3823</v>
      </c>
      <c r="Q171" t="s">
        <v>387</v>
      </c>
    </row>
    <row r="172" spans="1:17" x14ac:dyDescent="0.3">
      <c r="A172" t="s">
        <v>17</v>
      </c>
      <c r="B172" t="str">
        <f>"600197"</f>
        <v>600197</v>
      </c>
      <c r="C172" t="s">
        <v>388</v>
      </c>
      <c r="D172" t="s">
        <v>123</v>
      </c>
      <c r="F172">
        <v>-29105552</v>
      </c>
      <c r="G172">
        <v>-180065348</v>
      </c>
      <c r="H172">
        <v>-171562511</v>
      </c>
      <c r="I172">
        <v>92930017</v>
      </c>
      <c r="J172">
        <v>166972094</v>
      </c>
      <c r="K172">
        <v>547187586</v>
      </c>
      <c r="L172">
        <v>188880990</v>
      </c>
      <c r="M172">
        <v>265803771</v>
      </c>
      <c r="N172">
        <v>360075354</v>
      </c>
      <c r="O172">
        <v>258102603</v>
      </c>
      <c r="P172">
        <v>1080</v>
      </c>
      <c r="Q172" t="s">
        <v>389</v>
      </c>
    </row>
    <row r="173" spans="1:17" x14ac:dyDescent="0.3">
      <c r="A173" t="s">
        <v>17</v>
      </c>
      <c r="B173" t="str">
        <f>"600198"</f>
        <v>600198</v>
      </c>
      <c r="C173" t="s">
        <v>390</v>
      </c>
      <c r="D173" t="s">
        <v>150</v>
      </c>
      <c r="F173">
        <v>-74967841</v>
      </c>
      <c r="G173">
        <v>-35305210</v>
      </c>
      <c r="H173">
        <v>116155318</v>
      </c>
      <c r="I173">
        <v>1094006702</v>
      </c>
      <c r="J173">
        <v>-204458163</v>
      </c>
      <c r="K173">
        <v>324336270</v>
      </c>
      <c r="L173">
        <v>254254417</v>
      </c>
      <c r="M173">
        <v>-946535615</v>
      </c>
      <c r="N173">
        <v>-1008643335</v>
      </c>
      <c r="O173">
        <v>-817818725</v>
      </c>
      <c r="P173">
        <v>286</v>
      </c>
      <c r="Q173" t="s">
        <v>391</v>
      </c>
    </row>
    <row r="174" spans="1:17" x14ac:dyDescent="0.3">
      <c r="A174" t="s">
        <v>17</v>
      </c>
      <c r="B174" t="str">
        <f>"600199"</f>
        <v>600199</v>
      </c>
      <c r="C174" t="s">
        <v>392</v>
      </c>
      <c r="D174" t="s">
        <v>123</v>
      </c>
      <c r="F174">
        <v>-519435722</v>
      </c>
      <c r="G174">
        <v>-22330439</v>
      </c>
      <c r="H174">
        <v>-157266767</v>
      </c>
      <c r="I174">
        <v>-209877722</v>
      </c>
      <c r="J174">
        <v>-365769096</v>
      </c>
      <c r="K174">
        <v>-268598291</v>
      </c>
      <c r="L174">
        <v>225556611</v>
      </c>
      <c r="M174">
        <v>-63170559</v>
      </c>
      <c r="N174">
        <v>45374524</v>
      </c>
      <c r="O174">
        <v>550419027</v>
      </c>
      <c r="P174">
        <v>383</v>
      </c>
      <c r="Q174" t="s">
        <v>393</v>
      </c>
    </row>
    <row r="175" spans="1:17" x14ac:dyDescent="0.3">
      <c r="A175" t="s">
        <v>17</v>
      </c>
      <c r="B175" t="str">
        <f>"600200"</f>
        <v>600200</v>
      </c>
      <c r="C175" t="s">
        <v>394</v>
      </c>
      <c r="D175" t="s">
        <v>113</v>
      </c>
      <c r="F175">
        <v>490208215</v>
      </c>
      <c r="G175">
        <v>-400627996</v>
      </c>
      <c r="H175">
        <v>-262545784</v>
      </c>
      <c r="I175">
        <v>96505108</v>
      </c>
      <c r="J175">
        <v>-30645439</v>
      </c>
      <c r="K175">
        <v>554677128</v>
      </c>
      <c r="L175">
        <v>-13420886</v>
      </c>
      <c r="M175">
        <v>-399175257</v>
      </c>
      <c r="N175">
        <v>138269381</v>
      </c>
      <c r="O175">
        <v>328488968</v>
      </c>
      <c r="P175">
        <v>143</v>
      </c>
      <c r="Q175" t="s">
        <v>395</v>
      </c>
    </row>
    <row r="176" spans="1:17" x14ac:dyDescent="0.3">
      <c r="A176" t="s">
        <v>17</v>
      </c>
      <c r="B176" t="str">
        <f>"600201"</f>
        <v>600201</v>
      </c>
      <c r="C176" t="s">
        <v>396</v>
      </c>
      <c r="D176" t="s">
        <v>205</v>
      </c>
      <c r="F176">
        <v>160945066</v>
      </c>
      <c r="G176">
        <v>472877760</v>
      </c>
      <c r="H176">
        <v>98473926</v>
      </c>
      <c r="I176">
        <v>-122713941</v>
      </c>
      <c r="J176">
        <v>490595816</v>
      </c>
      <c r="K176">
        <v>622145463</v>
      </c>
      <c r="L176">
        <v>232049788</v>
      </c>
      <c r="M176">
        <v>378567271</v>
      </c>
      <c r="N176">
        <v>534631894</v>
      </c>
      <c r="O176">
        <v>-13215765</v>
      </c>
      <c r="P176">
        <v>1766</v>
      </c>
      <c r="Q176" t="s">
        <v>397</v>
      </c>
    </row>
    <row r="177" spans="1:17" x14ac:dyDescent="0.3">
      <c r="A177" t="s">
        <v>17</v>
      </c>
      <c r="B177" t="str">
        <f>"600202"</f>
        <v>600202</v>
      </c>
      <c r="C177" t="s">
        <v>398</v>
      </c>
      <c r="D177" t="s">
        <v>188</v>
      </c>
      <c r="F177">
        <v>-78068384</v>
      </c>
      <c r="G177">
        <v>99407177</v>
      </c>
      <c r="H177">
        <v>-37215943</v>
      </c>
      <c r="I177">
        <v>67091580</v>
      </c>
      <c r="J177">
        <v>177369065</v>
      </c>
      <c r="K177">
        <v>232181265</v>
      </c>
      <c r="L177">
        <v>-75680119</v>
      </c>
      <c r="M177">
        <v>253309200</v>
      </c>
      <c r="N177">
        <v>68599460</v>
      </c>
      <c r="O177">
        <v>-19447960</v>
      </c>
      <c r="P177">
        <v>76</v>
      </c>
      <c r="Q177" t="s">
        <v>399</v>
      </c>
    </row>
    <row r="178" spans="1:17" x14ac:dyDescent="0.3">
      <c r="A178" t="s">
        <v>17</v>
      </c>
      <c r="B178" t="str">
        <f>"600203"</f>
        <v>600203</v>
      </c>
      <c r="C178" t="s">
        <v>400</v>
      </c>
      <c r="D178" t="s">
        <v>150</v>
      </c>
      <c r="F178">
        <v>-216783708</v>
      </c>
      <c r="G178">
        <v>162667786</v>
      </c>
      <c r="H178">
        <v>33295987</v>
      </c>
      <c r="I178">
        <v>-412530814</v>
      </c>
      <c r="J178">
        <v>-66599136</v>
      </c>
      <c r="K178">
        <v>-28362848</v>
      </c>
      <c r="L178">
        <v>-274958939</v>
      </c>
      <c r="M178">
        <v>-222278138</v>
      </c>
      <c r="N178">
        <v>-144824965</v>
      </c>
      <c r="O178">
        <v>-50030762</v>
      </c>
      <c r="P178">
        <v>143</v>
      </c>
      <c r="Q178" t="s">
        <v>401</v>
      </c>
    </row>
    <row r="179" spans="1:17" x14ac:dyDescent="0.3">
      <c r="A179" t="s">
        <v>17</v>
      </c>
      <c r="B179" t="str">
        <f>"600206"</f>
        <v>600206</v>
      </c>
      <c r="C179" t="s">
        <v>402</v>
      </c>
      <c r="D179" t="s">
        <v>150</v>
      </c>
      <c r="F179">
        <v>181773209</v>
      </c>
      <c r="G179">
        <v>-229975963</v>
      </c>
      <c r="H179">
        <v>-171233425</v>
      </c>
      <c r="I179">
        <v>-91160540</v>
      </c>
      <c r="J179">
        <v>-102369629</v>
      </c>
      <c r="K179">
        <v>-223880412</v>
      </c>
      <c r="L179">
        <v>-131348448</v>
      </c>
      <c r="M179">
        <v>-210975148</v>
      </c>
      <c r="N179">
        <v>-54375103</v>
      </c>
      <c r="O179">
        <v>-19752394</v>
      </c>
      <c r="P179">
        <v>422</v>
      </c>
      <c r="Q179" t="s">
        <v>403</v>
      </c>
    </row>
    <row r="180" spans="1:17" x14ac:dyDescent="0.3">
      <c r="A180" t="s">
        <v>17</v>
      </c>
      <c r="B180" t="str">
        <f>"600207"</f>
        <v>600207</v>
      </c>
      <c r="C180" t="s">
        <v>404</v>
      </c>
      <c r="D180" t="s">
        <v>188</v>
      </c>
      <c r="F180">
        <v>-783291167</v>
      </c>
      <c r="G180">
        <v>8791097</v>
      </c>
      <c r="H180">
        <v>-70963494</v>
      </c>
      <c r="I180">
        <v>1364440</v>
      </c>
      <c r="J180">
        <v>51795874</v>
      </c>
      <c r="K180">
        <v>77724227</v>
      </c>
      <c r="L180">
        <v>339114350</v>
      </c>
      <c r="M180">
        <v>87241723</v>
      </c>
      <c r="N180">
        <v>-185740951</v>
      </c>
      <c r="O180">
        <v>-323073985</v>
      </c>
      <c r="P180">
        <v>146</v>
      </c>
      <c r="Q180" t="s">
        <v>405</v>
      </c>
    </row>
    <row r="181" spans="1:17" x14ac:dyDescent="0.3">
      <c r="A181" t="s">
        <v>17</v>
      </c>
      <c r="B181" t="str">
        <f>"600208"</f>
        <v>600208</v>
      </c>
      <c r="C181" t="s">
        <v>406</v>
      </c>
      <c r="D181" t="s">
        <v>30</v>
      </c>
      <c r="F181">
        <v>14502956208</v>
      </c>
      <c r="G181">
        <v>4982082718</v>
      </c>
      <c r="H181">
        <v>2219468498</v>
      </c>
      <c r="I181">
        <v>-3812598350</v>
      </c>
      <c r="J181">
        <v>1642340581</v>
      </c>
      <c r="K181">
        <v>4183619417</v>
      </c>
      <c r="L181">
        <v>424396863</v>
      </c>
      <c r="M181">
        <v>-5070149713</v>
      </c>
      <c r="N181">
        <v>-911800111</v>
      </c>
      <c r="O181">
        <v>-301179402</v>
      </c>
      <c r="P181">
        <v>331</v>
      </c>
      <c r="Q181" t="s">
        <v>407</v>
      </c>
    </row>
    <row r="182" spans="1:17" x14ac:dyDescent="0.3">
      <c r="A182" t="s">
        <v>17</v>
      </c>
      <c r="B182" t="str">
        <f>"600209"</f>
        <v>600209</v>
      </c>
      <c r="C182" t="s">
        <v>408</v>
      </c>
      <c r="D182" t="s">
        <v>95</v>
      </c>
      <c r="F182">
        <v>13656854</v>
      </c>
      <c r="G182">
        <v>-51646068</v>
      </c>
      <c r="H182">
        <v>-19135825</v>
      </c>
      <c r="I182">
        <v>-10467931</v>
      </c>
      <c r="J182">
        <v>-16792117</v>
      </c>
      <c r="K182">
        <v>13109821</v>
      </c>
      <c r="L182">
        <v>6517671</v>
      </c>
      <c r="M182">
        <v>-157863137</v>
      </c>
      <c r="N182">
        <v>-28607417</v>
      </c>
      <c r="O182">
        <v>100500294</v>
      </c>
      <c r="P182">
        <v>49</v>
      </c>
      <c r="Q182" t="s">
        <v>409</v>
      </c>
    </row>
    <row r="183" spans="1:17" x14ac:dyDescent="0.3">
      <c r="A183" t="s">
        <v>17</v>
      </c>
      <c r="B183" t="str">
        <f>"600210"</f>
        <v>600210</v>
      </c>
      <c r="C183" t="s">
        <v>410</v>
      </c>
      <c r="D183" t="s">
        <v>161</v>
      </c>
      <c r="F183">
        <v>469688678</v>
      </c>
      <c r="G183">
        <v>752142084</v>
      </c>
      <c r="H183">
        <v>797592782</v>
      </c>
      <c r="I183">
        <v>750975092</v>
      </c>
      <c r="J183">
        <v>846294514</v>
      </c>
      <c r="K183">
        <v>741855673</v>
      </c>
      <c r="L183">
        <v>476695346</v>
      </c>
      <c r="M183">
        <v>279558826</v>
      </c>
      <c r="N183">
        <v>575495950</v>
      </c>
      <c r="O183">
        <v>752943063</v>
      </c>
      <c r="P183">
        <v>192</v>
      </c>
      <c r="Q183" t="s">
        <v>411</v>
      </c>
    </row>
    <row r="184" spans="1:17" x14ac:dyDescent="0.3">
      <c r="A184" t="s">
        <v>17</v>
      </c>
      <c r="B184" t="str">
        <f>"600211"</f>
        <v>600211</v>
      </c>
      <c r="C184" t="s">
        <v>412</v>
      </c>
      <c r="D184" t="s">
        <v>113</v>
      </c>
      <c r="F184">
        <v>-42266962</v>
      </c>
      <c r="G184">
        <v>206889476</v>
      </c>
      <c r="H184">
        <v>440613156</v>
      </c>
      <c r="I184">
        <v>266074793</v>
      </c>
      <c r="J184">
        <v>-516517241</v>
      </c>
      <c r="K184">
        <v>240647042</v>
      </c>
      <c r="L184">
        <v>123287651</v>
      </c>
      <c r="M184">
        <v>-168122184</v>
      </c>
      <c r="N184">
        <v>245105374</v>
      </c>
      <c r="O184">
        <v>51868420</v>
      </c>
      <c r="P184">
        <v>530</v>
      </c>
      <c r="Q184" t="s">
        <v>413</v>
      </c>
    </row>
    <row r="185" spans="1:17" x14ac:dyDescent="0.3">
      <c r="A185" t="s">
        <v>17</v>
      </c>
      <c r="B185" t="str">
        <f>"600212"</f>
        <v>600212</v>
      </c>
      <c r="C185" t="s">
        <v>414</v>
      </c>
      <c r="D185" t="s">
        <v>103</v>
      </c>
      <c r="F185">
        <v>-36390164</v>
      </c>
      <c r="G185">
        <v>11810934</v>
      </c>
      <c r="H185">
        <v>-38943623</v>
      </c>
      <c r="I185">
        <v>-13345152</v>
      </c>
      <c r="J185">
        <v>-6829842</v>
      </c>
      <c r="K185">
        <v>2783821</v>
      </c>
      <c r="L185">
        <v>13320379</v>
      </c>
      <c r="M185">
        <v>-79130922</v>
      </c>
      <c r="N185">
        <v>70609525</v>
      </c>
      <c r="O185">
        <v>65973624</v>
      </c>
      <c r="P185">
        <v>56</v>
      </c>
      <c r="Q185" t="s">
        <v>415</v>
      </c>
    </row>
    <row r="186" spans="1:17" x14ac:dyDescent="0.3">
      <c r="A186" t="s">
        <v>17</v>
      </c>
      <c r="B186" t="str">
        <f>"600213"</f>
        <v>600213</v>
      </c>
      <c r="C186" t="s">
        <v>416</v>
      </c>
      <c r="D186" t="s">
        <v>27</v>
      </c>
      <c r="F186">
        <v>619091815</v>
      </c>
      <c r="G186">
        <v>404801416</v>
      </c>
      <c r="H186">
        <v>97690063</v>
      </c>
      <c r="I186">
        <v>-375397560</v>
      </c>
      <c r="J186">
        <v>-256843831</v>
      </c>
      <c r="K186">
        <v>-682494983</v>
      </c>
      <c r="L186">
        <v>-197692478</v>
      </c>
      <c r="M186">
        <v>-379211161</v>
      </c>
      <c r="N186">
        <v>-75799642</v>
      </c>
      <c r="O186">
        <v>-31563742</v>
      </c>
      <c r="P186">
        <v>109</v>
      </c>
      <c r="Q186" t="s">
        <v>417</v>
      </c>
    </row>
    <row r="187" spans="1:17" x14ac:dyDescent="0.3">
      <c r="A187" t="s">
        <v>17</v>
      </c>
      <c r="B187" t="str">
        <f>"600215"</f>
        <v>600215</v>
      </c>
      <c r="C187" t="s">
        <v>418</v>
      </c>
      <c r="D187" t="s">
        <v>30</v>
      </c>
      <c r="F187">
        <v>-228729494</v>
      </c>
      <c r="G187">
        <v>130974906</v>
      </c>
      <c r="H187">
        <v>-6686212</v>
      </c>
      <c r="I187">
        <v>144046574</v>
      </c>
      <c r="J187">
        <v>208471875</v>
      </c>
      <c r="K187">
        <v>71133404</v>
      </c>
      <c r="L187">
        <v>-61361363</v>
      </c>
      <c r="M187">
        <v>450549864</v>
      </c>
      <c r="N187">
        <v>-119340680</v>
      </c>
      <c r="O187">
        <v>-578580264</v>
      </c>
      <c r="P187">
        <v>77</v>
      </c>
      <c r="Q187" t="s">
        <v>419</v>
      </c>
    </row>
    <row r="188" spans="1:17" x14ac:dyDescent="0.3">
      <c r="A188" t="s">
        <v>17</v>
      </c>
      <c r="B188" t="str">
        <f>"600216"</f>
        <v>600216</v>
      </c>
      <c r="C188" t="s">
        <v>420</v>
      </c>
      <c r="D188" t="s">
        <v>113</v>
      </c>
      <c r="F188">
        <v>204025472</v>
      </c>
      <c r="G188">
        <v>748804597</v>
      </c>
      <c r="H188">
        <v>-123959133</v>
      </c>
      <c r="I188">
        <v>162496451</v>
      </c>
      <c r="J188">
        <v>-64260726</v>
      </c>
      <c r="K188">
        <v>-40079494</v>
      </c>
      <c r="L188">
        <v>-614493903</v>
      </c>
      <c r="M188">
        <v>-396038963</v>
      </c>
      <c r="N188">
        <v>-525364706</v>
      </c>
      <c r="O188">
        <v>-133105992</v>
      </c>
      <c r="P188">
        <v>463</v>
      </c>
      <c r="Q188" t="s">
        <v>421</v>
      </c>
    </row>
    <row r="189" spans="1:17" x14ac:dyDescent="0.3">
      <c r="A189" t="s">
        <v>17</v>
      </c>
      <c r="B189" t="str">
        <f>"600217"</f>
        <v>600217</v>
      </c>
      <c r="C189" t="s">
        <v>422</v>
      </c>
      <c r="D189" t="s">
        <v>33</v>
      </c>
      <c r="F189">
        <v>300237735</v>
      </c>
      <c r="G189">
        <v>129493440</v>
      </c>
      <c r="H189">
        <v>-258309593</v>
      </c>
      <c r="I189">
        <v>810078546</v>
      </c>
      <c r="J189">
        <v>-603619529</v>
      </c>
      <c r="K189">
        <v>-398450102</v>
      </c>
      <c r="L189">
        <v>33731168</v>
      </c>
      <c r="M189">
        <v>-35266779</v>
      </c>
      <c r="N189">
        <v>-101822889</v>
      </c>
      <c r="O189">
        <v>-307620944</v>
      </c>
      <c r="P189">
        <v>439</v>
      </c>
      <c r="Q189" t="s">
        <v>423</v>
      </c>
    </row>
    <row r="190" spans="1:17" x14ac:dyDescent="0.3">
      <c r="A190" t="s">
        <v>17</v>
      </c>
      <c r="B190" t="str">
        <f>"600218"</f>
        <v>600218</v>
      </c>
      <c r="C190" t="s">
        <v>424</v>
      </c>
      <c r="D190" t="s">
        <v>27</v>
      </c>
      <c r="F190">
        <v>114830512</v>
      </c>
      <c r="G190">
        <v>429700282</v>
      </c>
      <c r="H190">
        <v>-53819802</v>
      </c>
      <c r="I190">
        <v>-84109125</v>
      </c>
      <c r="J190">
        <v>-284815361</v>
      </c>
      <c r="K190">
        <v>332839331</v>
      </c>
      <c r="L190">
        <v>71107638</v>
      </c>
      <c r="M190">
        <v>24098752</v>
      </c>
      <c r="N190">
        <v>-13414855</v>
      </c>
      <c r="O190">
        <v>-121695382</v>
      </c>
      <c r="P190">
        <v>166</v>
      </c>
      <c r="Q190" t="s">
        <v>425</v>
      </c>
    </row>
    <row r="191" spans="1:17" x14ac:dyDescent="0.3">
      <c r="A191" t="s">
        <v>17</v>
      </c>
      <c r="B191" t="str">
        <f>"600219"</f>
        <v>600219</v>
      </c>
      <c r="C191" t="s">
        <v>426</v>
      </c>
      <c r="D191" t="s">
        <v>234</v>
      </c>
      <c r="F191">
        <v>3235585263</v>
      </c>
      <c r="G191">
        <v>3038262789</v>
      </c>
      <c r="H191">
        <v>1110601337</v>
      </c>
      <c r="I191">
        <v>457041508</v>
      </c>
      <c r="J191">
        <v>461530195</v>
      </c>
      <c r="K191">
        <v>-10878220</v>
      </c>
      <c r="L191">
        <v>-810611860</v>
      </c>
      <c r="M191">
        <v>-4512901916</v>
      </c>
      <c r="N191">
        <v>80862870</v>
      </c>
      <c r="O191">
        <v>-1271978230</v>
      </c>
      <c r="P191">
        <v>609</v>
      </c>
      <c r="Q191" t="s">
        <v>427</v>
      </c>
    </row>
    <row r="192" spans="1:17" x14ac:dyDescent="0.3">
      <c r="A192" t="s">
        <v>17</v>
      </c>
      <c r="B192" t="str">
        <f>"600220"</f>
        <v>600220</v>
      </c>
      <c r="C192" t="s">
        <v>428</v>
      </c>
      <c r="D192" t="s">
        <v>227</v>
      </c>
      <c r="F192">
        <v>702729324</v>
      </c>
      <c r="G192">
        <v>-39273633</v>
      </c>
      <c r="H192">
        <v>11083981</v>
      </c>
      <c r="I192">
        <v>-169243721</v>
      </c>
      <c r="J192">
        <v>331744865</v>
      </c>
      <c r="K192">
        <v>34371267</v>
      </c>
      <c r="L192">
        <v>369903044</v>
      </c>
      <c r="M192">
        <v>112630249</v>
      </c>
      <c r="N192">
        <v>282200587</v>
      </c>
      <c r="O192">
        <v>-210618174</v>
      </c>
      <c r="P192">
        <v>118</v>
      </c>
      <c r="Q192" t="s">
        <v>429</v>
      </c>
    </row>
    <row r="193" spans="1:17" x14ac:dyDescent="0.3">
      <c r="A193" t="s">
        <v>17</v>
      </c>
      <c r="B193" t="str">
        <f>"600221"</f>
        <v>600221</v>
      </c>
      <c r="C193" t="s">
        <v>430</v>
      </c>
      <c r="D193" t="s">
        <v>22</v>
      </c>
      <c r="F193">
        <v>-612598000</v>
      </c>
      <c r="G193">
        <v>-1588021000</v>
      </c>
      <c r="H193">
        <v>16511647000</v>
      </c>
      <c r="I193">
        <v>10923586000</v>
      </c>
      <c r="J193">
        <v>2090469000</v>
      </c>
      <c r="K193">
        <v>8004701000</v>
      </c>
      <c r="L193">
        <v>3741194000</v>
      </c>
      <c r="M193">
        <v>731508000</v>
      </c>
      <c r="N193">
        <v>394788000</v>
      </c>
      <c r="O193">
        <v>2481506000</v>
      </c>
      <c r="P193">
        <v>427</v>
      </c>
      <c r="Q193" t="s">
        <v>431</v>
      </c>
    </row>
    <row r="194" spans="1:17" x14ac:dyDescent="0.3">
      <c r="A194" t="s">
        <v>17</v>
      </c>
      <c r="B194" t="str">
        <f>"600222"</f>
        <v>600222</v>
      </c>
      <c r="C194" t="s">
        <v>432</v>
      </c>
      <c r="D194" t="s">
        <v>113</v>
      </c>
      <c r="F194">
        <v>60644897</v>
      </c>
      <c r="G194">
        <v>854199</v>
      </c>
      <c r="H194">
        <v>-63875436</v>
      </c>
      <c r="I194">
        <v>53068474</v>
      </c>
      <c r="J194">
        <v>-20960071</v>
      </c>
      <c r="K194">
        <v>11540608</v>
      </c>
      <c r="L194">
        <v>-12553649</v>
      </c>
      <c r="M194">
        <v>53946514</v>
      </c>
      <c r="N194">
        <v>-28843847</v>
      </c>
      <c r="O194">
        <v>73015105</v>
      </c>
      <c r="P194">
        <v>132</v>
      </c>
      <c r="Q194" t="s">
        <v>433</v>
      </c>
    </row>
    <row r="195" spans="1:17" x14ac:dyDescent="0.3">
      <c r="A195" t="s">
        <v>17</v>
      </c>
      <c r="B195" t="str">
        <f>"600223"</f>
        <v>600223</v>
      </c>
      <c r="C195" t="s">
        <v>434</v>
      </c>
      <c r="D195" t="s">
        <v>30</v>
      </c>
      <c r="F195">
        <v>6567306037</v>
      </c>
      <c r="G195">
        <v>4291533813</v>
      </c>
      <c r="H195">
        <v>-3363851909</v>
      </c>
      <c r="I195">
        <v>2061823289</v>
      </c>
      <c r="J195">
        <v>1532968875</v>
      </c>
      <c r="K195">
        <v>-2493399706</v>
      </c>
      <c r="L195">
        <v>-1812186829</v>
      </c>
      <c r="M195">
        <v>-2367991376</v>
      </c>
      <c r="N195">
        <v>-1102008140</v>
      </c>
      <c r="O195">
        <v>-88931561</v>
      </c>
      <c r="P195">
        <v>361</v>
      </c>
      <c r="Q195" t="s">
        <v>435</v>
      </c>
    </row>
    <row r="196" spans="1:17" x14ac:dyDescent="0.3">
      <c r="A196" t="s">
        <v>17</v>
      </c>
      <c r="B196" t="str">
        <f>"600225"</f>
        <v>600225</v>
      </c>
      <c r="C196" t="s">
        <v>436</v>
      </c>
      <c r="D196" t="s">
        <v>30</v>
      </c>
      <c r="F196">
        <v>-916161674</v>
      </c>
      <c r="G196">
        <v>-485783110</v>
      </c>
      <c r="H196">
        <v>1841394562</v>
      </c>
      <c r="I196">
        <v>1150678207</v>
      </c>
      <c r="J196">
        <v>-849188548</v>
      </c>
      <c r="K196">
        <v>550482989</v>
      </c>
      <c r="L196">
        <v>-722595202</v>
      </c>
      <c r="M196">
        <v>-1456609788</v>
      </c>
      <c r="N196">
        <v>-1628624871</v>
      </c>
      <c r="O196">
        <v>-391449382</v>
      </c>
      <c r="P196">
        <v>110</v>
      </c>
      <c r="Q196" t="s">
        <v>437</v>
      </c>
    </row>
    <row r="197" spans="1:17" x14ac:dyDescent="0.3">
      <c r="A197" t="s">
        <v>17</v>
      </c>
      <c r="B197" t="str">
        <f>"600226"</f>
        <v>600226</v>
      </c>
      <c r="C197" t="s">
        <v>438</v>
      </c>
      <c r="D197" t="s">
        <v>89</v>
      </c>
      <c r="F197">
        <v>90571271</v>
      </c>
      <c r="G197">
        <v>71882287</v>
      </c>
      <c r="H197">
        <v>-107288267</v>
      </c>
      <c r="I197">
        <v>-336128692</v>
      </c>
      <c r="J197">
        <v>-77550827</v>
      </c>
      <c r="K197">
        <v>-114938081</v>
      </c>
      <c r="L197">
        <v>11086212</v>
      </c>
      <c r="M197">
        <v>-79742514</v>
      </c>
      <c r="N197">
        <v>51062728</v>
      </c>
      <c r="O197">
        <v>127315130</v>
      </c>
      <c r="P197">
        <v>109</v>
      </c>
      <c r="Q197" t="s">
        <v>439</v>
      </c>
    </row>
    <row r="198" spans="1:17" x14ac:dyDescent="0.3">
      <c r="A198" t="s">
        <v>17</v>
      </c>
      <c r="B198" t="str">
        <f>"600227"</f>
        <v>600227</v>
      </c>
      <c r="C198" t="s">
        <v>440</v>
      </c>
      <c r="D198" t="s">
        <v>113</v>
      </c>
      <c r="F198">
        <v>75707338</v>
      </c>
      <c r="G198">
        <v>158149087</v>
      </c>
      <c r="H198">
        <v>77014470</v>
      </c>
      <c r="I198">
        <v>365178895</v>
      </c>
      <c r="J198">
        <v>-336301078</v>
      </c>
      <c r="K198">
        <v>-166594525</v>
      </c>
      <c r="L198">
        <v>-15791909</v>
      </c>
      <c r="M198">
        <v>196577628</v>
      </c>
      <c r="N198">
        <v>-62009485</v>
      </c>
      <c r="O198">
        <v>149667157</v>
      </c>
      <c r="P198">
        <v>114</v>
      </c>
      <c r="Q198" t="s">
        <v>441</v>
      </c>
    </row>
    <row r="199" spans="1:17" x14ac:dyDescent="0.3">
      <c r="A199" t="s">
        <v>17</v>
      </c>
      <c r="B199" t="str">
        <f>"600228"</f>
        <v>600228</v>
      </c>
      <c r="C199" t="s">
        <v>442</v>
      </c>
      <c r="D199" t="s">
        <v>89</v>
      </c>
      <c r="F199">
        <v>30370810</v>
      </c>
      <c r="G199">
        <v>29802401</v>
      </c>
      <c r="H199">
        <v>12731198</v>
      </c>
      <c r="I199">
        <v>31377703</v>
      </c>
      <c r="J199">
        <v>214024847</v>
      </c>
      <c r="K199">
        <v>7999748</v>
      </c>
      <c r="L199">
        <v>90358607</v>
      </c>
      <c r="M199">
        <v>16062395</v>
      </c>
      <c r="N199">
        <v>35477914</v>
      </c>
      <c r="O199">
        <v>-31526202</v>
      </c>
      <c r="P199">
        <v>68</v>
      </c>
      <c r="Q199" t="s">
        <v>443</v>
      </c>
    </row>
    <row r="200" spans="1:17" x14ac:dyDescent="0.3">
      <c r="A200" t="s">
        <v>17</v>
      </c>
      <c r="B200" t="str">
        <f>"600229"</f>
        <v>600229</v>
      </c>
      <c r="C200" t="s">
        <v>444</v>
      </c>
      <c r="D200" t="s">
        <v>89</v>
      </c>
      <c r="F200">
        <v>390235239</v>
      </c>
      <c r="G200">
        <v>291355886</v>
      </c>
      <c r="H200">
        <v>182691393</v>
      </c>
      <c r="I200">
        <v>108262703</v>
      </c>
      <c r="J200">
        <v>-138553386</v>
      </c>
      <c r="K200">
        <v>186599808</v>
      </c>
      <c r="L200">
        <v>212448165</v>
      </c>
      <c r="M200">
        <v>-149247337</v>
      </c>
      <c r="N200">
        <v>351216888</v>
      </c>
      <c r="O200">
        <v>-56513255</v>
      </c>
      <c r="P200">
        <v>174</v>
      </c>
      <c r="Q200" t="s">
        <v>445</v>
      </c>
    </row>
    <row r="201" spans="1:17" x14ac:dyDescent="0.3">
      <c r="A201" t="s">
        <v>17</v>
      </c>
      <c r="B201" t="str">
        <f>"600230"</f>
        <v>600230</v>
      </c>
      <c r="C201" t="s">
        <v>446</v>
      </c>
      <c r="D201" t="s">
        <v>133</v>
      </c>
      <c r="F201">
        <v>-1671411380</v>
      </c>
      <c r="G201">
        <v>-936694889</v>
      </c>
      <c r="H201">
        <v>-403187489</v>
      </c>
      <c r="I201">
        <v>1424400558</v>
      </c>
      <c r="J201">
        <v>1726868886</v>
      </c>
      <c r="K201">
        <v>651532041</v>
      </c>
      <c r="L201">
        <v>-195007618</v>
      </c>
      <c r="M201">
        <v>-108274475</v>
      </c>
      <c r="N201">
        <v>332577699</v>
      </c>
      <c r="O201">
        <v>230102234</v>
      </c>
      <c r="P201">
        <v>382</v>
      </c>
      <c r="Q201" t="s">
        <v>447</v>
      </c>
    </row>
    <row r="202" spans="1:17" x14ac:dyDescent="0.3">
      <c r="A202" t="s">
        <v>17</v>
      </c>
      <c r="B202" t="str">
        <f>"600231"</f>
        <v>600231</v>
      </c>
      <c r="C202" t="s">
        <v>448</v>
      </c>
      <c r="D202" t="s">
        <v>38</v>
      </c>
      <c r="F202">
        <v>387126785</v>
      </c>
      <c r="G202">
        <v>1319432738</v>
      </c>
      <c r="H202">
        <v>1074234460</v>
      </c>
      <c r="I202">
        <v>1651802302</v>
      </c>
      <c r="J202">
        <v>1059481122</v>
      </c>
      <c r="K202">
        <v>-1347962429</v>
      </c>
      <c r="L202">
        <v>1038043664</v>
      </c>
      <c r="M202">
        <v>1163323582</v>
      </c>
      <c r="N202">
        <v>-33933222</v>
      </c>
      <c r="O202">
        <v>590851614</v>
      </c>
      <c r="P202">
        <v>187</v>
      </c>
      <c r="Q202" t="s">
        <v>449</v>
      </c>
    </row>
    <row r="203" spans="1:17" x14ac:dyDescent="0.3">
      <c r="A203" t="s">
        <v>17</v>
      </c>
      <c r="B203" t="str">
        <f>"600232"</f>
        <v>600232</v>
      </c>
      <c r="C203" t="s">
        <v>450</v>
      </c>
      <c r="D203" t="s">
        <v>78</v>
      </c>
      <c r="F203">
        <v>186274018</v>
      </c>
      <c r="G203">
        <v>176828025</v>
      </c>
      <c r="H203">
        <v>-81162147</v>
      </c>
      <c r="I203">
        <v>64958532</v>
      </c>
      <c r="J203">
        <v>-21563099</v>
      </c>
      <c r="K203">
        <v>46987325</v>
      </c>
      <c r="L203">
        <v>94843909</v>
      </c>
      <c r="M203">
        <v>76214533</v>
      </c>
      <c r="N203">
        <v>111746446</v>
      </c>
      <c r="O203">
        <v>69784651</v>
      </c>
      <c r="P203">
        <v>89</v>
      </c>
      <c r="Q203" t="s">
        <v>451</v>
      </c>
    </row>
    <row r="204" spans="1:17" x14ac:dyDescent="0.3">
      <c r="A204" t="s">
        <v>17</v>
      </c>
      <c r="B204" t="str">
        <f>"600233"</f>
        <v>600233</v>
      </c>
      <c r="C204" t="s">
        <v>452</v>
      </c>
      <c r="D204" t="s">
        <v>22</v>
      </c>
      <c r="F204">
        <v>-1337499359</v>
      </c>
      <c r="G204">
        <v>-1637344639</v>
      </c>
      <c r="H204">
        <v>486242951</v>
      </c>
      <c r="I204">
        <v>-1129282831</v>
      </c>
      <c r="J204">
        <v>-155871943</v>
      </c>
      <c r="K204">
        <v>293295013</v>
      </c>
      <c r="L204">
        <v>83028987</v>
      </c>
      <c r="M204">
        <v>-25162434</v>
      </c>
      <c r="N204">
        <v>65275781</v>
      </c>
      <c r="O204">
        <v>52232240</v>
      </c>
      <c r="P204">
        <v>736</v>
      </c>
      <c r="Q204" t="s">
        <v>453</v>
      </c>
    </row>
    <row r="205" spans="1:17" x14ac:dyDescent="0.3">
      <c r="A205" t="s">
        <v>17</v>
      </c>
      <c r="B205" t="str">
        <f>"600234"</f>
        <v>600234</v>
      </c>
      <c r="C205" t="s">
        <v>454</v>
      </c>
      <c r="D205" t="s">
        <v>103</v>
      </c>
      <c r="F205">
        <v>-131927832</v>
      </c>
      <c r="G205">
        <v>27275595</v>
      </c>
      <c r="H205">
        <v>43625622</v>
      </c>
      <c r="I205">
        <v>-142353561</v>
      </c>
      <c r="J205">
        <v>-100311202</v>
      </c>
      <c r="K205">
        <v>19677482</v>
      </c>
      <c r="L205">
        <v>-428716</v>
      </c>
      <c r="M205">
        <v>-25305582</v>
      </c>
      <c r="N205">
        <v>-2963051</v>
      </c>
      <c r="O205">
        <v>200537</v>
      </c>
      <c r="P205">
        <v>59</v>
      </c>
      <c r="Q205" t="s">
        <v>455</v>
      </c>
    </row>
    <row r="206" spans="1:17" x14ac:dyDescent="0.3">
      <c r="A206" t="s">
        <v>17</v>
      </c>
      <c r="B206" t="str">
        <f>"600235"</f>
        <v>600235</v>
      </c>
      <c r="C206" t="s">
        <v>456</v>
      </c>
      <c r="D206" t="s">
        <v>161</v>
      </c>
      <c r="F206">
        <v>48187167</v>
      </c>
      <c r="G206">
        <v>92292862</v>
      </c>
      <c r="H206">
        <v>32579428</v>
      </c>
      <c r="I206">
        <v>32637623</v>
      </c>
      <c r="J206">
        <v>39940326</v>
      </c>
      <c r="K206">
        <v>202107512</v>
      </c>
      <c r="L206">
        <v>-150891590</v>
      </c>
      <c r="M206">
        <v>-80008330</v>
      </c>
      <c r="N206">
        <v>-108130870</v>
      </c>
      <c r="O206">
        <v>38169702</v>
      </c>
      <c r="P206">
        <v>71</v>
      </c>
      <c r="Q206" t="s">
        <v>457</v>
      </c>
    </row>
    <row r="207" spans="1:17" x14ac:dyDescent="0.3">
      <c r="A207" t="s">
        <v>17</v>
      </c>
      <c r="B207" t="str">
        <f>"600236"</f>
        <v>600236</v>
      </c>
      <c r="C207" t="s">
        <v>458</v>
      </c>
      <c r="D207" t="s">
        <v>41</v>
      </c>
      <c r="F207">
        <v>2528078177</v>
      </c>
      <c r="G207">
        <v>2965614330</v>
      </c>
      <c r="H207">
        <v>4641406408</v>
      </c>
      <c r="I207">
        <v>5689843781</v>
      </c>
      <c r="J207">
        <v>4617691548</v>
      </c>
      <c r="K207">
        <v>4866364880</v>
      </c>
      <c r="L207">
        <v>7332666065</v>
      </c>
      <c r="M207">
        <v>2623416656</v>
      </c>
      <c r="N207">
        <v>1107589505</v>
      </c>
      <c r="O207">
        <v>406054132</v>
      </c>
      <c r="P207">
        <v>651</v>
      </c>
      <c r="Q207" t="s">
        <v>459</v>
      </c>
    </row>
    <row r="208" spans="1:17" x14ac:dyDescent="0.3">
      <c r="A208" t="s">
        <v>17</v>
      </c>
      <c r="B208" t="str">
        <f>"600237"</f>
        <v>600237</v>
      </c>
      <c r="C208" t="s">
        <v>460</v>
      </c>
      <c r="D208" t="s">
        <v>150</v>
      </c>
      <c r="F208">
        <v>113813184</v>
      </c>
      <c r="G208">
        <v>33858193</v>
      </c>
      <c r="H208">
        <v>99593985</v>
      </c>
      <c r="I208">
        <v>-49472910</v>
      </c>
      <c r="J208">
        <v>-8605303</v>
      </c>
      <c r="K208">
        <v>43141467</v>
      </c>
      <c r="L208">
        <v>137539911</v>
      </c>
      <c r="M208">
        <v>-206685247</v>
      </c>
      <c r="N208">
        <v>-166514315</v>
      </c>
      <c r="O208">
        <v>-150540262</v>
      </c>
      <c r="P208">
        <v>152</v>
      </c>
      <c r="Q208" t="s">
        <v>461</v>
      </c>
    </row>
    <row r="209" spans="1:17" x14ac:dyDescent="0.3">
      <c r="A209" t="s">
        <v>17</v>
      </c>
      <c r="B209" t="str">
        <f>"600238"</f>
        <v>600238</v>
      </c>
      <c r="C209" t="s">
        <v>462</v>
      </c>
      <c r="D209" t="s">
        <v>123</v>
      </c>
      <c r="F209">
        <v>-228123730</v>
      </c>
      <c r="G209">
        <v>104836350</v>
      </c>
      <c r="H209">
        <v>-99729678</v>
      </c>
      <c r="I209">
        <v>-190729817</v>
      </c>
      <c r="J209">
        <v>-267920206</v>
      </c>
      <c r="K209">
        <v>62440678</v>
      </c>
      <c r="L209">
        <v>29901706</v>
      </c>
      <c r="M209">
        <v>-151198603</v>
      </c>
      <c r="N209">
        <v>249042358</v>
      </c>
      <c r="O209">
        <v>144388945</v>
      </c>
      <c r="P209">
        <v>146</v>
      </c>
      <c r="Q209" t="s">
        <v>463</v>
      </c>
    </row>
    <row r="210" spans="1:17" x14ac:dyDescent="0.3">
      <c r="A210" t="s">
        <v>17</v>
      </c>
      <c r="B210" t="str">
        <f>"600239"</f>
        <v>600239</v>
      </c>
      <c r="C210" t="s">
        <v>464</v>
      </c>
      <c r="D210" t="s">
        <v>30</v>
      </c>
      <c r="F210">
        <v>27293391019</v>
      </c>
      <c r="G210">
        <v>487465192</v>
      </c>
      <c r="H210">
        <v>-2904039156</v>
      </c>
      <c r="I210">
        <v>-2145853480</v>
      </c>
      <c r="J210">
        <v>3433546662</v>
      </c>
      <c r="K210">
        <v>-1988220846</v>
      </c>
      <c r="L210">
        <v>-1234707677</v>
      </c>
      <c r="M210">
        <v>-2644475719</v>
      </c>
      <c r="N210">
        <v>-1749129411</v>
      </c>
      <c r="O210">
        <v>-1810573273</v>
      </c>
      <c r="P210">
        <v>128</v>
      </c>
      <c r="Q210" t="s">
        <v>465</v>
      </c>
    </row>
    <row r="211" spans="1:17" x14ac:dyDescent="0.3">
      <c r="A211" t="s">
        <v>17</v>
      </c>
      <c r="B211" t="str">
        <f>"600240"</f>
        <v>600240</v>
      </c>
      <c r="C211" t="s">
        <v>466</v>
      </c>
      <c r="H211">
        <v>263179663</v>
      </c>
      <c r="I211">
        <v>-16240428</v>
      </c>
      <c r="J211">
        <v>-1573849820</v>
      </c>
      <c r="K211">
        <v>1582970475</v>
      </c>
      <c r="L211">
        <v>3175757036</v>
      </c>
      <c r="M211">
        <v>1349733751</v>
      </c>
      <c r="N211">
        <v>1443172123</v>
      </c>
      <c r="O211">
        <v>635802016</v>
      </c>
      <c r="P211">
        <v>94</v>
      </c>
      <c r="Q211" t="s">
        <v>467</v>
      </c>
    </row>
    <row r="212" spans="1:17" x14ac:dyDescent="0.3">
      <c r="A212" t="s">
        <v>17</v>
      </c>
      <c r="B212" t="str">
        <f>"600241"</f>
        <v>600241</v>
      </c>
      <c r="C212" t="s">
        <v>468</v>
      </c>
      <c r="D212" t="s">
        <v>188</v>
      </c>
      <c r="F212">
        <v>257975105</v>
      </c>
      <c r="G212">
        <v>-87746739</v>
      </c>
      <c r="H212">
        <v>-50650354</v>
      </c>
      <c r="I212">
        <v>-392104776</v>
      </c>
      <c r="J212">
        <v>-294512404</v>
      </c>
      <c r="K212">
        <v>-69077287</v>
      </c>
      <c r="L212">
        <v>-85391303</v>
      </c>
      <c r="M212">
        <v>-57379070</v>
      </c>
      <c r="N212">
        <v>43792610</v>
      </c>
      <c r="O212">
        <v>201301869</v>
      </c>
      <c r="P212">
        <v>51</v>
      </c>
      <c r="Q212" t="s">
        <v>469</v>
      </c>
    </row>
    <row r="213" spans="1:17" x14ac:dyDescent="0.3">
      <c r="A213" t="s">
        <v>17</v>
      </c>
      <c r="B213" t="str">
        <f>"600242"</f>
        <v>600242</v>
      </c>
      <c r="C213" t="s">
        <v>470</v>
      </c>
      <c r="D213" t="s">
        <v>89</v>
      </c>
      <c r="F213">
        <v>50239027</v>
      </c>
      <c r="G213">
        <v>166742177</v>
      </c>
      <c r="H213">
        <v>112675238</v>
      </c>
      <c r="I213">
        <v>9249487</v>
      </c>
      <c r="J213">
        <v>77063099</v>
      </c>
      <c r="K213">
        <v>-377270722</v>
      </c>
      <c r="L213">
        <v>87279794</v>
      </c>
      <c r="M213">
        <v>-5248612</v>
      </c>
      <c r="N213">
        <v>-103264977</v>
      </c>
      <c r="O213">
        <v>286693088</v>
      </c>
      <c r="P213">
        <v>84</v>
      </c>
      <c r="Q213" t="s">
        <v>471</v>
      </c>
    </row>
    <row r="214" spans="1:17" x14ac:dyDescent="0.3">
      <c r="A214" t="s">
        <v>17</v>
      </c>
      <c r="B214" t="str">
        <f>"600243"</f>
        <v>600243</v>
      </c>
      <c r="C214" t="s">
        <v>472</v>
      </c>
      <c r="D214" t="s">
        <v>78</v>
      </c>
      <c r="F214">
        <v>47190585</v>
      </c>
      <c r="G214">
        <v>616523</v>
      </c>
      <c r="H214">
        <v>2938393</v>
      </c>
      <c r="I214">
        <v>48636293</v>
      </c>
      <c r="J214">
        <v>-30713046</v>
      </c>
      <c r="K214">
        <v>-370203609</v>
      </c>
      <c r="L214">
        <v>-151587395</v>
      </c>
      <c r="M214">
        <v>-116044523</v>
      </c>
      <c r="N214">
        <v>-27191299</v>
      </c>
      <c r="O214">
        <v>-198886126</v>
      </c>
      <c r="P214">
        <v>72</v>
      </c>
      <c r="Q214" t="s">
        <v>473</v>
      </c>
    </row>
    <row r="215" spans="1:17" x14ac:dyDescent="0.3">
      <c r="A215" t="s">
        <v>17</v>
      </c>
      <c r="B215" t="str">
        <f>"600246"</f>
        <v>600246</v>
      </c>
      <c r="C215" t="s">
        <v>474</v>
      </c>
      <c r="D215" t="s">
        <v>30</v>
      </c>
      <c r="F215">
        <v>51077984</v>
      </c>
      <c r="G215">
        <v>1217467140</v>
      </c>
      <c r="H215">
        <v>-342933707</v>
      </c>
      <c r="I215">
        <v>330103043</v>
      </c>
      <c r="J215">
        <v>980003958</v>
      </c>
      <c r="K215">
        <v>1322564690</v>
      </c>
      <c r="L215">
        <v>22935009</v>
      </c>
      <c r="M215">
        <v>-1194183721</v>
      </c>
      <c r="N215">
        <v>-550574384</v>
      </c>
      <c r="O215">
        <v>553728816</v>
      </c>
      <c r="P215">
        <v>122</v>
      </c>
      <c r="Q215" t="s">
        <v>475</v>
      </c>
    </row>
    <row r="216" spans="1:17" x14ac:dyDescent="0.3">
      <c r="A216" t="s">
        <v>17</v>
      </c>
      <c r="B216" t="str">
        <f>"600247"</f>
        <v>600247</v>
      </c>
      <c r="C216" t="s">
        <v>476</v>
      </c>
      <c r="H216">
        <v>1572530</v>
      </c>
      <c r="I216">
        <v>533426192</v>
      </c>
      <c r="J216">
        <v>339910304</v>
      </c>
      <c r="K216">
        <v>-673642</v>
      </c>
      <c r="L216">
        <v>3837278</v>
      </c>
      <c r="M216">
        <v>2134859</v>
      </c>
      <c r="N216">
        <v>78939974</v>
      </c>
      <c r="O216">
        <v>70728351</v>
      </c>
      <c r="P216">
        <v>29</v>
      </c>
      <c r="Q216" t="s">
        <v>477</v>
      </c>
    </row>
    <row r="217" spans="1:17" x14ac:dyDescent="0.3">
      <c r="A217" t="s">
        <v>17</v>
      </c>
      <c r="B217" t="str">
        <f>"600248"</f>
        <v>600248</v>
      </c>
      <c r="C217" t="s">
        <v>478</v>
      </c>
      <c r="D217" t="s">
        <v>95</v>
      </c>
      <c r="F217">
        <v>-3921923427</v>
      </c>
      <c r="G217">
        <v>-4075078306</v>
      </c>
      <c r="H217">
        <v>-333851835</v>
      </c>
      <c r="I217">
        <v>85656898</v>
      </c>
      <c r="J217">
        <v>521628176</v>
      </c>
      <c r="K217">
        <v>-13080687</v>
      </c>
      <c r="L217">
        <v>-473763912</v>
      </c>
      <c r="M217">
        <v>184646069</v>
      </c>
      <c r="N217">
        <v>-3489888</v>
      </c>
      <c r="O217">
        <v>129655216</v>
      </c>
      <c r="P217">
        <v>143</v>
      </c>
      <c r="Q217" t="s">
        <v>479</v>
      </c>
    </row>
    <row r="218" spans="1:17" x14ac:dyDescent="0.3">
      <c r="A218" t="s">
        <v>17</v>
      </c>
      <c r="B218" t="str">
        <f>"600249"</f>
        <v>600249</v>
      </c>
      <c r="C218" t="s">
        <v>480</v>
      </c>
      <c r="D218" t="s">
        <v>481</v>
      </c>
      <c r="F218">
        <v>-79780995</v>
      </c>
      <c r="G218">
        <v>-5597074</v>
      </c>
      <c r="H218">
        <v>56744309</v>
      </c>
      <c r="I218">
        <v>-22242589</v>
      </c>
      <c r="J218">
        <v>-249745130</v>
      </c>
      <c r="K218">
        <v>-43845697</v>
      </c>
      <c r="L218">
        <v>-528107118</v>
      </c>
      <c r="M218">
        <v>-350278879</v>
      </c>
      <c r="N218">
        <v>-143554586</v>
      </c>
      <c r="O218">
        <v>-294306689</v>
      </c>
      <c r="P218">
        <v>90</v>
      </c>
      <c r="Q218" t="s">
        <v>482</v>
      </c>
    </row>
    <row r="219" spans="1:17" x14ac:dyDescent="0.3">
      <c r="A219" t="s">
        <v>17</v>
      </c>
      <c r="B219" t="str">
        <f>"600250"</f>
        <v>600250</v>
      </c>
      <c r="C219" t="s">
        <v>483</v>
      </c>
      <c r="D219" t="s">
        <v>120</v>
      </c>
      <c r="F219">
        <v>17877930</v>
      </c>
      <c r="G219">
        <v>147085549</v>
      </c>
      <c r="H219">
        <v>-47646997</v>
      </c>
      <c r="I219">
        <v>-73062181</v>
      </c>
      <c r="J219">
        <v>-149618709</v>
      </c>
      <c r="K219">
        <v>120697208</v>
      </c>
      <c r="L219">
        <v>-216758914</v>
      </c>
      <c r="M219">
        <v>297679244</v>
      </c>
      <c r="N219">
        <v>-38446557</v>
      </c>
      <c r="O219">
        <v>-214198255</v>
      </c>
      <c r="P219">
        <v>70</v>
      </c>
      <c r="Q219" t="s">
        <v>484</v>
      </c>
    </row>
    <row r="220" spans="1:17" x14ac:dyDescent="0.3">
      <c r="A220" t="s">
        <v>17</v>
      </c>
      <c r="B220" t="str">
        <f>"600251"</f>
        <v>600251</v>
      </c>
      <c r="C220" t="s">
        <v>485</v>
      </c>
      <c r="D220" t="s">
        <v>205</v>
      </c>
      <c r="F220">
        <v>-196355550</v>
      </c>
      <c r="G220">
        <v>-1760483072</v>
      </c>
      <c r="H220">
        <v>1160501290</v>
      </c>
      <c r="I220">
        <v>-228606349</v>
      </c>
      <c r="J220">
        <v>-918644162</v>
      </c>
      <c r="K220">
        <v>-279107622</v>
      </c>
      <c r="L220">
        <v>-197860675</v>
      </c>
      <c r="M220">
        <v>-547534612</v>
      </c>
      <c r="N220">
        <v>-75647230</v>
      </c>
      <c r="O220">
        <v>92154695</v>
      </c>
      <c r="P220">
        <v>148</v>
      </c>
      <c r="Q220" t="s">
        <v>486</v>
      </c>
    </row>
    <row r="221" spans="1:17" x14ac:dyDescent="0.3">
      <c r="A221" t="s">
        <v>17</v>
      </c>
      <c r="B221" t="str">
        <f>"600252"</f>
        <v>600252</v>
      </c>
      <c r="C221" t="s">
        <v>487</v>
      </c>
      <c r="D221" t="s">
        <v>113</v>
      </c>
      <c r="F221">
        <v>-117260109</v>
      </c>
      <c r="G221">
        <v>618538047</v>
      </c>
      <c r="H221">
        <v>500359228</v>
      </c>
      <c r="I221">
        <v>686676968</v>
      </c>
      <c r="J221">
        <v>715198596</v>
      </c>
      <c r="K221">
        <v>1406383953</v>
      </c>
      <c r="L221">
        <v>-27611532</v>
      </c>
      <c r="M221">
        <v>190739435</v>
      </c>
      <c r="N221">
        <v>499960162</v>
      </c>
      <c r="O221">
        <v>755477843</v>
      </c>
      <c r="P221">
        <v>362</v>
      </c>
      <c r="Q221" t="s">
        <v>488</v>
      </c>
    </row>
    <row r="222" spans="1:17" x14ac:dyDescent="0.3">
      <c r="A222" t="s">
        <v>17</v>
      </c>
      <c r="B222" t="str">
        <f>"600253"</f>
        <v>600253</v>
      </c>
      <c r="C222" t="s">
        <v>489</v>
      </c>
      <c r="O222">
        <v>-65780228.670000002</v>
      </c>
      <c r="P222">
        <v>3</v>
      </c>
      <c r="Q222" t="s">
        <v>490</v>
      </c>
    </row>
    <row r="223" spans="1:17" x14ac:dyDescent="0.3">
      <c r="A223" t="s">
        <v>17</v>
      </c>
      <c r="B223" t="str">
        <f>"600255"</f>
        <v>600255</v>
      </c>
      <c r="C223" t="s">
        <v>491</v>
      </c>
      <c r="D223" t="s">
        <v>234</v>
      </c>
      <c r="F223">
        <v>-306523384</v>
      </c>
      <c r="G223">
        <v>117976586</v>
      </c>
      <c r="H223">
        <v>326228440</v>
      </c>
      <c r="I223">
        <v>106357669</v>
      </c>
      <c r="J223">
        <v>121932003</v>
      </c>
      <c r="K223">
        <v>81553741</v>
      </c>
      <c r="L223">
        <v>-125100867</v>
      </c>
      <c r="M223">
        <v>76428355</v>
      </c>
      <c r="N223">
        <v>-535007457</v>
      </c>
      <c r="O223">
        <v>-380227402</v>
      </c>
      <c r="P223">
        <v>82</v>
      </c>
      <c r="Q223" t="s">
        <v>492</v>
      </c>
    </row>
    <row r="224" spans="1:17" x14ac:dyDescent="0.3">
      <c r="A224" t="s">
        <v>17</v>
      </c>
      <c r="B224" t="str">
        <f>"600256"</f>
        <v>600256</v>
      </c>
      <c r="C224" t="s">
        <v>493</v>
      </c>
      <c r="D224" t="s">
        <v>70</v>
      </c>
      <c r="F224">
        <v>2644839042</v>
      </c>
      <c r="G224">
        <v>1502841851</v>
      </c>
      <c r="H224">
        <v>977542313</v>
      </c>
      <c r="I224">
        <v>2417849237</v>
      </c>
      <c r="J224">
        <v>1415718226</v>
      </c>
      <c r="K224">
        <v>335238997</v>
      </c>
      <c r="L224">
        <v>-1471273365</v>
      </c>
      <c r="M224">
        <v>-2886362103</v>
      </c>
      <c r="N224">
        <v>-3419918057</v>
      </c>
      <c r="O224">
        <v>-2272195526</v>
      </c>
      <c r="P224">
        <v>496</v>
      </c>
      <c r="Q224" t="s">
        <v>494</v>
      </c>
    </row>
    <row r="225" spans="1:17" x14ac:dyDescent="0.3">
      <c r="A225" t="s">
        <v>17</v>
      </c>
      <c r="B225" t="str">
        <f>"600257"</f>
        <v>600257</v>
      </c>
      <c r="C225" t="s">
        <v>495</v>
      </c>
      <c r="D225" t="s">
        <v>205</v>
      </c>
      <c r="F225">
        <v>17683581</v>
      </c>
      <c r="G225">
        <v>-46885431</v>
      </c>
      <c r="H225">
        <v>8701338</v>
      </c>
      <c r="I225">
        <v>-65633006</v>
      </c>
      <c r="J225">
        <v>9755749</v>
      </c>
      <c r="K225">
        <v>9715994</v>
      </c>
      <c r="L225">
        <v>6904255</v>
      </c>
      <c r="M225">
        <v>-49378342</v>
      </c>
      <c r="N225">
        <v>-119628033</v>
      </c>
      <c r="O225">
        <v>-10913318</v>
      </c>
      <c r="P225">
        <v>96</v>
      </c>
      <c r="Q225" t="s">
        <v>496</v>
      </c>
    </row>
    <row r="226" spans="1:17" x14ac:dyDescent="0.3">
      <c r="A226" t="s">
        <v>17</v>
      </c>
      <c r="B226" t="str">
        <f>"600258"</f>
        <v>600258</v>
      </c>
      <c r="C226" t="s">
        <v>497</v>
      </c>
      <c r="D226" t="s">
        <v>110</v>
      </c>
      <c r="F226">
        <v>1609548610</v>
      </c>
      <c r="G226">
        <v>-110954047</v>
      </c>
      <c r="H226">
        <v>1034155503</v>
      </c>
      <c r="I226">
        <v>1381713604</v>
      </c>
      <c r="J226">
        <v>1588965329</v>
      </c>
      <c r="K226">
        <v>1107737674</v>
      </c>
      <c r="L226">
        <v>330546823</v>
      </c>
      <c r="M226">
        <v>212640237</v>
      </c>
      <c r="N226">
        <v>185693074</v>
      </c>
      <c r="O226">
        <v>255964884</v>
      </c>
      <c r="P226">
        <v>516</v>
      </c>
      <c r="Q226" t="s">
        <v>498</v>
      </c>
    </row>
    <row r="227" spans="1:17" x14ac:dyDescent="0.3">
      <c r="A227" t="s">
        <v>17</v>
      </c>
      <c r="B227" t="str">
        <f>"600259"</f>
        <v>600259</v>
      </c>
      <c r="C227" t="s">
        <v>499</v>
      </c>
      <c r="D227" t="s">
        <v>234</v>
      </c>
      <c r="F227">
        <v>326259826</v>
      </c>
      <c r="G227">
        <v>511000230</v>
      </c>
      <c r="H227">
        <v>26763507</v>
      </c>
      <c r="I227">
        <v>-53999284</v>
      </c>
      <c r="J227">
        <v>140956140</v>
      </c>
      <c r="K227">
        <v>-470791409</v>
      </c>
      <c r="L227">
        <v>-105569317</v>
      </c>
      <c r="M227">
        <v>-633735237</v>
      </c>
      <c r="N227">
        <v>-275348953</v>
      </c>
      <c r="O227">
        <v>-50562811</v>
      </c>
      <c r="P227">
        <v>221</v>
      </c>
      <c r="Q227" t="s">
        <v>500</v>
      </c>
    </row>
    <row r="228" spans="1:17" x14ac:dyDescent="0.3">
      <c r="A228" t="s">
        <v>17</v>
      </c>
      <c r="B228" t="str">
        <f>"600260"</f>
        <v>600260</v>
      </c>
      <c r="C228" t="s">
        <v>501</v>
      </c>
      <c r="D228" t="s">
        <v>100</v>
      </c>
      <c r="F228">
        <v>-635604889</v>
      </c>
      <c r="G228">
        <v>2016991633</v>
      </c>
      <c r="H228">
        <v>1748980150</v>
      </c>
      <c r="I228">
        <v>1559185464</v>
      </c>
      <c r="J228">
        <v>32562986</v>
      </c>
      <c r="K228">
        <v>-1736463908</v>
      </c>
      <c r="L228">
        <v>888445690</v>
      </c>
      <c r="M228">
        <v>-188703412</v>
      </c>
      <c r="N228">
        <v>-99386964</v>
      </c>
      <c r="O228">
        <v>-19329133</v>
      </c>
      <c r="P228">
        <v>467</v>
      </c>
      <c r="Q228" t="s">
        <v>502</v>
      </c>
    </row>
    <row r="229" spans="1:17" x14ac:dyDescent="0.3">
      <c r="A229" t="s">
        <v>17</v>
      </c>
      <c r="B229" t="str">
        <f>"600261"</f>
        <v>600261</v>
      </c>
      <c r="C229" t="s">
        <v>503</v>
      </c>
      <c r="D229" t="s">
        <v>126</v>
      </c>
      <c r="F229">
        <v>283562940</v>
      </c>
      <c r="G229">
        <v>679742865</v>
      </c>
      <c r="H229">
        <v>784843565</v>
      </c>
      <c r="I229">
        <v>279130277</v>
      </c>
      <c r="J229">
        <v>34424277</v>
      </c>
      <c r="K229">
        <v>807404040</v>
      </c>
      <c r="L229">
        <v>319387670</v>
      </c>
      <c r="M229">
        <v>513697828</v>
      </c>
      <c r="N229">
        <v>260698004</v>
      </c>
      <c r="O229">
        <v>61504801</v>
      </c>
      <c r="P229">
        <v>440</v>
      </c>
      <c r="Q229" t="s">
        <v>504</v>
      </c>
    </row>
    <row r="230" spans="1:17" x14ac:dyDescent="0.3">
      <c r="A230" t="s">
        <v>17</v>
      </c>
      <c r="B230" t="str">
        <f>"600262"</f>
        <v>600262</v>
      </c>
      <c r="C230" t="s">
        <v>505</v>
      </c>
      <c r="D230" t="s">
        <v>78</v>
      </c>
      <c r="F230">
        <v>76727345</v>
      </c>
      <c r="G230">
        <v>78041575</v>
      </c>
      <c r="H230">
        <v>70221483</v>
      </c>
      <c r="I230">
        <v>49703294</v>
      </c>
      <c r="J230">
        <v>141095190</v>
      </c>
      <c r="K230">
        <v>314757376</v>
      </c>
      <c r="L230">
        <v>127958199</v>
      </c>
      <c r="M230">
        <v>164553717</v>
      </c>
      <c r="N230">
        <v>46547592</v>
      </c>
      <c r="O230">
        <v>236814393</v>
      </c>
      <c r="P230">
        <v>75</v>
      </c>
      <c r="Q230" t="s">
        <v>506</v>
      </c>
    </row>
    <row r="231" spans="1:17" x14ac:dyDescent="0.3">
      <c r="A231" t="s">
        <v>17</v>
      </c>
      <c r="B231" t="str">
        <f>"600265"</f>
        <v>600265</v>
      </c>
      <c r="C231" t="s">
        <v>507</v>
      </c>
      <c r="D231" t="s">
        <v>205</v>
      </c>
      <c r="F231">
        <v>-51632773</v>
      </c>
      <c r="G231">
        <v>45913844</v>
      </c>
      <c r="H231">
        <v>10795870</v>
      </c>
      <c r="I231">
        <v>27767437</v>
      </c>
      <c r="J231">
        <v>-35730790</v>
      </c>
      <c r="K231">
        <v>-33255162</v>
      </c>
      <c r="L231">
        <v>11876827</v>
      </c>
      <c r="M231">
        <v>37558302</v>
      </c>
      <c r="N231">
        <v>86447715</v>
      </c>
      <c r="O231">
        <v>-33568150</v>
      </c>
      <c r="P231">
        <v>46</v>
      </c>
      <c r="Q231" t="s">
        <v>508</v>
      </c>
    </row>
    <row r="232" spans="1:17" x14ac:dyDescent="0.3">
      <c r="A232" t="s">
        <v>17</v>
      </c>
      <c r="B232" t="str">
        <f>"600266"</f>
        <v>600266</v>
      </c>
      <c r="C232" t="s">
        <v>509</v>
      </c>
      <c r="D232" t="s">
        <v>30</v>
      </c>
      <c r="F232">
        <v>2986473611</v>
      </c>
      <c r="G232">
        <v>-999759141</v>
      </c>
      <c r="H232">
        <v>-868903972</v>
      </c>
      <c r="I232">
        <v>-8758097330</v>
      </c>
      <c r="J232">
        <v>-13955353890</v>
      </c>
      <c r="K232">
        <v>-1750959277</v>
      </c>
      <c r="L232">
        <v>-5632806808</v>
      </c>
      <c r="M232">
        <v>-6203908609</v>
      </c>
      <c r="N232">
        <v>-4191194428</v>
      </c>
      <c r="O232">
        <v>1359745709</v>
      </c>
      <c r="P232">
        <v>338</v>
      </c>
      <c r="Q232" t="s">
        <v>510</v>
      </c>
    </row>
    <row r="233" spans="1:17" x14ac:dyDescent="0.3">
      <c r="A233" t="s">
        <v>17</v>
      </c>
      <c r="B233" t="str">
        <f>"600267"</f>
        <v>600267</v>
      </c>
      <c r="C233" t="s">
        <v>511</v>
      </c>
      <c r="D233" t="s">
        <v>113</v>
      </c>
      <c r="F233">
        <v>1317819510</v>
      </c>
      <c r="G233">
        <v>1319711992</v>
      </c>
      <c r="H233">
        <v>-109368092</v>
      </c>
      <c r="I233">
        <v>-144597805</v>
      </c>
      <c r="J233">
        <v>-219792544</v>
      </c>
      <c r="K233">
        <v>-971530913</v>
      </c>
      <c r="L233">
        <v>-1174711770</v>
      </c>
      <c r="M233">
        <v>-1586941258</v>
      </c>
      <c r="N233">
        <v>-1544454668</v>
      </c>
      <c r="O233">
        <v>-1242300930</v>
      </c>
      <c r="P233">
        <v>532</v>
      </c>
      <c r="Q233" t="s">
        <v>512</v>
      </c>
    </row>
    <row r="234" spans="1:17" x14ac:dyDescent="0.3">
      <c r="A234" t="s">
        <v>17</v>
      </c>
      <c r="B234" t="str">
        <f>"600268"</f>
        <v>600268</v>
      </c>
      <c r="C234" t="s">
        <v>513</v>
      </c>
      <c r="D234" t="s">
        <v>188</v>
      </c>
      <c r="F234">
        <v>708951669</v>
      </c>
      <c r="G234">
        <v>666832309</v>
      </c>
      <c r="H234">
        <v>750877423</v>
      </c>
      <c r="I234">
        <v>523701266</v>
      </c>
      <c r="J234">
        <v>73817206</v>
      </c>
      <c r="K234">
        <v>496172189</v>
      </c>
      <c r="L234">
        <v>413391738</v>
      </c>
      <c r="M234">
        <v>127791289</v>
      </c>
      <c r="N234">
        <v>-120390381</v>
      </c>
      <c r="O234">
        <v>-433362701</v>
      </c>
      <c r="P234">
        <v>245</v>
      </c>
      <c r="Q234" t="s">
        <v>514</v>
      </c>
    </row>
    <row r="235" spans="1:17" x14ac:dyDescent="0.3">
      <c r="A235" t="s">
        <v>17</v>
      </c>
      <c r="B235" t="str">
        <f>"600269"</f>
        <v>600269</v>
      </c>
      <c r="C235" t="s">
        <v>515</v>
      </c>
      <c r="D235" t="s">
        <v>22</v>
      </c>
      <c r="F235">
        <v>2856704897</v>
      </c>
      <c r="G235">
        <v>1570133294</v>
      </c>
      <c r="H235">
        <v>302811719</v>
      </c>
      <c r="I235">
        <v>671272802</v>
      </c>
      <c r="J235">
        <v>389201200</v>
      </c>
      <c r="K235">
        <v>667446525</v>
      </c>
      <c r="L235">
        <v>579572291</v>
      </c>
      <c r="M235">
        <v>-761623323</v>
      </c>
      <c r="N235">
        <v>-639546223</v>
      </c>
      <c r="O235">
        <v>-490414020</v>
      </c>
      <c r="P235">
        <v>405</v>
      </c>
      <c r="Q235" t="s">
        <v>516</v>
      </c>
    </row>
    <row r="236" spans="1:17" x14ac:dyDescent="0.3">
      <c r="A236" t="s">
        <v>17</v>
      </c>
      <c r="B236" t="str">
        <f>"600270"</f>
        <v>600270</v>
      </c>
      <c r="C236" t="s">
        <v>517</v>
      </c>
      <c r="J236">
        <v>200281174</v>
      </c>
      <c r="K236">
        <v>-342653165</v>
      </c>
      <c r="L236">
        <v>-382369984.66000003</v>
      </c>
      <c r="M236">
        <v>-358399984.88999999</v>
      </c>
      <c r="N236">
        <v>-205579818.56999999</v>
      </c>
      <c r="O236">
        <v>-264115890.36000001</v>
      </c>
      <c r="P236">
        <v>101</v>
      </c>
      <c r="Q236" t="s">
        <v>518</v>
      </c>
    </row>
    <row r="237" spans="1:17" x14ac:dyDescent="0.3">
      <c r="A237" t="s">
        <v>17</v>
      </c>
      <c r="B237" t="str">
        <f>"600271"</f>
        <v>600271</v>
      </c>
      <c r="C237" t="s">
        <v>519</v>
      </c>
      <c r="D237" t="s">
        <v>212</v>
      </c>
      <c r="F237">
        <v>1068074371</v>
      </c>
      <c r="G237">
        <v>2135143414</v>
      </c>
      <c r="H237">
        <v>898120069</v>
      </c>
      <c r="I237">
        <v>1049105507</v>
      </c>
      <c r="J237">
        <v>2450510213</v>
      </c>
      <c r="K237">
        <v>2598455715</v>
      </c>
      <c r="L237">
        <v>2264595454</v>
      </c>
      <c r="M237">
        <v>1367876552</v>
      </c>
      <c r="N237">
        <v>1306248144</v>
      </c>
      <c r="O237">
        <v>1049253583</v>
      </c>
      <c r="P237">
        <v>16700</v>
      </c>
      <c r="Q237" t="s">
        <v>520</v>
      </c>
    </row>
    <row r="238" spans="1:17" x14ac:dyDescent="0.3">
      <c r="A238" t="s">
        <v>17</v>
      </c>
      <c r="B238" t="str">
        <f>"600272"</f>
        <v>600272</v>
      </c>
      <c r="C238" t="s">
        <v>521</v>
      </c>
      <c r="D238" t="s">
        <v>113</v>
      </c>
      <c r="F238">
        <v>-212687389</v>
      </c>
      <c r="G238">
        <v>74805278</v>
      </c>
      <c r="H238">
        <v>16213428</v>
      </c>
      <c r="I238">
        <v>31734556</v>
      </c>
      <c r="J238">
        <v>40407867</v>
      </c>
      <c r="K238">
        <v>8676261</v>
      </c>
      <c r="L238">
        <v>12182386</v>
      </c>
      <c r="M238">
        <v>18989755</v>
      </c>
      <c r="N238">
        <v>-26404128</v>
      </c>
      <c r="O238">
        <v>14011320</v>
      </c>
      <c r="P238">
        <v>66</v>
      </c>
      <c r="Q238" t="s">
        <v>522</v>
      </c>
    </row>
    <row r="239" spans="1:17" x14ac:dyDescent="0.3">
      <c r="A239" t="s">
        <v>17</v>
      </c>
      <c r="B239" t="str">
        <f>"600273"</f>
        <v>600273</v>
      </c>
      <c r="C239" t="s">
        <v>523</v>
      </c>
      <c r="D239" t="s">
        <v>133</v>
      </c>
      <c r="F239">
        <v>1443538100</v>
      </c>
      <c r="G239">
        <v>844994917</v>
      </c>
      <c r="H239">
        <v>911921289</v>
      </c>
      <c r="I239">
        <v>408345558</v>
      </c>
      <c r="J239">
        <v>392009547</v>
      </c>
      <c r="K239">
        <v>619540552</v>
      </c>
      <c r="L239">
        <v>184220441</v>
      </c>
      <c r="M239">
        <v>218217965</v>
      </c>
      <c r="N239">
        <v>10424950</v>
      </c>
      <c r="O239">
        <v>494403214</v>
      </c>
      <c r="P239">
        <v>3524</v>
      </c>
      <c r="Q239" t="s">
        <v>524</v>
      </c>
    </row>
    <row r="240" spans="1:17" x14ac:dyDescent="0.3">
      <c r="A240" t="s">
        <v>17</v>
      </c>
      <c r="B240" t="str">
        <f>"600275"</f>
        <v>600275</v>
      </c>
      <c r="C240" t="s">
        <v>525</v>
      </c>
      <c r="D240" t="s">
        <v>205</v>
      </c>
      <c r="F240">
        <v>-4218870</v>
      </c>
      <c r="G240">
        <v>-7077263</v>
      </c>
      <c r="H240">
        <v>-15793405</v>
      </c>
      <c r="I240">
        <v>-22503818</v>
      </c>
      <c r="J240">
        <v>-27773639</v>
      </c>
      <c r="K240">
        <v>10246074</v>
      </c>
      <c r="L240">
        <v>-16101467</v>
      </c>
      <c r="M240">
        <v>-1512816</v>
      </c>
      <c r="N240">
        <v>-17768989</v>
      </c>
      <c r="O240">
        <v>-18661764</v>
      </c>
      <c r="P240">
        <v>47</v>
      </c>
      <c r="Q240" t="s">
        <v>526</v>
      </c>
    </row>
    <row r="241" spans="1:17" x14ac:dyDescent="0.3">
      <c r="A241" t="s">
        <v>17</v>
      </c>
      <c r="B241" t="str">
        <f>"600276"</f>
        <v>600276</v>
      </c>
      <c r="C241" t="s">
        <v>527</v>
      </c>
      <c r="D241" t="s">
        <v>113</v>
      </c>
      <c r="F241">
        <v>2570294168</v>
      </c>
      <c r="G241">
        <v>2881162636</v>
      </c>
      <c r="H241">
        <v>3256685241</v>
      </c>
      <c r="I241">
        <v>2248657546</v>
      </c>
      <c r="J241">
        <v>2168666140</v>
      </c>
      <c r="K241">
        <v>1482238974</v>
      </c>
      <c r="L241">
        <v>1883325813</v>
      </c>
      <c r="M241">
        <v>1275925302</v>
      </c>
      <c r="N241">
        <v>912262906</v>
      </c>
      <c r="O241">
        <v>491978323</v>
      </c>
      <c r="P241">
        <v>70857</v>
      </c>
      <c r="Q241" t="s">
        <v>528</v>
      </c>
    </row>
    <row r="242" spans="1:17" x14ac:dyDescent="0.3">
      <c r="A242" t="s">
        <v>17</v>
      </c>
      <c r="B242" t="str">
        <f>"600277"</f>
        <v>600277</v>
      </c>
      <c r="C242" t="s">
        <v>529</v>
      </c>
      <c r="D242" t="s">
        <v>133</v>
      </c>
      <c r="F242">
        <v>1441388021</v>
      </c>
      <c r="G242">
        <v>-104262027</v>
      </c>
      <c r="H242">
        <v>689588898</v>
      </c>
      <c r="I242">
        <v>2778272597</v>
      </c>
      <c r="J242">
        <v>-288287161</v>
      </c>
      <c r="K242">
        <v>-395099591</v>
      </c>
      <c r="L242">
        <v>735267796</v>
      </c>
      <c r="M242">
        <v>515178363</v>
      </c>
      <c r="N242">
        <v>-717399025</v>
      </c>
      <c r="O242">
        <v>-164524480</v>
      </c>
      <c r="P242">
        <v>187</v>
      </c>
      <c r="Q242" t="s">
        <v>530</v>
      </c>
    </row>
    <row r="243" spans="1:17" x14ac:dyDescent="0.3">
      <c r="A243" t="s">
        <v>17</v>
      </c>
      <c r="B243" t="str">
        <f>"600278"</f>
        <v>600278</v>
      </c>
      <c r="C243" t="s">
        <v>531</v>
      </c>
      <c r="D243" t="s">
        <v>120</v>
      </c>
      <c r="F243">
        <v>-118247138</v>
      </c>
      <c r="G243">
        <v>-111226210</v>
      </c>
      <c r="H243">
        <v>320770113</v>
      </c>
      <c r="I243">
        <v>31806113</v>
      </c>
      <c r="J243">
        <v>-9814024</v>
      </c>
      <c r="K243">
        <v>558406959</v>
      </c>
      <c r="L243">
        <v>190325596</v>
      </c>
      <c r="M243">
        <v>-411580429</v>
      </c>
      <c r="N243">
        <v>234091233</v>
      </c>
      <c r="O243">
        <v>200146708</v>
      </c>
      <c r="P243">
        <v>90</v>
      </c>
      <c r="Q243" t="s">
        <v>532</v>
      </c>
    </row>
    <row r="244" spans="1:17" x14ac:dyDescent="0.3">
      <c r="A244" t="s">
        <v>17</v>
      </c>
      <c r="B244" t="str">
        <f>"600279"</f>
        <v>600279</v>
      </c>
      <c r="C244" t="s">
        <v>533</v>
      </c>
      <c r="D244" t="s">
        <v>22</v>
      </c>
      <c r="F244">
        <v>53003679</v>
      </c>
      <c r="G244">
        <v>394744767</v>
      </c>
      <c r="H244">
        <v>232170382</v>
      </c>
      <c r="I244">
        <v>425475713</v>
      </c>
      <c r="J244">
        <v>200812607</v>
      </c>
      <c r="K244">
        <v>-328195902</v>
      </c>
      <c r="L244">
        <v>114729560</v>
      </c>
      <c r="M244">
        <v>395990818</v>
      </c>
      <c r="N244">
        <v>329052545</v>
      </c>
      <c r="O244">
        <v>12537695</v>
      </c>
      <c r="P244">
        <v>125</v>
      </c>
      <c r="Q244" t="s">
        <v>534</v>
      </c>
    </row>
    <row r="245" spans="1:17" x14ac:dyDescent="0.3">
      <c r="A245" t="s">
        <v>17</v>
      </c>
      <c r="B245" t="str">
        <f>"600280"</f>
        <v>600280</v>
      </c>
      <c r="C245" t="s">
        <v>535</v>
      </c>
      <c r="D245" t="s">
        <v>120</v>
      </c>
      <c r="F245">
        <v>578522670</v>
      </c>
      <c r="G245">
        <v>1968654</v>
      </c>
      <c r="H245">
        <v>362399564</v>
      </c>
      <c r="I245">
        <v>25787285</v>
      </c>
      <c r="J245">
        <v>456236668</v>
      </c>
      <c r="K245">
        <v>598630954</v>
      </c>
      <c r="L245">
        <v>-922775661</v>
      </c>
      <c r="M245">
        <v>-1958097170</v>
      </c>
      <c r="N245">
        <v>-1128980173</v>
      </c>
      <c r="O245">
        <v>-495098213</v>
      </c>
      <c r="P245">
        <v>81</v>
      </c>
      <c r="Q245" t="s">
        <v>536</v>
      </c>
    </row>
    <row r="246" spans="1:17" x14ac:dyDescent="0.3">
      <c r="A246" t="s">
        <v>17</v>
      </c>
      <c r="B246" t="str">
        <f>"600281"</f>
        <v>600281</v>
      </c>
      <c r="C246" t="s">
        <v>537</v>
      </c>
      <c r="D246" t="s">
        <v>234</v>
      </c>
      <c r="F246">
        <v>-159957956</v>
      </c>
      <c r="G246">
        <v>84296099</v>
      </c>
      <c r="H246">
        <v>-72735388</v>
      </c>
      <c r="I246">
        <v>-62085605</v>
      </c>
      <c r="J246">
        <v>-55585357</v>
      </c>
      <c r="K246">
        <v>-1393912</v>
      </c>
      <c r="L246">
        <v>-46464834</v>
      </c>
      <c r="M246">
        <v>-77994088</v>
      </c>
      <c r="N246">
        <v>-389747356</v>
      </c>
      <c r="O246">
        <v>-19733980</v>
      </c>
      <c r="P246">
        <v>68</v>
      </c>
      <c r="Q246" t="s">
        <v>538</v>
      </c>
    </row>
    <row r="247" spans="1:17" x14ac:dyDescent="0.3">
      <c r="A247" t="s">
        <v>17</v>
      </c>
      <c r="B247" t="str">
        <f>"600282"</f>
        <v>600282</v>
      </c>
      <c r="C247" t="s">
        <v>539</v>
      </c>
      <c r="D247" t="s">
        <v>38</v>
      </c>
      <c r="F247">
        <v>1961366576</v>
      </c>
      <c r="G247">
        <v>-202657265</v>
      </c>
      <c r="H247">
        <v>3097409811</v>
      </c>
      <c r="I247">
        <v>4335802533</v>
      </c>
      <c r="J247">
        <v>1956351445</v>
      </c>
      <c r="K247">
        <v>2515006342</v>
      </c>
      <c r="L247">
        <v>-601849948</v>
      </c>
      <c r="M247">
        <v>1124814908</v>
      </c>
      <c r="N247">
        <v>-1128487041</v>
      </c>
      <c r="O247">
        <v>1217612120</v>
      </c>
      <c r="P247">
        <v>1310</v>
      </c>
      <c r="Q247" t="s">
        <v>540</v>
      </c>
    </row>
    <row r="248" spans="1:17" x14ac:dyDescent="0.3">
      <c r="A248" t="s">
        <v>17</v>
      </c>
      <c r="B248" t="str">
        <f>"600283"</f>
        <v>600283</v>
      </c>
      <c r="C248" t="s">
        <v>541</v>
      </c>
      <c r="D248" t="s">
        <v>33</v>
      </c>
      <c r="F248">
        <v>-29255201</v>
      </c>
      <c r="G248">
        <v>-121095256</v>
      </c>
      <c r="H248">
        <v>63087600</v>
      </c>
      <c r="I248">
        <v>89749224</v>
      </c>
      <c r="J248">
        <v>6867397</v>
      </c>
      <c r="K248">
        <v>-168033666</v>
      </c>
      <c r="L248">
        <v>-87874938</v>
      </c>
      <c r="M248">
        <v>-423070881</v>
      </c>
      <c r="N248">
        <v>-252959254</v>
      </c>
      <c r="O248">
        <v>-83574484</v>
      </c>
      <c r="P248">
        <v>122</v>
      </c>
      <c r="Q248" t="s">
        <v>542</v>
      </c>
    </row>
    <row r="249" spans="1:17" x14ac:dyDescent="0.3">
      <c r="A249" t="s">
        <v>17</v>
      </c>
      <c r="B249" t="str">
        <f>"600284"</f>
        <v>600284</v>
      </c>
      <c r="C249" t="s">
        <v>543</v>
      </c>
      <c r="D249" t="s">
        <v>95</v>
      </c>
      <c r="F249">
        <v>886109517</v>
      </c>
      <c r="G249">
        <v>-770459941</v>
      </c>
      <c r="H249">
        <v>1179614754</v>
      </c>
      <c r="I249">
        <v>-87634411</v>
      </c>
      <c r="J249">
        <v>316104928</v>
      </c>
      <c r="K249">
        <v>-170191507</v>
      </c>
      <c r="L249">
        <v>-235884573</v>
      </c>
      <c r="M249">
        <v>245042634</v>
      </c>
      <c r="N249">
        <v>-88157403</v>
      </c>
      <c r="O249">
        <v>-43284560</v>
      </c>
      <c r="P249">
        <v>172</v>
      </c>
      <c r="Q249" t="s">
        <v>544</v>
      </c>
    </row>
    <row r="250" spans="1:17" x14ac:dyDescent="0.3">
      <c r="A250" t="s">
        <v>17</v>
      </c>
      <c r="B250" t="str">
        <f>"600285"</f>
        <v>600285</v>
      </c>
      <c r="C250" t="s">
        <v>545</v>
      </c>
      <c r="D250" t="s">
        <v>113</v>
      </c>
      <c r="F250">
        <v>769253349</v>
      </c>
      <c r="G250">
        <v>378913669</v>
      </c>
      <c r="H250">
        <v>391957090</v>
      </c>
      <c r="I250">
        <v>389038314</v>
      </c>
      <c r="J250">
        <v>-150613858</v>
      </c>
      <c r="K250">
        <v>-153755364</v>
      </c>
      <c r="L250">
        <v>72670700</v>
      </c>
      <c r="M250">
        <v>22776608</v>
      </c>
      <c r="N250">
        <v>-39586507</v>
      </c>
      <c r="O250">
        <v>-84925508</v>
      </c>
      <c r="P250">
        <v>606</v>
      </c>
      <c r="Q250" t="s">
        <v>546</v>
      </c>
    </row>
    <row r="251" spans="1:17" x14ac:dyDescent="0.3">
      <c r="A251" t="s">
        <v>17</v>
      </c>
      <c r="B251" t="str">
        <f>"600286"</f>
        <v>600286</v>
      </c>
      <c r="C251" t="s">
        <v>547</v>
      </c>
      <c r="K251">
        <v>-42622602.5</v>
      </c>
      <c r="L251">
        <v>-3602471.67</v>
      </c>
      <c r="M251">
        <v>17229.189999999999</v>
      </c>
      <c r="N251">
        <v>89139.77</v>
      </c>
      <c r="O251">
        <v>279047.31</v>
      </c>
      <c r="P251">
        <v>18</v>
      </c>
      <c r="Q251" t="s">
        <v>548</v>
      </c>
    </row>
    <row r="252" spans="1:17" x14ac:dyDescent="0.3">
      <c r="A252" t="s">
        <v>17</v>
      </c>
      <c r="B252" t="str">
        <f>"600287"</f>
        <v>600287</v>
      </c>
      <c r="C252" t="s">
        <v>549</v>
      </c>
      <c r="D252" t="s">
        <v>120</v>
      </c>
      <c r="F252">
        <v>-942620768</v>
      </c>
      <c r="G252">
        <v>40655546</v>
      </c>
      <c r="H252">
        <v>211192851</v>
      </c>
      <c r="I252">
        <v>104210258</v>
      </c>
      <c r="J252">
        <v>-73417081</v>
      </c>
      <c r="K252">
        <v>137026320</v>
      </c>
      <c r="L252">
        <v>447523392</v>
      </c>
      <c r="M252">
        <v>-250175780</v>
      </c>
      <c r="N252">
        <v>255556122</v>
      </c>
      <c r="O252">
        <v>-178083465</v>
      </c>
      <c r="P252">
        <v>72</v>
      </c>
      <c r="Q252" t="s">
        <v>550</v>
      </c>
    </row>
    <row r="253" spans="1:17" x14ac:dyDescent="0.3">
      <c r="A253" t="s">
        <v>17</v>
      </c>
      <c r="B253" t="str">
        <f>"600288"</f>
        <v>600288</v>
      </c>
      <c r="C253" t="s">
        <v>551</v>
      </c>
      <c r="D253" t="s">
        <v>150</v>
      </c>
      <c r="F253">
        <v>-40823805</v>
      </c>
      <c r="G253">
        <v>95085357</v>
      </c>
      <c r="H253">
        <v>21468473</v>
      </c>
      <c r="I253">
        <v>23535930</v>
      </c>
      <c r="J253">
        <v>63102474</v>
      </c>
      <c r="K253">
        <v>30623964</v>
      </c>
      <c r="L253">
        <v>155673826</v>
      </c>
      <c r="M253">
        <v>192747246</v>
      </c>
      <c r="N253">
        <v>-16261351</v>
      </c>
      <c r="O253">
        <v>-86264655</v>
      </c>
      <c r="P253">
        <v>95</v>
      </c>
      <c r="Q253" t="s">
        <v>552</v>
      </c>
    </row>
    <row r="254" spans="1:17" x14ac:dyDescent="0.3">
      <c r="A254" t="s">
        <v>17</v>
      </c>
      <c r="B254" t="str">
        <f>"600289"</f>
        <v>600289</v>
      </c>
      <c r="C254" t="s">
        <v>553</v>
      </c>
      <c r="D254" t="s">
        <v>100</v>
      </c>
      <c r="F254">
        <v>-124052461</v>
      </c>
      <c r="G254">
        <v>588425972</v>
      </c>
      <c r="H254">
        <v>-137487543</v>
      </c>
      <c r="I254">
        <v>-33057639</v>
      </c>
      <c r="J254">
        <v>-1394918917</v>
      </c>
      <c r="K254">
        <v>-15710446</v>
      </c>
      <c r="L254">
        <v>81072237</v>
      </c>
      <c r="M254">
        <v>83388722</v>
      </c>
      <c r="N254">
        <v>63841690</v>
      </c>
      <c r="O254">
        <v>219690165</v>
      </c>
      <c r="P254">
        <v>74</v>
      </c>
      <c r="Q254" t="s">
        <v>554</v>
      </c>
    </row>
    <row r="255" spans="1:17" x14ac:dyDescent="0.3">
      <c r="A255" t="s">
        <v>17</v>
      </c>
      <c r="B255" t="str">
        <f>"600290"</f>
        <v>600290</v>
      </c>
      <c r="C255" t="s">
        <v>555</v>
      </c>
      <c r="D255" t="s">
        <v>188</v>
      </c>
      <c r="F255">
        <v>-101516467</v>
      </c>
      <c r="G255">
        <v>-409670730</v>
      </c>
      <c r="H255">
        <v>438203708</v>
      </c>
      <c r="I255">
        <v>645874804</v>
      </c>
      <c r="J255">
        <v>-274388778</v>
      </c>
      <c r="K255">
        <v>-624612583</v>
      </c>
      <c r="L255">
        <v>-107278626</v>
      </c>
      <c r="M255">
        <v>-433798878</v>
      </c>
      <c r="N255">
        <v>54132352</v>
      </c>
      <c r="O255">
        <v>-226100973</v>
      </c>
      <c r="P255">
        <v>68</v>
      </c>
      <c r="Q255" t="s">
        <v>556</v>
      </c>
    </row>
    <row r="256" spans="1:17" x14ac:dyDescent="0.3">
      <c r="A256" t="s">
        <v>17</v>
      </c>
      <c r="B256" t="str">
        <f>"600291"</f>
        <v>600291</v>
      </c>
      <c r="C256" t="s">
        <v>557</v>
      </c>
      <c r="D256" t="s">
        <v>75</v>
      </c>
      <c r="F256">
        <v>37736049</v>
      </c>
      <c r="G256">
        <v>-1312747075</v>
      </c>
      <c r="H256">
        <v>-52539938716</v>
      </c>
      <c r="I256">
        <v>-121105924620</v>
      </c>
      <c r="J256">
        <v>-92092535920</v>
      </c>
      <c r="K256">
        <v>104250823482</v>
      </c>
      <c r="L256">
        <v>93529566877</v>
      </c>
      <c r="M256">
        <v>25335610273</v>
      </c>
      <c r="N256">
        <v>662798197.16999996</v>
      </c>
      <c r="O256">
        <v>217571474.46000001</v>
      </c>
      <c r="P256">
        <v>276</v>
      </c>
      <c r="Q256" t="s">
        <v>558</v>
      </c>
    </row>
    <row r="257" spans="1:17" x14ac:dyDescent="0.3">
      <c r="A257" t="s">
        <v>17</v>
      </c>
      <c r="B257" t="str">
        <f>"600292"</f>
        <v>600292</v>
      </c>
      <c r="C257" t="s">
        <v>559</v>
      </c>
      <c r="D257" t="s">
        <v>33</v>
      </c>
      <c r="F257">
        <v>371131878</v>
      </c>
      <c r="G257">
        <v>-579651434</v>
      </c>
      <c r="H257">
        <v>334622846</v>
      </c>
      <c r="I257">
        <v>120085187</v>
      </c>
      <c r="J257">
        <v>-159436028</v>
      </c>
      <c r="K257">
        <v>-1600486</v>
      </c>
      <c r="L257">
        <v>45246277</v>
      </c>
      <c r="M257">
        <v>-1585740641</v>
      </c>
      <c r="N257">
        <v>140813508</v>
      </c>
      <c r="O257">
        <v>-200725855</v>
      </c>
      <c r="P257">
        <v>144</v>
      </c>
      <c r="Q257" t="s">
        <v>560</v>
      </c>
    </row>
    <row r="258" spans="1:17" x14ac:dyDescent="0.3">
      <c r="A258" t="s">
        <v>17</v>
      </c>
      <c r="B258" t="str">
        <f>"600293"</f>
        <v>600293</v>
      </c>
      <c r="C258" t="s">
        <v>561</v>
      </c>
      <c r="D258" t="s">
        <v>350</v>
      </c>
      <c r="F258">
        <v>773458954</v>
      </c>
      <c r="G258">
        <v>165865219</v>
      </c>
      <c r="H258">
        <v>278096206</v>
      </c>
      <c r="I258">
        <v>383897446</v>
      </c>
      <c r="J258">
        <v>-310852372</v>
      </c>
      <c r="K258">
        <v>-757252909</v>
      </c>
      <c r="L258">
        <v>-35797623</v>
      </c>
      <c r="M258">
        <v>-176755458</v>
      </c>
      <c r="N258">
        <v>-117251456</v>
      </c>
      <c r="O258">
        <v>-62186856</v>
      </c>
      <c r="P258">
        <v>126</v>
      </c>
      <c r="Q258" t="s">
        <v>562</v>
      </c>
    </row>
    <row r="259" spans="1:17" x14ac:dyDescent="0.3">
      <c r="A259" t="s">
        <v>17</v>
      </c>
      <c r="B259" t="str">
        <f>"600295"</f>
        <v>600295</v>
      </c>
      <c r="C259" t="s">
        <v>563</v>
      </c>
      <c r="D259" t="s">
        <v>38</v>
      </c>
      <c r="F259">
        <v>11755704967</v>
      </c>
      <c r="G259">
        <v>4893716174</v>
      </c>
      <c r="H259">
        <v>2638455222</v>
      </c>
      <c r="I259">
        <v>6695075590</v>
      </c>
      <c r="J259">
        <v>3744899412</v>
      </c>
      <c r="K259">
        <v>3537822736</v>
      </c>
      <c r="L259">
        <v>3428230985</v>
      </c>
      <c r="M259">
        <v>2675482441</v>
      </c>
      <c r="N259">
        <v>232072446</v>
      </c>
      <c r="O259">
        <v>461104525</v>
      </c>
      <c r="P259">
        <v>435</v>
      </c>
      <c r="Q259" t="s">
        <v>564</v>
      </c>
    </row>
    <row r="260" spans="1:17" x14ac:dyDescent="0.3">
      <c r="A260" t="s">
        <v>17</v>
      </c>
      <c r="B260" t="str">
        <f>"600297"</f>
        <v>600297</v>
      </c>
      <c r="C260" t="s">
        <v>565</v>
      </c>
      <c r="D260" t="s">
        <v>27</v>
      </c>
      <c r="F260">
        <v>621233102</v>
      </c>
      <c r="G260">
        <v>2896176926</v>
      </c>
      <c r="H260">
        <v>7056334585</v>
      </c>
      <c r="I260">
        <v>1611094986</v>
      </c>
      <c r="J260">
        <v>3518602070</v>
      </c>
      <c r="K260">
        <v>1754269745</v>
      </c>
      <c r="L260">
        <v>4282176629</v>
      </c>
      <c r="M260">
        <v>51490450</v>
      </c>
      <c r="N260">
        <v>45634701</v>
      </c>
      <c r="O260">
        <v>-11503075</v>
      </c>
      <c r="P260">
        <v>469</v>
      </c>
      <c r="Q260" t="s">
        <v>566</v>
      </c>
    </row>
    <row r="261" spans="1:17" x14ac:dyDescent="0.3">
      <c r="A261" t="s">
        <v>17</v>
      </c>
      <c r="B261" t="str">
        <f>"600298"</f>
        <v>600298</v>
      </c>
      <c r="C261" t="s">
        <v>567</v>
      </c>
      <c r="D261" t="s">
        <v>123</v>
      </c>
      <c r="F261">
        <v>-659566893</v>
      </c>
      <c r="G261">
        <v>1092443451</v>
      </c>
      <c r="H261">
        <v>480794695</v>
      </c>
      <c r="I261">
        <v>132138814</v>
      </c>
      <c r="J261">
        <v>195753584</v>
      </c>
      <c r="K261">
        <v>-16583987</v>
      </c>
      <c r="L261">
        <v>294408981</v>
      </c>
      <c r="M261">
        <v>284193309</v>
      </c>
      <c r="N261">
        <v>-204652271</v>
      </c>
      <c r="O261">
        <v>-965493491</v>
      </c>
      <c r="P261">
        <v>4516</v>
      </c>
      <c r="Q261" t="s">
        <v>568</v>
      </c>
    </row>
    <row r="262" spans="1:17" x14ac:dyDescent="0.3">
      <c r="A262" t="s">
        <v>17</v>
      </c>
      <c r="B262" t="str">
        <f>"600299"</f>
        <v>600299</v>
      </c>
      <c r="C262" t="s">
        <v>569</v>
      </c>
      <c r="D262" t="s">
        <v>133</v>
      </c>
      <c r="F262">
        <v>288618452</v>
      </c>
      <c r="G262">
        <v>1398233512</v>
      </c>
      <c r="H262">
        <v>1313517833</v>
      </c>
      <c r="I262">
        <v>179928815</v>
      </c>
      <c r="J262">
        <v>1547254537</v>
      </c>
      <c r="K262">
        <v>2452811706</v>
      </c>
      <c r="L262">
        <v>2551024226</v>
      </c>
      <c r="M262">
        <v>-569319696</v>
      </c>
      <c r="N262">
        <v>-306552904</v>
      </c>
      <c r="O262">
        <v>-354222099</v>
      </c>
      <c r="P262">
        <v>497</v>
      </c>
      <c r="Q262" t="s">
        <v>570</v>
      </c>
    </row>
    <row r="263" spans="1:17" x14ac:dyDescent="0.3">
      <c r="A263" t="s">
        <v>17</v>
      </c>
      <c r="B263" t="str">
        <f>"600300"</f>
        <v>600300</v>
      </c>
      <c r="C263" t="s">
        <v>571</v>
      </c>
      <c r="D263" t="s">
        <v>123</v>
      </c>
      <c r="F263">
        <v>-78478997</v>
      </c>
      <c r="G263">
        <v>699344283</v>
      </c>
      <c r="H263">
        <v>-37098879</v>
      </c>
      <c r="I263">
        <v>-47912155</v>
      </c>
      <c r="J263">
        <v>-141011940</v>
      </c>
      <c r="K263">
        <v>-323289393</v>
      </c>
      <c r="L263">
        <v>-286527025</v>
      </c>
      <c r="M263">
        <v>-198648216</v>
      </c>
      <c r="N263">
        <v>-112995901</v>
      </c>
      <c r="O263">
        <v>-582083021</v>
      </c>
      <c r="P263">
        <v>209</v>
      </c>
      <c r="Q263" t="s">
        <v>572</v>
      </c>
    </row>
    <row r="264" spans="1:17" x14ac:dyDescent="0.3">
      <c r="A264" t="s">
        <v>17</v>
      </c>
      <c r="B264" t="str">
        <f>"600301"</f>
        <v>600301</v>
      </c>
      <c r="C264" t="s">
        <v>573</v>
      </c>
      <c r="D264" t="s">
        <v>120</v>
      </c>
      <c r="F264">
        <v>-109669942</v>
      </c>
      <c r="G264">
        <v>178239924</v>
      </c>
      <c r="H264">
        <v>-37131522</v>
      </c>
      <c r="I264">
        <v>-105835224</v>
      </c>
      <c r="J264">
        <v>54526809</v>
      </c>
      <c r="K264">
        <v>-74465751</v>
      </c>
      <c r="L264">
        <v>10771082</v>
      </c>
      <c r="M264">
        <v>-149924165</v>
      </c>
      <c r="N264">
        <v>-74132908</v>
      </c>
      <c r="O264">
        <v>-178028921</v>
      </c>
      <c r="P264">
        <v>53</v>
      </c>
      <c r="Q264" t="s">
        <v>574</v>
      </c>
    </row>
    <row r="265" spans="1:17" x14ac:dyDescent="0.3">
      <c r="A265" t="s">
        <v>17</v>
      </c>
      <c r="B265" t="str">
        <f>"600302"</f>
        <v>600302</v>
      </c>
      <c r="C265" t="s">
        <v>575</v>
      </c>
      <c r="D265" t="s">
        <v>78</v>
      </c>
      <c r="F265">
        <v>97639139</v>
      </c>
      <c r="G265">
        <v>-194249914</v>
      </c>
      <c r="H265">
        <v>-70912306</v>
      </c>
      <c r="I265">
        <v>-39269549</v>
      </c>
      <c r="J265">
        <v>-36057183</v>
      </c>
      <c r="K265">
        <v>62057243</v>
      </c>
      <c r="L265">
        <v>92273415</v>
      </c>
      <c r="M265">
        <v>3887103</v>
      </c>
      <c r="N265">
        <v>91134782</v>
      </c>
      <c r="O265">
        <v>1069874</v>
      </c>
      <c r="P265">
        <v>51</v>
      </c>
      <c r="Q265" t="s">
        <v>576</v>
      </c>
    </row>
    <row r="266" spans="1:17" x14ac:dyDescent="0.3">
      <c r="A266" t="s">
        <v>17</v>
      </c>
      <c r="B266" t="str">
        <f>"600303"</f>
        <v>600303</v>
      </c>
      <c r="C266" t="s">
        <v>577</v>
      </c>
      <c r="D266" t="s">
        <v>27</v>
      </c>
      <c r="F266">
        <v>-582815036</v>
      </c>
      <c r="G266">
        <v>601304460</v>
      </c>
      <c r="H266">
        <v>-23694222</v>
      </c>
      <c r="I266">
        <v>-73427769</v>
      </c>
      <c r="J266">
        <v>275498203</v>
      </c>
      <c r="K266">
        <v>-672849232</v>
      </c>
      <c r="L266">
        <v>-1205018593</v>
      </c>
      <c r="M266">
        <v>-172492742</v>
      </c>
      <c r="N266">
        <v>-664035795</v>
      </c>
      <c r="O266">
        <v>-46887988</v>
      </c>
      <c r="P266">
        <v>131</v>
      </c>
      <c r="Q266" t="s">
        <v>578</v>
      </c>
    </row>
    <row r="267" spans="1:17" x14ac:dyDescent="0.3">
      <c r="A267" t="s">
        <v>17</v>
      </c>
      <c r="B267" t="str">
        <f>"600305"</f>
        <v>600305</v>
      </c>
      <c r="C267" t="s">
        <v>579</v>
      </c>
      <c r="D267" t="s">
        <v>123</v>
      </c>
      <c r="F267">
        <v>184853973</v>
      </c>
      <c r="G267">
        <v>213685863</v>
      </c>
      <c r="H267">
        <v>355155669</v>
      </c>
      <c r="I267">
        <v>256004750</v>
      </c>
      <c r="J267">
        <v>348920323</v>
      </c>
      <c r="K267">
        <v>116635707</v>
      </c>
      <c r="L267">
        <v>39676621</v>
      </c>
      <c r="M267">
        <v>92975721</v>
      </c>
      <c r="N267">
        <v>371436167</v>
      </c>
      <c r="O267">
        <v>48082169</v>
      </c>
      <c r="P267">
        <v>2155</v>
      </c>
      <c r="Q267" t="s">
        <v>580</v>
      </c>
    </row>
    <row r="268" spans="1:17" x14ac:dyDescent="0.3">
      <c r="A268" t="s">
        <v>17</v>
      </c>
      <c r="B268" t="str">
        <f>"600306"</f>
        <v>600306</v>
      </c>
      <c r="C268" t="s">
        <v>581</v>
      </c>
      <c r="D268" t="s">
        <v>120</v>
      </c>
      <c r="F268">
        <v>27561406</v>
      </c>
      <c r="G268">
        <v>-42077729</v>
      </c>
      <c r="H268">
        <v>53909795</v>
      </c>
      <c r="I268">
        <v>21387081</v>
      </c>
      <c r="J268">
        <v>51822315</v>
      </c>
      <c r="K268">
        <v>-14387516</v>
      </c>
      <c r="L268">
        <v>9024201</v>
      </c>
      <c r="M268">
        <v>-70890532</v>
      </c>
      <c r="N268">
        <v>-281464385</v>
      </c>
      <c r="O268">
        <v>-434201892</v>
      </c>
      <c r="P268">
        <v>71</v>
      </c>
      <c r="Q268" t="s">
        <v>582</v>
      </c>
    </row>
    <row r="269" spans="1:17" x14ac:dyDescent="0.3">
      <c r="A269" t="s">
        <v>17</v>
      </c>
      <c r="B269" t="str">
        <f>"600307"</f>
        <v>600307</v>
      </c>
      <c r="C269" t="s">
        <v>583</v>
      </c>
      <c r="D269" t="s">
        <v>38</v>
      </c>
      <c r="F269">
        <v>3269292330</v>
      </c>
      <c r="G269">
        <v>225950847</v>
      </c>
      <c r="H269">
        <v>2166204774</v>
      </c>
      <c r="I269">
        <v>3057294298</v>
      </c>
      <c r="J269">
        <v>1423561586</v>
      </c>
      <c r="K269">
        <v>4013382667</v>
      </c>
      <c r="L269">
        <v>-834189060</v>
      </c>
      <c r="M269">
        <v>5875057568</v>
      </c>
      <c r="N269">
        <v>-6418422584</v>
      </c>
      <c r="O269">
        <v>-5277007177</v>
      </c>
      <c r="P269">
        <v>211</v>
      </c>
      <c r="Q269" t="s">
        <v>584</v>
      </c>
    </row>
    <row r="270" spans="1:17" x14ac:dyDescent="0.3">
      <c r="A270" t="s">
        <v>17</v>
      </c>
      <c r="B270" t="str">
        <f>"600308"</f>
        <v>600308</v>
      </c>
      <c r="C270" t="s">
        <v>585</v>
      </c>
      <c r="D270" t="s">
        <v>161</v>
      </c>
      <c r="F270">
        <v>1128875358</v>
      </c>
      <c r="G270">
        <v>1715669830</v>
      </c>
      <c r="H270">
        <v>1476385616</v>
      </c>
      <c r="I270">
        <v>662575445</v>
      </c>
      <c r="J270">
        <v>2046821670</v>
      </c>
      <c r="K270">
        <v>1589843846</v>
      </c>
      <c r="L270">
        <v>1467279997</v>
      </c>
      <c r="M270">
        <v>743992961</v>
      </c>
      <c r="N270">
        <v>1199266626</v>
      </c>
      <c r="O270">
        <v>565464913</v>
      </c>
      <c r="P270">
        <v>644</v>
      </c>
      <c r="Q270" t="s">
        <v>586</v>
      </c>
    </row>
    <row r="271" spans="1:17" x14ac:dyDescent="0.3">
      <c r="A271" t="s">
        <v>17</v>
      </c>
      <c r="B271" t="str">
        <f>"600309"</f>
        <v>600309</v>
      </c>
      <c r="C271" t="s">
        <v>587</v>
      </c>
      <c r="D271" t="s">
        <v>133</v>
      </c>
      <c r="F271">
        <v>1076870323</v>
      </c>
      <c r="G271">
        <v>-6269258514</v>
      </c>
      <c r="H271">
        <v>8135569083</v>
      </c>
      <c r="I271">
        <v>9014359150</v>
      </c>
      <c r="J271">
        <v>4295472262</v>
      </c>
      <c r="K271">
        <v>3237213879</v>
      </c>
      <c r="L271">
        <v>-494634942</v>
      </c>
      <c r="M271">
        <v>-5029137613</v>
      </c>
      <c r="N271">
        <v>-2896778049</v>
      </c>
      <c r="O271">
        <v>-122221424</v>
      </c>
      <c r="P271">
        <v>7477</v>
      </c>
      <c r="Q271" t="s">
        <v>588</v>
      </c>
    </row>
    <row r="272" spans="1:17" x14ac:dyDescent="0.3">
      <c r="A272" t="s">
        <v>17</v>
      </c>
      <c r="B272" t="str">
        <f>"600310"</f>
        <v>600310</v>
      </c>
      <c r="C272" t="s">
        <v>589</v>
      </c>
      <c r="D272" t="s">
        <v>41</v>
      </c>
      <c r="F272">
        <v>133072902</v>
      </c>
      <c r="G272">
        <v>434319643</v>
      </c>
      <c r="H272">
        <v>-36842155</v>
      </c>
      <c r="I272">
        <v>-693888627</v>
      </c>
      <c r="J272">
        <v>-1444122194</v>
      </c>
      <c r="K272">
        <v>-1015575040</v>
      </c>
      <c r="L272">
        <v>125021404</v>
      </c>
      <c r="M272">
        <v>-156612317</v>
      </c>
      <c r="N272">
        <v>-81557946</v>
      </c>
      <c r="O272">
        <v>-138401090</v>
      </c>
      <c r="P272">
        <v>115</v>
      </c>
      <c r="Q272" t="s">
        <v>590</v>
      </c>
    </row>
    <row r="273" spans="1:17" x14ac:dyDescent="0.3">
      <c r="A273" t="s">
        <v>17</v>
      </c>
      <c r="B273" t="str">
        <f>"600311"</f>
        <v>600311</v>
      </c>
      <c r="C273" t="s">
        <v>591</v>
      </c>
      <c r="D273" t="s">
        <v>234</v>
      </c>
      <c r="F273">
        <v>-30383008</v>
      </c>
      <c r="G273">
        <v>-44356896</v>
      </c>
      <c r="H273">
        <v>-387360824</v>
      </c>
      <c r="I273">
        <v>-33370326</v>
      </c>
      <c r="J273">
        <v>-54639233</v>
      </c>
      <c r="K273">
        <v>-41379976</v>
      </c>
      <c r="L273">
        <v>177864168</v>
      </c>
      <c r="M273">
        <v>94422809</v>
      </c>
      <c r="N273">
        <v>-33238097</v>
      </c>
      <c r="O273">
        <v>82567182</v>
      </c>
      <c r="P273">
        <v>53</v>
      </c>
      <c r="Q273" t="s">
        <v>592</v>
      </c>
    </row>
    <row r="274" spans="1:17" x14ac:dyDescent="0.3">
      <c r="A274" t="s">
        <v>17</v>
      </c>
      <c r="B274" t="str">
        <f>"600312"</f>
        <v>600312</v>
      </c>
      <c r="C274" t="s">
        <v>593</v>
      </c>
      <c r="D274" t="s">
        <v>188</v>
      </c>
      <c r="F274">
        <v>1099237754</v>
      </c>
      <c r="G274">
        <v>1263651396</v>
      </c>
      <c r="H274">
        <v>1151738185</v>
      </c>
      <c r="I274">
        <v>667627576</v>
      </c>
      <c r="J274">
        <v>-884250382</v>
      </c>
      <c r="K274">
        <v>1334802107</v>
      </c>
      <c r="L274">
        <v>46155966</v>
      </c>
      <c r="M274">
        <v>-416299427</v>
      </c>
      <c r="N274">
        <v>-662037679</v>
      </c>
      <c r="O274">
        <v>211149919</v>
      </c>
      <c r="P274">
        <v>634</v>
      </c>
      <c r="Q274" t="s">
        <v>594</v>
      </c>
    </row>
    <row r="275" spans="1:17" x14ac:dyDescent="0.3">
      <c r="A275" t="s">
        <v>17</v>
      </c>
      <c r="B275" t="str">
        <f>"600313"</f>
        <v>600313</v>
      </c>
      <c r="C275" t="s">
        <v>595</v>
      </c>
      <c r="D275" t="s">
        <v>205</v>
      </c>
      <c r="F275">
        <v>-51093595</v>
      </c>
      <c r="G275">
        <v>118940758</v>
      </c>
      <c r="H275">
        <v>-8282048</v>
      </c>
      <c r="I275">
        <v>-33619562</v>
      </c>
      <c r="J275">
        <v>-108101852</v>
      </c>
      <c r="K275">
        <v>29068393</v>
      </c>
      <c r="L275">
        <v>24353487</v>
      </c>
      <c r="M275">
        <v>-39735287</v>
      </c>
      <c r="N275">
        <v>-15598818</v>
      </c>
      <c r="O275">
        <v>29360283</v>
      </c>
      <c r="P275">
        <v>173</v>
      </c>
      <c r="Q275" t="s">
        <v>596</v>
      </c>
    </row>
    <row r="276" spans="1:17" x14ac:dyDescent="0.3">
      <c r="A276" t="s">
        <v>17</v>
      </c>
      <c r="B276" t="str">
        <f>"600315"</f>
        <v>600315</v>
      </c>
      <c r="C276" t="s">
        <v>597</v>
      </c>
      <c r="D276" t="s">
        <v>481</v>
      </c>
      <c r="F276">
        <v>854084622</v>
      </c>
      <c r="G276">
        <v>538242810</v>
      </c>
      <c r="H276">
        <v>718886607</v>
      </c>
      <c r="I276">
        <v>512274097</v>
      </c>
      <c r="J276">
        <v>338119703</v>
      </c>
      <c r="K276">
        <v>-426379396</v>
      </c>
      <c r="L276">
        <v>22330821</v>
      </c>
      <c r="M276">
        <v>1032367862</v>
      </c>
      <c r="N276">
        <v>871903122</v>
      </c>
      <c r="O276">
        <v>700670234</v>
      </c>
      <c r="P276">
        <v>1244</v>
      </c>
      <c r="Q276" t="s">
        <v>598</v>
      </c>
    </row>
    <row r="277" spans="1:17" x14ac:dyDescent="0.3">
      <c r="A277" t="s">
        <v>17</v>
      </c>
      <c r="B277" t="str">
        <f>"600316"</f>
        <v>600316</v>
      </c>
      <c r="C277" t="s">
        <v>599</v>
      </c>
      <c r="D277" t="s">
        <v>92</v>
      </c>
      <c r="F277">
        <v>252480321</v>
      </c>
      <c r="G277">
        <v>-42141283</v>
      </c>
      <c r="H277">
        <v>-104546018</v>
      </c>
      <c r="I277">
        <v>-285459747</v>
      </c>
      <c r="J277">
        <v>-213063698</v>
      </c>
      <c r="K277">
        <v>-1110719752</v>
      </c>
      <c r="L277">
        <v>-108602641</v>
      </c>
      <c r="M277">
        <v>-1248664517</v>
      </c>
      <c r="N277">
        <v>-649645345</v>
      </c>
      <c r="O277">
        <v>-751231638</v>
      </c>
      <c r="P277">
        <v>387</v>
      </c>
      <c r="Q277" t="s">
        <v>600</v>
      </c>
    </row>
    <row r="278" spans="1:17" x14ac:dyDescent="0.3">
      <c r="A278" t="s">
        <v>17</v>
      </c>
      <c r="B278" t="str">
        <f>"600317"</f>
        <v>600317</v>
      </c>
      <c r="C278" t="s">
        <v>601</v>
      </c>
      <c r="H278">
        <v>1914813400</v>
      </c>
      <c r="I278">
        <v>1643119106</v>
      </c>
      <c r="J278">
        <v>1595360952</v>
      </c>
      <c r="K278">
        <v>988122263</v>
      </c>
      <c r="L278">
        <v>1691849028.26</v>
      </c>
      <c r="M278">
        <v>784540709.84000003</v>
      </c>
      <c r="N278">
        <v>1073116399.63</v>
      </c>
      <c r="O278">
        <v>1105483433.22</v>
      </c>
      <c r="P278">
        <v>92</v>
      </c>
      <c r="Q278" t="s">
        <v>602</v>
      </c>
    </row>
    <row r="279" spans="1:17" x14ac:dyDescent="0.3">
      <c r="A279" t="s">
        <v>17</v>
      </c>
      <c r="B279" t="str">
        <f>"600318"</f>
        <v>600318</v>
      </c>
      <c r="C279" t="s">
        <v>603</v>
      </c>
      <c r="D279" t="s">
        <v>75</v>
      </c>
      <c r="F279">
        <v>299010942</v>
      </c>
      <c r="G279">
        <v>147345576</v>
      </c>
      <c r="H279">
        <v>648836257</v>
      </c>
      <c r="I279">
        <v>812935202</v>
      </c>
      <c r="J279">
        <v>438954399</v>
      </c>
      <c r="K279">
        <v>374985509</v>
      </c>
      <c r="L279">
        <v>-1072588217</v>
      </c>
      <c r="M279">
        <v>401584311</v>
      </c>
      <c r="N279">
        <v>129941971</v>
      </c>
      <c r="O279">
        <v>101362965</v>
      </c>
      <c r="P279">
        <v>104</v>
      </c>
      <c r="Q279" t="s">
        <v>604</v>
      </c>
    </row>
    <row r="280" spans="1:17" x14ac:dyDescent="0.3">
      <c r="A280" t="s">
        <v>17</v>
      </c>
      <c r="B280" t="str">
        <f>"600319"</f>
        <v>600319</v>
      </c>
      <c r="C280" t="s">
        <v>605</v>
      </c>
      <c r="D280" t="s">
        <v>133</v>
      </c>
      <c r="F280">
        <v>19142213</v>
      </c>
      <c r="G280">
        <v>102802850</v>
      </c>
      <c r="H280">
        <v>344296465</v>
      </c>
      <c r="I280">
        <v>151053630</v>
      </c>
      <c r="J280">
        <v>84411735</v>
      </c>
      <c r="K280">
        <v>60695967</v>
      </c>
      <c r="L280">
        <v>23343222</v>
      </c>
      <c r="M280">
        <v>61622180</v>
      </c>
      <c r="N280">
        <v>-80334448</v>
      </c>
      <c r="O280">
        <v>-27035313</v>
      </c>
      <c r="P280">
        <v>57</v>
      </c>
      <c r="Q280" t="s">
        <v>606</v>
      </c>
    </row>
    <row r="281" spans="1:17" x14ac:dyDescent="0.3">
      <c r="A281" t="s">
        <v>17</v>
      </c>
      <c r="B281" t="str">
        <f>"600320"</f>
        <v>600320</v>
      </c>
      <c r="C281" t="s">
        <v>607</v>
      </c>
      <c r="D281" t="s">
        <v>78</v>
      </c>
      <c r="F281">
        <v>1015547819</v>
      </c>
      <c r="G281">
        <v>-798788236</v>
      </c>
      <c r="H281">
        <v>-162463037</v>
      </c>
      <c r="I281">
        <v>-2184266999</v>
      </c>
      <c r="J281">
        <v>96649051</v>
      </c>
      <c r="K281">
        <v>514391037</v>
      </c>
      <c r="L281">
        <v>-3849102436</v>
      </c>
      <c r="M281">
        <v>-1484482685</v>
      </c>
      <c r="N281">
        <v>1046048649</v>
      </c>
      <c r="O281">
        <v>3487571136</v>
      </c>
      <c r="P281">
        <v>190</v>
      </c>
      <c r="Q281" t="s">
        <v>608</v>
      </c>
    </row>
    <row r="282" spans="1:17" x14ac:dyDescent="0.3">
      <c r="A282" t="s">
        <v>17</v>
      </c>
      <c r="B282" t="str">
        <f>"600321"</f>
        <v>600321</v>
      </c>
      <c r="C282" t="s">
        <v>609</v>
      </c>
      <c r="D282" t="s">
        <v>350</v>
      </c>
      <c r="F282">
        <v>226137579</v>
      </c>
      <c r="G282">
        <v>-1698068483</v>
      </c>
      <c r="H282">
        <v>127278294</v>
      </c>
      <c r="I282">
        <v>124154903</v>
      </c>
      <c r="J282">
        <v>86078682</v>
      </c>
      <c r="K282">
        <v>-4762296</v>
      </c>
      <c r="L282">
        <v>-57936654</v>
      </c>
      <c r="M282">
        <v>-46146113</v>
      </c>
      <c r="N282">
        <v>9029310</v>
      </c>
      <c r="O282">
        <v>-212116361</v>
      </c>
      <c r="P282">
        <v>74</v>
      </c>
      <c r="Q282" t="s">
        <v>610</v>
      </c>
    </row>
    <row r="283" spans="1:17" x14ac:dyDescent="0.3">
      <c r="A283" t="s">
        <v>17</v>
      </c>
      <c r="B283" t="str">
        <f>"600322"</f>
        <v>600322</v>
      </c>
      <c r="C283" t="s">
        <v>611</v>
      </c>
      <c r="D283" t="s">
        <v>30</v>
      </c>
      <c r="F283">
        <v>2236299097</v>
      </c>
      <c r="G283">
        <v>3373277472</v>
      </c>
      <c r="H283">
        <v>948677258</v>
      </c>
      <c r="I283">
        <v>3999981307</v>
      </c>
      <c r="J283">
        <v>2012045359</v>
      </c>
      <c r="K283">
        <v>-2212845589</v>
      </c>
      <c r="L283">
        <v>-3610152891</v>
      </c>
      <c r="M283">
        <v>-3241057807</v>
      </c>
      <c r="N283">
        <v>-1507449927</v>
      </c>
      <c r="O283">
        <v>-95668318</v>
      </c>
      <c r="P283">
        <v>84</v>
      </c>
      <c r="Q283" t="s">
        <v>612</v>
      </c>
    </row>
    <row r="284" spans="1:17" x14ac:dyDescent="0.3">
      <c r="A284" t="s">
        <v>17</v>
      </c>
      <c r="B284" t="str">
        <f>"600323"</f>
        <v>600323</v>
      </c>
      <c r="C284" t="s">
        <v>613</v>
      </c>
      <c r="D284" t="s">
        <v>33</v>
      </c>
      <c r="F284">
        <v>-1121847746</v>
      </c>
      <c r="G284">
        <v>-1607810103</v>
      </c>
      <c r="H284">
        <v>-2326734493</v>
      </c>
      <c r="I284">
        <v>-243649523</v>
      </c>
      <c r="J284">
        <v>482539611</v>
      </c>
      <c r="K284">
        <v>360905652</v>
      </c>
      <c r="L284">
        <v>-59633256</v>
      </c>
      <c r="M284">
        <v>-244465679</v>
      </c>
      <c r="N284">
        <v>-183724659</v>
      </c>
      <c r="O284">
        <v>-33613481</v>
      </c>
      <c r="P284">
        <v>1149</v>
      </c>
      <c r="Q284" t="s">
        <v>614</v>
      </c>
    </row>
    <row r="285" spans="1:17" x14ac:dyDescent="0.3">
      <c r="A285" t="s">
        <v>17</v>
      </c>
      <c r="B285" t="str">
        <f>"600325"</f>
        <v>600325</v>
      </c>
      <c r="C285" t="s">
        <v>615</v>
      </c>
      <c r="D285" t="s">
        <v>30</v>
      </c>
      <c r="F285">
        <v>6156183326</v>
      </c>
      <c r="G285">
        <v>-15855774120</v>
      </c>
      <c r="H285">
        <v>4107132287</v>
      </c>
      <c r="I285">
        <v>-3414203741</v>
      </c>
      <c r="J285">
        <v>-9678249136</v>
      </c>
      <c r="K285">
        <v>11267294420</v>
      </c>
      <c r="L285">
        <v>-11871924455</v>
      </c>
      <c r="M285">
        <v>-16003407135</v>
      </c>
      <c r="N285">
        <v>-6259762152</v>
      </c>
      <c r="O285">
        <v>-3695937691</v>
      </c>
      <c r="P285">
        <v>1185</v>
      </c>
      <c r="Q285" t="s">
        <v>616</v>
      </c>
    </row>
    <row r="286" spans="1:17" x14ac:dyDescent="0.3">
      <c r="A286" t="s">
        <v>17</v>
      </c>
      <c r="B286" t="str">
        <f>"600326"</f>
        <v>600326</v>
      </c>
      <c r="C286" t="s">
        <v>617</v>
      </c>
      <c r="D286" t="s">
        <v>350</v>
      </c>
      <c r="F286">
        <v>-334530241</v>
      </c>
      <c r="G286">
        <v>65385216</v>
      </c>
      <c r="H286">
        <v>-153725138</v>
      </c>
      <c r="I286">
        <v>420420565</v>
      </c>
      <c r="J286">
        <v>317299845</v>
      </c>
      <c r="K286">
        <v>-346886418</v>
      </c>
      <c r="L286">
        <v>-92315878</v>
      </c>
      <c r="M286">
        <v>-113521313</v>
      </c>
      <c r="N286">
        <v>-143860619</v>
      </c>
      <c r="O286">
        <v>-148122667</v>
      </c>
      <c r="P286">
        <v>275</v>
      </c>
      <c r="Q286" t="s">
        <v>618</v>
      </c>
    </row>
    <row r="287" spans="1:17" x14ac:dyDescent="0.3">
      <c r="A287" t="s">
        <v>17</v>
      </c>
      <c r="B287" t="str">
        <f>"600327"</f>
        <v>600327</v>
      </c>
      <c r="C287" t="s">
        <v>619</v>
      </c>
      <c r="D287" t="s">
        <v>27</v>
      </c>
      <c r="F287">
        <v>595094221</v>
      </c>
      <c r="G287">
        <v>-42789352</v>
      </c>
      <c r="H287">
        <v>-306213893</v>
      </c>
      <c r="I287">
        <v>28552444</v>
      </c>
      <c r="J287">
        <v>124628946</v>
      </c>
      <c r="K287">
        <v>276395609</v>
      </c>
      <c r="L287">
        <v>333028205</v>
      </c>
      <c r="M287">
        <v>-6101240</v>
      </c>
      <c r="N287">
        <v>-73120347</v>
      </c>
      <c r="O287">
        <v>-91040556</v>
      </c>
      <c r="P287">
        <v>221</v>
      </c>
      <c r="Q287" t="s">
        <v>620</v>
      </c>
    </row>
    <row r="288" spans="1:17" x14ac:dyDescent="0.3">
      <c r="A288" t="s">
        <v>17</v>
      </c>
      <c r="B288" t="str">
        <f>"600328"</f>
        <v>600328</v>
      </c>
      <c r="C288" t="s">
        <v>621</v>
      </c>
      <c r="D288" t="s">
        <v>133</v>
      </c>
      <c r="F288">
        <v>3192927540</v>
      </c>
      <c r="G288">
        <v>1591431851</v>
      </c>
      <c r="H288">
        <v>1613452880</v>
      </c>
      <c r="I288">
        <v>814106172</v>
      </c>
      <c r="J288">
        <v>471009072</v>
      </c>
      <c r="K288">
        <v>266455191</v>
      </c>
      <c r="L288">
        <v>248371914</v>
      </c>
      <c r="M288">
        <v>257160547</v>
      </c>
      <c r="N288">
        <v>-9179016</v>
      </c>
      <c r="O288">
        <v>-36204557</v>
      </c>
      <c r="P288">
        <v>263</v>
      </c>
      <c r="Q288" t="s">
        <v>622</v>
      </c>
    </row>
    <row r="289" spans="1:17" x14ac:dyDescent="0.3">
      <c r="A289" t="s">
        <v>17</v>
      </c>
      <c r="B289" t="str">
        <f>"600329"</f>
        <v>600329</v>
      </c>
      <c r="C289" t="s">
        <v>623</v>
      </c>
      <c r="D289" t="s">
        <v>113</v>
      </c>
      <c r="F289">
        <v>724166203</v>
      </c>
      <c r="G289">
        <v>489027380</v>
      </c>
      <c r="H289">
        <v>328219917</v>
      </c>
      <c r="I289">
        <v>175865648</v>
      </c>
      <c r="J289">
        <v>-117804883</v>
      </c>
      <c r="K289">
        <v>321720551</v>
      </c>
      <c r="L289">
        <v>268054950</v>
      </c>
      <c r="M289">
        <v>217013534</v>
      </c>
      <c r="N289">
        <v>141543771</v>
      </c>
      <c r="O289">
        <v>-18512444</v>
      </c>
      <c r="P289">
        <v>555</v>
      </c>
      <c r="Q289" t="s">
        <v>624</v>
      </c>
    </row>
    <row r="290" spans="1:17" x14ac:dyDescent="0.3">
      <c r="A290" t="s">
        <v>17</v>
      </c>
      <c r="B290" t="str">
        <f>"600330"</f>
        <v>600330</v>
      </c>
      <c r="C290" t="s">
        <v>625</v>
      </c>
      <c r="D290" t="s">
        <v>78</v>
      </c>
      <c r="F290">
        <v>62503361</v>
      </c>
      <c r="G290">
        <v>-267798359</v>
      </c>
      <c r="H290">
        <v>-329675909</v>
      </c>
      <c r="I290">
        <v>-176697973</v>
      </c>
      <c r="J290">
        <v>-110002054</v>
      </c>
      <c r="K290">
        <v>-244348430</v>
      </c>
      <c r="L290">
        <v>-266262487</v>
      </c>
      <c r="M290">
        <v>-174670543</v>
      </c>
      <c r="N290">
        <v>-36201040</v>
      </c>
      <c r="O290">
        <v>-180796431</v>
      </c>
      <c r="P290">
        <v>3158</v>
      </c>
      <c r="Q290" t="s">
        <v>626</v>
      </c>
    </row>
    <row r="291" spans="1:17" x14ac:dyDescent="0.3">
      <c r="A291" t="s">
        <v>17</v>
      </c>
      <c r="B291" t="str">
        <f>"600331"</f>
        <v>600331</v>
      </c>
      <c r="C291" t="s">
        <v>627</v>
      </c>
      <c r="D291" t="s">
        <v>234</v>
      </c>
      <c r="F291">
        <v>132217901</v>
      </c>
      <c r="G291">
        <v>-75062838</v>
      </c>
      <c r="H291">
        <v>86135462</v>
      </c>
      <c r="I291">
        <v>17642878</v>
      </c>
      <c r="J291">
        <v>-477416229</v>
      </c>
      <c r="K291">
        <v>805618989</v>
      </c>
      <c r="L291">
        <v>868146964</v>
      </c>
      <c r="M291">
        <v>-1186127665</v>
      </c>
      <c r="N291">
        <v>-160179042</v>
      </c>
      <c r="O291">
        <v>1048032860</v>
      </c>
      <c r="P291">
        <v>117</v>
      </c>
      <c r="Q291" t="s">
        <v>628</v>
      </c>
    </row>
    <row r="292" spans="1:17" x14ac:dyDescent="0.3">
      <c r="A292" t="s">
        <v>17</v>
      </c>
      <c r="B292" t="str">
        <f>"600332"</f>
        <v>600332</v>
      </c>
      <c r="C292" t="s">
        <v>629</v>
      </c>
      <c r="D292" t="s">
        <v>113</v>
      </c>
      <c r="F292">
        <v>4425193089</v>
      </c>
      <c r="G292">
        <v>-285172123</v>
      </c>
      <c r="H292">
        <v>2623672493</v>
      </c>
      <c r="I292">
        <v>4739768731</v>
      </c>
      <c r="J292">
        <v>1637768934</v>
      </c>
      <c r="K292">
        <v>2234704379</v>
      </c>
      <c r="L292">
        <v>1427153385</v>
      </c>
      <c r="M292">
        <v>1408213249</v>
      </c>
      <c r="N292">
        <v>992798050</v>
      </c>
      <c r="O292">
        <v>454044824</v>
      </c>
      <c r="P292">
        <v>2235</v>
      </c>
      <c r="Q292" t="s">
        <v>630</v>
      </c>
    </row>
    <row r="293" spans="1:17" x14ac:dyDescent="0.3">
      <c r="A293" t="s">
        <v>17</v>
      </c>
      <c r="B293" t="str">
        <f>"600333"</f>
        <v>600333</v>
      </c>
      <c r="C293" t="s">
        <v>631</v>
      </c>
      <c r="D293" t="s">
        <v>41</v>
      </c>
      <c r="F293">
        <v>98572596</v>
      </c>
      <c r="G293">
        <v>-47458674</v>
      </c>
      <c r="H293">
        <v>27885684</v>
      </c>
      <c r="I293">
        <v>-191664796</v>
      </c>
      <c r="J293">
        <v>-283997491</v>
      </c>
      <c r="K293">
        <v>-355549366</v>
      </c>
      <c r="L293">
        <v>-612459415</v>
      </c>
      <c r="M293">
        <v>-643084351</v>
      </c>
      <c r="N293">
        <v>-399798422</v>
      </c>
      <c r="O293">
        <v>-253690491</v>
      </c>
      <c r="P293">
        <v>103</v>
      </c>
      <c r="Q293" t="s">
        <v>632</v>
      </c>
    </row>
    <row r="294" spans="1:17" x14ac:dyDescent="0.3">
      <c r="A294" t="s">
        <v>17</v>
      </c>
      <c r="B294" t="str">
        <f>"600335"</f>
        <v>600335</v>
      </c>
      <c r="C294" t="s">
        <v>633</v>
      </c>
      <c r="D294" t="s">
        <v>27</v>
      </c>
      <c r="F294">
        <v>2885803300</v>
      </c>
      <c r="G294">
        <v>391220796</v>
      </c>
      <c r="H294">
        <v>3604387147</v>
      </c>
      <c r="I294">
        <v>1314302380</v>
      </c>
      <c r="J294">
        <v>-6858271764</v>
      </c>
      <c r="K294">
        <v>8414025436</v>
      </c>
      <c r="L294">
        <v>8905287963</v>
      </c>
      <c r="M294">
        <v>-3992814065</v>
      </c>
      <c r="N294">
        <v>-2203543088</v>
      </c>
      <c r="O294">
        <v>-5633657239</v>
      </c>
      <c r="P294">
        <v>150</v>
      </c>
      <c r="Q294" t="s">
        <v>634</v>
      </c>
    </row>
    <row r="295" spans="1:17" x14ac:dyDescent="0.3">
      <c r="A295" t="s">
        <v>17</v>
      </c>
      <c r="B295" t="str">
        <f>"600336"</f>
        <v>600336</v>
      </c>
      <c r="C295" t="s">
        <v>635</v>
      </c>
      <c r="D295" t="s">
        <v>126</v>
      </c>
      <c r="F295">
        <v>303999696</v>
      </c>
      <c r="G295">
        <v>-381915521</v>
      </c>
      <c r="H295">
        <v>354012774</v>
      </c>
      <c r="I295">
        <v>-101436133</v>
      </c>
      <c r="J295">
        <v>-207190980</v>
      </c>
      <c r="K295">
        <v>-25566477</v>
      </c>
      <c r="L295">
        <v>315292190</v>
      </c>
      <c r="M295">
        <v>-116064114</v>
      </c>
      <c r="N295">
        <v>175046093</v>
      </c>
      <c r="O295">
        <v>-99507866</v>
      </c>
      <c r="P295">
        <v>223</v>
      </c>
      <c r="Q295" t="s">
        <v>636</v>
      </c>
    </row>
    <row r="296" spans="1:17" x14ac:dyDescent="0.3">
      <c r="A296" t="s">
        <v>17</v>
      </c>
      <c r="B296" t="str">
        <f>"600337"</f>
        <v>600337</v>
      </c>
      <c r="C296" t="s">
        <v>637</v>
      </c>
      <c r="D296" t="s">
        <v>161</v>
      </c>
      <c r="F296">
        <v>385907731</v>
      </c>
      <c r="G296">
        <v>554238493</v>
      </c>
      <c r="H296">
        <v>161325590</v>
      </c>
      <c r="I296">
        <v>-567462067</v>
      </c>
      <c r="J296">
        <v>233933693</v>
      </c>
      <c r="K296">
        <v>309044122</v>
      </c>
      <c r="L296">
        <v>-43985930</v>
      </c>
      <c r="M296">
        <v>-248807506</v>
      </c>
      <c r="N296">
        <v>154302838</v>
      </c>
      <c r="O296">
        <v>59616425</v>
      </c>
      <c r="P296">
        <v>226</v>
      </c>
      <c r="Q296" t="s">
        <v>638</v>
      </c>
    </row>
    <row r="297" spans="1:17" x14ac:dyDescent="0.3">
      <c r="A297" t="s">
        <v>17</v>
      </c>
      <c r="B297" t="str">
        <f>"600338"</f>
        <v>600338</v>
      </c>
      <c r="C297" t="s">
        <v>639</v>
      </c>
      <c r="D297" t="s">
        <v>234</v>
      </c>
      <c r="F297">
        <v>273243709</v>
      </c>
      <c r="G297">
        <v>176586444</v>
      </c>
      <c r="H297">
        <v>484452490</v>
      </c>
      <c r="I297">
        <v>243481831</v>
      </c>
      <c r="J297">
        <v>636403970</v>
      </c>
      <c r="K297">
        <v>142877169</v>
      </c>
      <c r="L297">
        <v>-126694090</v>
      </c>
      <c r="M297">
        <v>26387674</v>
      </c>
      <c r="N297">
        <v>-13562849</v>
      </c>
      <c r="O297">
        <v>-11044169</v>
      </c>
      <c r="P297">
        <v>4533</v>
      </c>
      <c r="Q297" t="s">
        <v>640</v>
      </c>
    </row>
    <row r="298" spans="1:17" x14ac:dyDescent="0.3">
      <c r="A298" t="s">
        <v>17</v>
      </c>
      <c r="B298" t="str">
        <f>"600339"</f>
        <v>600339</v>
      </c>
      <c r="C298" t="s">
        <v>641</v>
      </c>
      <c r="D298" t="s">
        <v>70</v>
      </c>
      <c r="F298">
        <v>3357932057</v>
      </c>
      <c r="G298">
        <v>-828276745</v>
      </c>
      <c r="H298">
        <v>-3177083185</v>
      </c>
      <c r="I298">
        <v>7925446199</v>
      </c>
      <c r="J298">
        <v>2377068296</v>
      </c>
      <c r="K298">
        <v>618633678</v>
      </c>
      <c r="L298">
        <v>86298828</v>
      </c>
      <c r="M298">
        <v>-112700283</v>
      </c>
      <c r="N298">
        <v>316519081</v>
      </c>
      <c r="O298">
        <v>122019404</v>
      </c>
      <c r="P298">
        <v>232</v>
      </c>
      <c r="Q298" t="s">
        <v>642</v>
      </c>
    </row>
    <row r="299" spans="1:17" x14ac:dyDescent="0.3">
      <c r="A299" t="s">
        <v>17</v>
      </c>
      <c r="B299" t="str">
        <f>"600340"</f>
        <v>600340</v>
      </c>
      <c r="C299" t="s">
        <v>643</v>
      </c>
      <c r="D299" t="s">
        <v>30</v>
      </c>
      <c r="F299">
        <v>-3694880798</v>
      </c>
      <c r="G299">
        <v>-27319410733</v>
      </c>
      <c r="H299">
        <v>-35900052780</v>
      </c>
      <c r="I299">
        <v>-10360212168</v>
      </c>
      <c r="J299">
        <v>-21129879818</v>
      </c>
      <c r="K299">
        <v>4040510098</v>
      </c>
      <c r="L299">
        <v>6350353690</v>
      </c>
      <c r="M299">
        <v>-5672758214</v>
      </c>
      <c r="N299">
        <v>-4188528814</v>
      </c>
      <c r="O299">
        <v>-235574915</v>
      </c>
      <c r="P299">
        <v>22449</v>
      </c>
      <c r="Q299" t="s">
        <v>644</v>
      </c>
    </row>
    <row r="300" spans="1:17" x14ac:dyDescent="0.3">
      <c r="A300" t="s">
        <v>17</v>
      </c>
      <c r="B300" t="str">
        <f>"600343"</f>
        <v>600343</v>
      </c>
      <c r="C300" t="s">
        <v>645</v>
      </c>
      <c r="D300" t="s">
        <v>92</v>
      </c>
      <c r="F300">
        <v>160183743</v>
      </c>
      <c r="G300">
        <v>2113697</v>
      </c>
      <c r="H300">
        <v>-207017380</v>
      </c>
      <c r="I300">
        <v>4228304</v>
      </c>
      <c r="J300">
        <v>-174484895</v>
      </c>
      <c r="K300">
        <v>-163159770</v>
      </c>
      <c r="L300">
        <v>-42218781</v>
      </c>
      <c r="M300">
        <v>109022219</v>
      </c>
      <c r="N300">
        <v>-20635038</v>
      </c>
      <c r="O300">
        <v>-138016398</v>
      </c>
      <c r="P300">
        <v>128</v>
      </c>
      <c r="Q300" t="s">
        <v>646</v>
      </c>
    </row>
    <row r="301" spans="1:17" x14ac:dyDescent="0.3">
      <c r="A301" t="s">
        <v>17</v>
      </c>
      <c r="B301" t="str">
        <f>"600345"</f>
        <v>600345</v>
      </c>
      <c r="C301" t="s">
        <v>647</v>
      </c>
      <c r="D301" t="s">
        <v>100</v>
      </c>
      <c r="F301">
        <v>-31696844</v>
      </c>
      <c r="G301">
        <v>19051591</v>
      </c>
      <c r="H301">
        <v>-82989957</v>
      </c>
      <c r="I301">
        <v>-43759113</v>
      </c>
      <c r="J301">
        <v>-20559308</v>
      </c>
      <c r="K301">
        <v>-236706</v>
      </c>
      <c r="L301">
        <v>-17452206</v>
      </c>
      <c r="M301">
        <v>-22736575</v>
      </c>
      <c r="N301">
        <v>-60969223</v>
      </c>
      <c r="O301">
        <v>-44258869</v>
      </c>
      <c r="P301">
        <v>208</v>
      </c>
      <c r="Q301" t="s">
        <v>648</v>
      </c>
    </row>
    <row r="302" spans="1:17" x14ac:dyDescent="0.3">
      <c r="A302" t="s">
        <v>17</v>
      </c>
      <c r="B302" t="str">
        <f>"600346"</f>
        <v>600346</v>
      </c>
      <c r="C302" t="s">
        <v>649</v>
      </c>
      <c r="D302" t="s">
        <v>70</v>
      </c>
      <c r="F302">
        <v>5287201927</v>
      </c>
      <c r="G302">
        <v>213806618</v>
      </c>
      <c r="H302">
        <v>-24837126115</v>
      </c>
      <c r="I302">
        <v>-31232567643</v>
      </c>
      <c r="J302">
        <v>-455042774</v>
      </c>
      <c r="K302">
        <v>354916110</v>
      </c>
      <c r="L302">
        <v>-138361301</v>
      </c>
      <c r="M302">
        <v>58931965</v>
      </c>
      <c r="N302">
        <v>4084990</v>
      </c>
      <c r="O302">
        <v>-253396241</v>
      </c>
      <c r="P302">
        <v>1653</v>
      </c>
      <c r="Q302" t="s">
        <v>650</v>
      </c>
    </row>
    <row r="303" spans="1:17" x14ac:dyDescent="0.3">
      <c r="A303" t="s">
        <v>17</v>
      </c>
      <c r="B303" t="str">
        <f>"600348"</f>
        <v>600348</v>
      </c>
      <c r="C303" t="s">
        <v>651</v>
      </c>
      <c r="D303" t="s">
        <v>257</v>
      </c>
      <c r="F303">
        <v>6860317284</v>
      </c>
      <c r="G303">
        <v>1823924145</v>
      </c>
      <c r="H303">
        <v>552631481</v>
      </c>
      <c r="I303">
        <v>487310163</v>
      </c>
      <c r="J303">
        <v>-1720312639</v>
      </c>
      <c r="K303">
        <v>242161910</v>
      </c>
      <c r="L303">
        <v>-1974558900</v>
      </c>
      <c r="M303">
        <v>-2550426123</v>
      </c>
      <c r="N303">
        <v>-621744079</v>
      </c>
      <c r="O303">
        <v>-983571677</v>
      </c>
      <c r="P303">
        <v>1285</v>
      </c>
      <c r="Q303" t="s">
        <v>652</v>
      </c>
    </row>
    <row r="304" spans="1:17" x14ac:dyDescent="0.3">
      <c r="A304" t="s">
        <v>17</v>
      </c>
      <c r="B304" t="str">
        <f>"600350"</f>
        <v>600350</v>
      </c>
      <c r="C304" t="s">
        <v>653</v>
      </c>
      <c r="D304" t="s">
        <v>22</v>
      </c>
      <c r="F304">
        <v>1372141321</v>
      </c>
      <c r="G304">
        <v>-2279528877</v>
      </c>
      <c r="H304">
        <v>-3236766729</v>
      </c>
      <c r="I304">
        <v>-3423905531</v>
      </c>
      <c r="J304">
        <v>-1936526932</v>
      </c>
      <c r="K304">
        <v>2261539897</v>
      </c>
      <c r="L304">
        <v>2355120551</v>
      </c>
      <c r="M304">
        <v>2006251387</v>
      </c>
      <c r="N304">
        <v>1403095192</v>
      </c>
      <c r="O304">
        <v>856875783</v>
      </c>
      <c r="P304">
        <v>1230</v>
      </c>
      <c r="Q304" t="s">
        <v>654</v>
      </c>
    </row>
    <row r="305" spans="1:17" x14ac:dyDescent="0.3">
      <c r="A305" t="s">
        <v>17</v>
      </c>
      <c r="B305" t="str">
        <f>"600351"</f>
        <v>600351</v>
      </c>
      <c r="C305" t="s">
        <v>655</v>
      </c>
      <c r="D305" t="s">
        <v>113</v>
      </c>
      <c r="F305">
        <v>343590110</v>
      </c>
      <c r="G305">
        <v>322317014</v>
      </c>
      <c r="H305">
        <v>286632563</v>
      </c>
      <c r="I305">
        <v>359763989</v>
      </c>
      <c r="J305">
        <v>63694452</v>
      </c>
      <c r="K305">
        <v>164464670</v>
      </c>
      <c r="L305">
        <v>41959783</v>
      </c>
      <c r="M305">
        <v>7233581</v>
      </c>
      <c r="N305">
        <v>-9238176</v>
      </c>
      <c r="O305">
        <v>-184104476</v>
      </c>
      <c r="P305">
        <v>234</v>
      </c>
      <c r="Q305" t="s">
        <v>656</v>
      </c>
    </row>
    <row r="306" spans="1:17" x14ac:dyDescent="0.3">
      <c r="A306" t="s">
        <v>17</v>
      </c>
      <c r="B306" t="str">
        <f>"600352"</f>
        <v>600352</v>
      </c>
      <c r="C306" t="s">
        <v>657</v>
      </c>
      <c r="D306" t="s">
        <v>133</v>
      </c>
      <c r="F306">
        <v>4213988302</v>
      </c>
      <c r="G306">
        <v>2628566246</v>
      </c>
      <c r="H306">
        <v>5837005435</v>
      </c>
      <c r="I306">
        <v>123618875</v>
      </c>
      <c r="J306">
        <v>-982487554</v>
      </c>
      <c r="K306">
        <v>-6292393979</v>
      </c>
      <c r="L306">
        <v>1132037538</v>
      </c>
      <c r="M306">
        <v>983406350</v>
      </c>
      <c r="N306">
        <v>133061190</v>
      </c>
      <c r="O306">
        <v>414796151</v>
      </c>
      <c r="P306">
        <v>1666</v>
      </c>
      <c r="Q306" t="s">
        <v>658</v>
      </c>
    </row>
    <row r="307" spans="1:17" x14ac:dyDescent="0.3">
      <c r="A307" t="s">
        <v>17</v>
      </c>
      <c r="B307" t="str">
        <f>"600353"</f>
        <v>600353</v>
      </c>
      <c r="C307" t="s">
        <v>659</v>
      </c>
      <c r="D307" t="s">
        <v>150</v>
      </c>
      <c r="F307">
        <v>-34982088</v>
      </c>
      <c r="G307">
        <v>-6017803</v>
      </c>
      <c r="H307">
        <v>-9463517</v>
      </c>
      <c r="I307">
        <v>204426</v>
      </c>
      <c r="J307">
        <v>-26630809</v>
      </c>
      <c r="K307">
        <v>602849</v>
      </c>
      <c r="L307">
        <v>-22333745</v>
      </c>
      <c r="M307">
        <v>-17795695</v>
      </c>
      <c r="N307">
        <v>-21706707</v>
      </c>
      <c r="O307">
        <v>-48695843</v>
      </c>
      <c r="P307">
        <v>141</v>
      </c>
      <c r="Q307" t="s">
        <v>660</v>
      </c>
    </row>
    <row r="308" spans="1:17" x14ac:dyDescent="0.3">
      <c r="A308" t="s">
        <v>17</v>
      </c>
      <c r="B308" t="str">
        <f>"600354"</f>
        <v>600354</v>
      </c>
      <c r="C308" t="s">
        <v>661</v>
      </c>
      <c r="D308" t="s">
        <v>205</v>
      </c>
      <c r="F308">
        <v>110113531</v>
      </c>
      <c r="G308">
        <v>196766082</v>
      </c>
      <c r="H308">
        <v>-100541767</v>
      </c>
      <c r="I308">
        <v>-106942296</v>
      </c>
      <c r="J308">
        <v>-289341416</v>
      </c>
      <c r="K308">
        <v>-318514605</v>
      </c>
      <c r="L308">
        <v>281343841</v>
      </c>
      <c r="M308">
        <v>415297833</v>
      </c>
      <c r="N308">
        <v>145340296</v>
      </c>
      <c r="O308">
        <v>310098348</v>
      </c>
      <c r="P308">
        <v>121</v>
      </c>
      <c r="Q308" t="s">
        <v>662</v>
      </c>
    </row>
    <row r="309" spans="1:17" x14ac:dyDescent="0.3">
      <c r="A309" t="s">
        <v>17</v>
      </c>
      <c r="B309" t="str">
        <f>"600355"</f>
        <v>600355</v>
      </c>
      <c r="C309" t="s">
        <v>663</v>
      </c>
      <c r="D309" t="s">
        <v>100</v>
      </c>
      <c r="F309">
        <v>-9433969</v>
      </c>
      <c r="G309">
        <v>-43585443</v>
      </c>
      <c r="H309">
        <v>-2475981</v>
      </c>
      <c r="I309">
        <v>26202249</v>
      </c>
      <c r="J309">
        <v>-52891536</v>
      </c>
      <c r="K309">
        <v>32429237</v>
      </c>
      <c r="L309">
        <v>24784192</v>
      </c>
      <c r="M309">
        <v>-19081633</v>
      </c>
      <c r="N309">
        <v>-52361781</v>
      </c>
      <c r="O309">
        <v>-44884644</v>
      </c>
      <c r="P309">
        <v>109</v>
      </c>
      <c r="Q309" t="s">
        <v>664</v>
      </c>
    </row>
    <row r="310" spans="1:17" x14ac:dyDescent="0.3">
      <c r="A310" t="s">
        <v>17</v>
      </c>
      <c r="B310" t="str">
        <f>"600356"</f>
        <v>600356</v>
      </c>
      <c r="C310" t="s">
        <v>665</v>
      </c>
      <c r="D310" t="s">
        <v>161</v>
      </c>
      <c r="F310">
        <v>48954867</v>
      </c>
      <c r="G310">
        <v>123978785</v>
      </c>
      <c r="H310">
        <v>1641006</v>
      </c>
      <c r="I310">
        <v>-270859499</v>
      </c>
      <c r="J310">
        <v>125493140</v>
      </c>
      <c r="K310">
        <v>122320810</v>
      </c>
      <c r="L310">
        <v>362670682</v>
      </c>
      <c r="M310">
        <v>185030418</v>
      </c>
      <c r="N310">
        <v>69003298</v>
      </c>
      <c r="O310">
        <v>-203978533</v>
      </c>
      <c r="P310">
        <v>116</v>
      </c>
      <c r="Q310" t="s">
        <v>666</v>
      </c>
    </row>
    <row r="311" spans="1:17" x14ac:dyDescent="0.3">
      <c r="A311" t="s">
        <v>17</v>
      </c>
      <c r="B311" t="str">
        <f>"600358"</f>
        <v>600358</v>
      </c>
      <c r="C311" t="s">
        <v>667</v>
      </c>
      <c r="D311" t="s">
        <v>89</v>
      </c>
      <c r="F311">
        <v>-65769328</v>
      </c>
      <c r="G311">
        <v>-51762243</v>
      </c>
      <c r="H311">
        <v>-43097809</v>
      </c>
      <c r="I311">
        <v>-15831805</v>
      </c>
      <c r="J311">
        <v>-18310958</v>
      </c>
      <c r="K311">
        <v>-36695149</v>
      </c>
      <c r="L311">
        <v>-26802328</v>
      </c>
      <c r="M311">
        <v>50526959</v>
      </c>
      <c r="N311">
        <v>-37199641</v>
      </c>
      <c r="O311">
        <v>-122191119</v>
      </c>
      <c r="P311">
        <v>64</v>
      </c>
      <c r="Q311" t="s">
        <v>668</v>
      </c>
    </row>
    <row r="312" spans="1:17" x14ac:dyDescent="0.3">
      <c r="A312" t="s">
        <v>17</v>
      </c>
      <c r="B312" t="str">
        <f>"600359"</f>
        <v>600359</v>
      </c>
      <c r="C312" t="s">
        <v>669</v>
      </c>
      <c r="D312" t="s">
        <v>205</v>
      </c>
      <c r="F312">
        <v>-33128063</v>
      </c>
      <c r="G312">
        <v>91492118</v>
      </c>
      <c r="H312">
        <v>257817216</v>
      </c>
      <c r="I312">
        <v>33330501</v>
      </c>
      <c r="J312">
        <v>156335777</v>
      </c>
      <c r="K312">
        <v>-175312725</v>
      </c>
      <c r="L312">
        <v>-92710985</v>
      </c>
      <c r="M312">
        <v>-66215970</v>
      </c>
      <c r="N312">
        <v>31161006</v>
      </c>
      <c r="O312">
        <v>-668689</v>
      </c>
      <c r="P312">
        <v>111</v>
      </c>
      <c r="Q312" t="s">
        <v>670</v>
      </c>
    </row>
    <row r="313" spans="1:17" x14ac:dyDescent="0.3">
      <c r="A313" t="s">
        <v>17</v>
      </c>
      <c r="B313" t="str">
        <f>"600360"</f>
        <v>600360</v>
      </c>
      <c r="C313" t="s">
        <v>671</v>
      </c>
      <c r="D313" t="s">
        <v>150</v>
      </c>
      <c r="F313">
        <v>-672177482</v>
      </c>
      <c r="G313">
        <v>-798735978</v>
      </c>
      <c r="H313">
        <v>-505401011</v>
      </c>
      <c r="I313">
        <v>236448654</v>
      </c>
      <c r="J313">
        <v>43473335</v>
      </c>
      <c r="K313">
        <v>7533430</v>
      </c>
      <c r="L313">
        <v>130257864</v>
      </c>
      <c r="M313">
        <v>-190189</v>
      </c>
      <c r="N313">
        <v>25697285</v>
      </c>
      <c r="O313">
        <v>120946297</v>
      </c>
      <c r="P313">
        <v>318</v>
      </c>
      <c r="Q313" t="s">
        <v>672</v>
      </c>
    </row>
    <row r="314" spans="1:17" x14ac:dyDescent="0.3">
      <c r="A314" t="s">
        <v>17</v>
      </c>
      <c r="B314" t="str">
        <f>"600361"</f>
        <v>600361</v>
      </c>
      <c r="C314" t="s">
        <v>673</v>
      </c>
      <c r="D314" t="s">
        <v>120</v>
      </c>
      <c r="F314">
        <v>296071998</v>
      </c>
      <c r="G314">
        <v>570431019</v>
      </c>
      <c r="H314">
        <v>161207996</v>
      </c>
      <c r="I314">
        <v>708143218</v>
      </c>
      <c r="J314">
        <v>109947692</v>
      </c>
      <c r="K314">
        <v>-648571130</v>
      </c>
      <c r="L314">
        <v>-156709730</v>
      </c>
      <c r="M314">
        <v>323171077</v>
      </c>
      <c r="N314">
        <v>53355818</v>
      </c>
      <c r="O314">
        <v>542116015</v>
      </c>
      <c r="P314">
        <v>134</v>
      </c>
      <c r="Q314" t="s">
        <v>674</v>
      </c>
    </row>
    <row r="315" spans="1:17" x14ac:dyDescent="0.3">
      <c r="A315" t="s">
        <v>17</v>
      </c>
      <c r="B315" t="str">
        <f>"600362"</f>
        <v>600362</v>
      </c>
      <c r="C315" t="s">
        <v>675</v>
      </c>
      <c r="D315" t="s">
        <v>234</v>
      </c>
      <c r="F315">
        <v>6270462303</v>
      </c>
      <c r="G315">
        <v>-2090939294</v>
      </c>
      <c r="H315">
        <v>5082027044</v>
      </c>
      <c r="I315">
        <v>5782549311</v>
      </c>
      <c r="J315">
        <v>10494981</v>
      </c>
      <c r="K315">
        <v>2695359449</v>
      </c>
      <c r="L315">
        <v>145850149</v>
      </c>
      <c r="M315">
        <v>101281363</v>
      </c>
      <c r="N315">
        <v>3091468446</v>
      </c>
      <c r="O315">
        <v>3659816321</v>
      </c>
      <c r="P315">
        <v>911</v>
      </c>
      <c r="Q315" t="s">
        <v>676</v>
      </c>
    </row>
    <row r="316" spans="1:17" x14ac:dyDescent="0.3">
      <c r="A316" t="s">
        <v>17</v>
      </c>
      <c r="B316" t="str">
        <f>"600363"</f>
        <v>600363</v>
      </c>
      <c r="C316" t="s">
        <v>677</v>
      </c>
      <c r="D316" t="s">
        <v>150</v>
      </c>
      <c r="F316">
        <v>-48596507</v>
      </c>
      <c r="G316">
        <v>261600620</v>
      </c>
      <c r="H316">
        <v>-127002995</v>
      </c>
      <c r="I316">
        <v>-38529636</v>
      </c>
      <c r="J316">
        <v>-74678438</v>
      </c>
      <c r="K316">
        <v>-18671995</v>
      </c>
      <c r="L316">
        <v>-44968950</v>
      </c>
      <c r="M316">
        <v>-47604297</v>
      </c>
      <c r="N316">
        <v>-174701755</v>
      </c>
      <c r="O316">
        <v>-8719835</v>
      </c>
      <c r="P316">
        <v>202</v>
      </c>
      <c r="Q316" t="s">
        <v>678</v>
      </c>
    </row>
    <row r="317" spans="1:17" x14ac:dyDescent="0.3">
      <c r="A317" t="s">
        <v>17</v>
      </c>
      <c r="B317" t="str">
        <f>"600365"</f>
        <v>600365</v>
      </c>
      <c r="C317" t="s">
        <v>679</v>
      </c>
      <c r="D317" t="s">
        <v>123</v>
      </c>
      <c r="F317">
        <v>-266292383</v>
      </c>
      <c r="G317">
        <v>-176849460</v>
      </c>
      <c r="H317">
        <v>-804545464</v>
      </c>
      <c r="I317">
        <v>-587474590</v>
      </c>
      <c r="J317">
        <v>-573545432</v>
      </c>
      <c r="K317">
        <v>-342712942</v>
      </c>
      <c r="L317">
        <v>-121844414</v>
      </c>
      <c r="M317">
        <v>-123010226</v>
      </c>
      <c r="N317">
        <v>-99982579</v>
      </c>
      <c r="O317">
        <v>-3656541</v>
      </c>
      <c r="P317">
        <v>90</v>
      </c>
      <c r="Q317" t="s">
        <v>680</v>
      </c>
    </row>
    <row r="318" spans="1:17" x14ac:dyDescent="0.3">
      <c r="A318" t="s">
        <v>17</v>
      </c>
      <c r="B318" t="str">
        <f>"600366"</f>
        <v>600366</v>
      </c>
      <c r="C318" t="s">
        <v>681</v>
      </c>
      <c r="D318" t="s">
        <v>234</v>
      </c>
      <c r="F318">
        <v>-1203022898</v>
      </c>
      <c r="G318">
        <v>-216797478</v>
      </c>
      <c r="H318">
        <v>115666552</v>
      </c>
      <c r="I318">
        <v>64930878</v>
      </c>
      <c r="J318">
        <v>-258336887</v>
      </c>
      <c r="K318">
        <v>-171036078</v>
      </c>
      <c r="L318">
        <v>16253223</v>
      </c>
      <c r="M318">
        <v>15367297</v>
      </c>
      <c r="N318">
        <v>97410365</v>
      </c>
      <c r="O318">
        <v>807473673</v>
      </c>
      <c r="P318">
        <v>237</v>
      </c>
      <c r="Q318" t="s">
        <v>682</v>
      </c>
    </row>
    <row r="319" spans="1:17" x14ac:dyDescent="0.3">
      <c r="A319" t="s">
        <v>17</v>
      </c>
      <c r="B319" t="str">
        <f>"600367"</f>
        <v>600367</v>
      </c>
      <c r="C319" t="s">
        <v>683</v>
      </c>
      <c r="D319" t="s">
        <v>133</v>
      </c>
      <c r="F319">
        <v>196603681</v>
      </c>
      <c r="G319">
        <v>-31993801</v>
      </c>
      <c r="H319">
        <v>4199482</v>
      </c>
      <c r="I319">
        <v>19246215</v>
      </c>
      <c r="J319">
        <v>35370923</v>
      </c>
      <c r="K319">
        <v>70527888</v>
      </c>
      <c r="L319">
        <v>86110567</v>
      </c>
      <c r="M319">
        <v>-62622803</v>
      </c>
      <c r="N319">
        <v>-68367843</v>
      </c>
      <c r="O319">
        <v>-46384862</v>
      </c>
      <c r="P319">
        <v>115</v>
      </c>
      <c r="Q319" t="s">
        <v>684</v>
      </c>
    </row>
    <row r="320" spans="1:17" x14ac:dyDescent="0.3">
      <c r="A320" t="s">
        <v>17</v>
      </c>
      <c r="B320" t="str">
        <f>"600368"</f>
        <v>600368</v>
      </c>
      <c r="C320" t="s">
        <v>685</v>
      </c>
      <c r="D320" t="s">
        <v>22</v>
      </c>
      <c r="F320">
        <v>1589833050</v>
      </c>
      <c r="G320">
        <v>726132112</v>
      </c>
      <c r="H320">
        <v>836895679</v>
      </c>
      <c r="I320">
        <v>1481390678</v>
      </c>
      <c r="J320">
        <v>1337606995</v>
      </c>
      <c r="K320">
        <v>1027537171</v>
      </c>
      <c r="L320">
        <v>918556433</v>
      </c>
      <c r="M320">
        <v>186349249</v>
      </c>
      <c r="N320">
        <v>-484549224</v>
      </c>
      <c r="O320">
        <v>-779003508</v>
      </c>
      <c r="P320">
        <v>302</v>
      </c>
      <c r="Q320" t="s">
        <v>686</v>
      </c>
    </row>
    <row r="321" spans="1:17" x14ac:dyDescent="0.3">
      <c r="A321" t="s">
        <v>17</v>
      </c>
      <c r="B321" t="str">
        <f>"600369"</f>
        <v>600369</v>
      </c>
      <c r="C321" t="s">
        <v>687</v>
      </c>
      <c r="D321" t="s">
        <v>75</v>
      </c>
      <c r="F321">
        <v>-349442293</v>
      </c>
      <c r="G321">
        <v>-4077572637</v>
      </c>
      <c r="H321">
        <v>1220994672</v>
      </c>
      <c r="I321">
        <v>2252987658</v>
      </c>
      <c r="J321">
        <v>-4312353983</v>
      </c>
      <c r="K321">
        <v>-10850833641</v>
      </c>
      <c r="L321">
        <v>2183452983</v>
      </c>
      <c r="M321">
        <v>5383251402</v>
      </c>
      <c r="N321">
        <v>-1030052074</v>
      </c>
      <c r="O321">
        <v>-437147157</v>
      </c>
      <c r="P321">
        <v>930</v>
      </c>
      <c r="Q321" t="s">
        <v>688</v>
      </c>
    </row>
    <row r="322" spans="1:17" x14ac:dyDescent="0.3">
      <c r="A322" t="s">
        <v>17</v>
      </c>
      <c r="B322" t="str">
        <f>"600370"</f>
        <v>600370</v>
      </c>
      <c r="C322" t="s">
        <v>689</v>
      </c>
      <c r="D322" t="s">
        <v>227</v>
      </c>
      <c r="F322">
        <v>-719436441</v>
      </c>
      <c r="G322">
        <v>138957367</v>
      </c>
      <c r="H322">
        <v>221892630</v>
      </c>
      <c r="I322">
        <v>22146777</v>
      </c>
      <c r="J322">
        <v>45128555</v>
      </c>
      <c r="K322">
        <v>145523535</v>
      </c>
      <c r="L322">
        <v>204631511</v>
      </c>
      <c r="M322">
        <v>113987948</v>
      </c>
      <c r="N322">
        <v>76266617</v>
      </c>
      <c r="O322">
        <v>171267429</v>
      </c>
      <c r="P322">
        <v>101</v>
      </c>
      <c r="Q322" t="s">
        <v>690</v>
      </c>
    </row>
    <row r="323" spans="1:17" x14ac:dyDescent="0.3">
      <c r="A323" t="s">
        <v>17</v>
      </c>
      <c r="B323" t="str">
        <f>"600371"</f>
        <v>600371</v>
      </c>
      <c r="C323" t="s">
        <v>691</v>
      </c>
      <c r="D323" t="s">
        <v>205</v>
      </c>
      <c r="F323">
        <v>89065751</v>
      </c>
      <c r="G323">
        <v>-18110869</v>
      </c>
      <c r="H323">
        <v>28171945</v>
      </c>
      <c r="I323">
        <v>75206978</v>
      </c>
      <c r="J323">
        <v>32684704</v>
      </c>
      <c r="K323">
        <v>144589692</v>
      </c>
      <c r="L323">
        <v>113493954</v>
      </c>
      <c r="M323">
        <v>282113016</v>
      </c>
      <c r="N323">
        <v>25862805</v>
      </c>
      <c r="O323">
        <v>-64609646</v>
      </c>
      <c r="P323">
        <v>174</v>
      </c>
      <c r="Q323" t="s">
        <v>692</v>
      </c>
    </row>
    <row r="324" spans="1:17" x14ac:dyDescent="0.3">
      <c r="A324" t="s">
        <v>17</v>
      </c>
      <c r="B324" t="str">
        <f>"600372"</f>
        <v>600372</v>
      </c>
      <c r="C324" t="s">
        <v>693</v>
      </c>
      <c r="D324" t="s">
        <v>92</v>
      </c>
      <c r="F324">
        <v>732315592</v>
      </c>
      <c r="G324">
        <v>-63971885</v>
      </c>
      <c r="H324">
        <v>-32034009</v>
      </c>
      <c r="I324">
        <v>-810776204</v>
      </c>
      <c r="J324">
        <v>-763276448</v>
      </c>
      <c r="K324">
        <v>-726660279</v>
      </c>
      <c r="L324">
        <v>-14001044</v>
      </c>
      <c r="M324">
        <v>-282421075</v>
      </c>
      <c r="N324">
        <v>-216144966</v>
      </c>
      <c r="O324">
        <v>-355960121</v>
      </c>
      <c r="P324">
        <v>433</v>
      </c>
      <c r="Q324" t="s">
        <v>694</v>
      </c>
    </row>
    <row r="325" spans="1:17" x14ac:dyDescent="0.3">
      <c r="A325" t="s">
        <v>17</v>
      </c>
      <c r="B325" t="str">
        <f>"600373"</f>
        <v>600373</v>
      </c>
      <c r="C325" t="s">
        <v>695</v>
      </c>
      <c r="D325" t="s">
        <v>89</v>
      </c>
      <c r="F325">
        <v>1702338916</v>
      </c>
      <c r="G325">
        <v>2618423324</v>
      </c>
      <c r="H325">
        <v>1997358869</v>
      </c>
      <c r="I325">
        <v>2323634847</v>
      </c>
      <c r="J325">
        <v>1339211930</v>
      </c>
      <c r="K325">
        <v>2076312705</v>
      </c>
      <c r="L325">
        <v>817099376</v>
      </c>
      <c r="M325">
        <v>579452338</v>
      </c>
      <c r="N325">
        <v>967363124</v>
      </c>
      <c r="O325">
        <v>996091339</v>
      </c>
      <c r="P325">
        <v>776</v>
      </c>
      <c r="Q325" t="s">
        <v>696</v>
      </c>
    </row>
    <row r="326" spans="1:17" x14ac:dyDescent="0.3">
      <c r="A326" t="s">
        <v>17</v>
      </c>
      <c r="B326" t="str">
        <f>"600375"</f>
        <v>600375</v>
      </c>
      <c r="C326" t="s">
        <v>697</v>
      </c>
      <c r="D326" t="s">
        <v>78</v>
      </c>
      <c r="F326">
        <v>193392333</v>
      </c>
      <c r="G326">
        <v>-510432247</v>
      </c>
      <c r="H326">
        <v>552210971</v>
      </c>
      <c r="I326">
        <v>-882647884</v>
      </c>
      <c r="J326">
        <v>-320439821</v>
      </c>
      <c r="K326">
        <v>319325887</v>
      </c>
      <c r="L326">
        <v>123791042</v>
      </c>
      <c r="M326">
        <v>-727817658</v>
      </c>
      <c r="N326">
        <v>-359430965</v>
      </c>
      <c r="O326">
        <v>-141311929</v>
      </c>
      <c r="P326">
        <v>87</v>
      </c>
      <c r="Q326" t="s">
        <v>698</v>
      </c>
    </row>
    <row r="327" spans="1:17" x14ac:dyDescent="0.3">
      <c r="A327" t="s">
        <v>17</v>
      </c>
      <c r="B327" t="str">
        <f>"600376"</f>
        <v>600376</v>
      </c>
      <c r="C327" t="s">
        <v>699</v>
      </c>
      <c r="D327" t="s">
        <v>30</v>
      </c>
      <c r="F327">
        <v>6845677255</v>
      </c>
      <c r="G327">
        <v>4955906063</v>
      </c>
      <c r="H327">
        <v>1143588670</v>
      </c>
      <c r="I327">
        <v>11166147872</v>
      </c>
      <c r="J327">
        <v>-20545568376</v>
      </c>
      <c r="K327">
        <v>-8564560794</v>
      </c>
      <c r="L327">
        <v>-9605906218</v>
      </c>
      <c r="M327">
        <v>3164159634</v>
      </c>
      <c r="N327">
        <v>-8327189384</v>
      </c>
      <c r="O327">
        <v>2072590155</v>
      </c>
      <c r="P327">
        <v>1101</v>
      </c>
      <c r="Q327" t="s">
        <v>700</v>
      </c>
    </row>
    <row r="328" spans="1:17" x14ac:dyDescent="0.3">
      <c r="A328" t="s">
        <v>17</v>
      </c>
      <c r="B328" t="str">
        <f>"600377"</f>
        <v>600377</v>
      </c>
      <c r="C328" t="s">
        <v>701</v>
      </c>
      <c r="D328" t="s">
        <v>22</v>
      </c>
      <c r="F328">
        <v>2158659525</v>
      </c>
      <c r="G328">
        <v>-1107508101</v>
      </c>
      <c r="H328">
        <v>920859785</v>
      </c>
      <c r="I328">
        <v>2180375894</v>
      </c>
      <c r="J328">
        <v>-1750990444</v>
      </c>
      <c r="K328">
        <v>5275181397</v>
      </c>
      <c r="L328">
        <v>4295928415</v>
      </c>
      <c r="M328">
        <v>2749999590</v>
      </c>
      <c r="N328">
        <v>2928362711</v>
      </c>
      <c r="O328">
        <v>3069832636</v>
      </c>
      <c r="P328">
        <v>1723</v>
      </c>
      <c r="Q328" t="s">
        <v>702</v>
      </c>
    </row>
    <row r="329" spans="1:17" x14ac:dyDescent="0.3">
      <c r="A329" t="s">
        <v>17</v>
      </c>
      <c r="B329" t="str">
        <f>"600378"</f>
        <v>600378</v>
      </c>
      <c r="C329" t="s">
        <v>703</v>
      </c>
      <c r="D329" t="s">
        <v>133</v>
      </c>
      <c r="F329">
        <v>343546649</v>
      </c>
      <c r="G329">
        <v>7338375</v>
      </c>
      <c r="H329">
        <v>595543075</v>
      </c>
      <c r="I329">
        <v>192024794</v>
      </c>
      <c r="J329">
        <v>-1863464</v>
      </c>
      <c r="K329">
        <v>34770015</v>
      </c>
      <c r="L329">
        <v>-1200969</v>
      </c>
      <c r="M329">
        <v>73999308</v>
      </c>
      <c r="N329">
        <v>53883153</v>
      </c>
      <c r="O329">
        <v>52896817</v>
      </c>
      <c r="P329">
        <v>228</v>
      </c>
      <c r="Q329" t="s">
        <v>704</v>
      </c>
    </row>
    <row r="330" spans="1:17" x14ac:dyDescent="0.3">
      <c r="A330" t="s">
        <v>17</v>
      </c>
      <c r="B330" t="str">
        <f>"600379"</f>
        <v>600379</v>
      </c>
      <c r="C330" t="s">
        <v>705</v>
      </c>
      <c r="D330" t="s">
        <v>188</v>
      </c>
      <c r="F330">
        <v>130669011</v>
      </c>
      <c r="G330">
        <v>100986025</v>
      </c>
      <c r="H330">
        <v>38575223</v>
      </c>
      <c r="I330">
        <v>38473686</v>
      </c>
      <c r="J330">
        <v>18514872</v>
      </c>
      <c r="K330">
        <v>-49954361</v>
      </c>
      <c r="L330">
        <v>130113639</v>
      </c>
      <c r="M330">
        <v>26460572</v>
      </c>
      <c r="N330">
        <v>31301761</v>
      </c>
      <c r="O330">
        <v>-18479752</v>
      </c>
      <c r="P330">
        <v>85</v>
      </c>
      <c r="Q330" t="s">
        <v>706</v>
      </c>
    </row>
    <row r="331" spans="1:17" x14ac:dyDescent="0.3">
      <c r="A331" t="s">
        <v>17</v>
      </c>
      <c r="B331" t="str">
        <f>"600380"</f>
        <v>600380</v>
      </c>
      <c r="C331" t="s">
        <v>707</v>
      </c>
      <c r="D331" t="s">
        <v>113</v>
      </c>
      <c r="F331">
        <v>1051073881</v>
      </c>
      <c r="G331">
        <v>2243672917</v>
      </c>
      <c r="H331">
        <v>1611233567</v>
      </c>
      <c r="I331">
        <v>1171362342</v>
      </c>
      <c r="J331">
        <v>1392623741</v>
      </c>
      <c r="K331">
        <v>1149613682</v>
      </c>
      <c r="L331">
        <v>677276227</v>
      </c>
      <c r="M331">
        <v>165771340</v>
      </c>
      <c r="N331">
        <v>-347359127</v>
      </c>
      <c r="O331">
        <v>-126330142</v>
      </c>
      <c r="P331">
        <v>966</v>
      </c>
      <c r="Q331" t="s">
        <v>708</v>
      </c>
    </row>
    <row r="332" spans="1:17" x14ac:dyDescent="0.3">
      <c r="A332" t="s">
        <v>17</v>
      </c>
      <c r="B332" t="str">
        <f>"600381"</f>
        <v>600381</v>
      </c>
      <c r="C332" t="s">
        <v>709</v>
      </c>
      <c r="D332" t="s">
        <v>123</v>
      </c>
      <c r="F332">
        <v>-185727897</v>
      </c>
      <c r="G332">
        <v>-273586530</v>
      </c>
      <c r="H332">
        <v>-241584995</v>
      </c>
      <c r="I332">
        <v>-227410903</v>
      </c>
      <c r="J332">
        <v>75887227</v>
      </c>
      <c r="K332">
        <v>319610791</v>
      </c>
      <c r="L332">
        <v>817823395</v>
      </c>
      <c r="M332">
        <v>-214722918</v>
      </c>
      <c r="N332">
        <v>-104558882</v>
      </c>
      <c r="O332">
        <v>-883945041</v>
      </c>
      <c r="P332">
        <v>131</v>
      </c>
      <c r="Q332" t="s">
        <v>710</v>
      </c>
    </row>
    <row r="333" spans="1:17" x14ac:dyDescent="0.3">
      <c r="A333" t="s">
        <v>17</v>
      </c>
      <c r="B333" t="str">
        <f>"600382"</f>
        <v>600382</v>
      </c>
      <c r="C333" t="s">
        <v>711</v>
      </c>
      <c r="D333" t="s">
        <v>103</v>
      </c>
      <c r="F333">
        <v>821682124</v>
      </c>
      <c r="G333">
        <v>215103656</v>
      </c>
      <c r="H333">
        <v>390738547</v>
      </c>
      <c r="I333">
        <v>-1262908785</v>
      </c>
      <c r="J333">
        <v>-1182533316</v>
      </c>
      <c r="K333">
        <v>-1564243296</v>
      </c>
      <c r="L333">
        <v>-1221421189</v>
      </c>
      <c r="M333">
        <v>-401400450</v>
      </c>
      <c r="N333">
        <v>-3167949</v>
      </c>
      <c r="O333">
        <v>2280044</v>
      </c>
      <c r="P333">
        <v>156</v>
      </c>
      <c r="Q333" t="s">
        <v>712</v>
      </c>
    </row>
    <row r="334" spans="1:17" x14ac:dyDescent="0.3">
      <c r="A334" t="s">
        <v>17</v>
      </c>
      <c r="B334" t="str">
        <f>"600383"</f>
        <v>600383</v>
      </c>
      <c r="C334" t="s">
        <v>713</v>
      </c>
      <c r="D334" t="s">
        <v>30</v>
      </c>
      <c r="F334">
        <v>8794064835</v>
      </c>
      <c r="G334">
        <v>6365953843</v>
      </c>
      <c r="H334">
        <v>6763406998</v>
      </c>
      <c r="I334">
        <v>-2677336590</v>
      </c>
      <c r="J334">
        <v>-7486545664</v>
      </c>
      <c r="K334">
        <v>16160481376</v>
      </c>
      <c r="L334">
        <v>7941485312</v>
      </c>
      <c r="M334">
        <v>-1420737038</v>
      </c>
      <c r="N334">
        <v>-1769596944</v>
      </c>
      <c r="O334">
        <v>6161880690</v>
      </c>
      <c r="P334">
        <v>2481</v>
      </c>
      <c r="Q334" t="s">
        <v>714</v>
      </c>
    </row>
    <row r="335" spans="1:17" x14ac:dyDescent="0.3">
      <c r="A335" t="s">
        <v>17</v>
      </c>
      <c r="B335" t="str">
        <f>"600385"</f>
        <v>600385</v>
      </c>
      <c r="C335" t="s">
        <v>715</v>
      </c>
      <c r="D335" t="s">
        <v>113</v>
      </c>
      <c r="F335">
        <v>25490587</v>
      </c>
      <c r="G335">
        <v>3343251</v>
      </c>
      <c r="H335">
        <v>12698115</v>
      </c>
      <c r="I335">
        <v>-6119895</v>
      </c>
      <c r="J335">
        <v>-3401860</v>
      </c>
      <c r="K335">
        <v>-1074903</v>
      </c>
      <c r="L335">
        <v>149412552</v>
      </c>
      <c r="M335">
        <v>-14968686</v>
      </c>
      <c r="N335">
        <v>-46428695</v>
      </c>
      <c r="O335">
        <v>7410100</v>
      </c>
      <c r="P335">
        <v>51</v>
      </c>
      <c r="Q335" t="s">
        <v>716</v>
      </c>
    </row>
    <row r="336" spans="1:17" x14ac:dyDescent="0.3">
      <c r="A336" t="s">
        <v>17</v>
      </c>
      <c r="B336" t="str">
        <f>"600386"</f>
        <v>600386</v>
      </c>
      <c r="C336" t="s">
        <v>717</v>
      </c>
      <c r="D336" t="s">
        <v>27</v>
      </c>
      <c r="F336">
        <v>358640668</v>
      </c>
      <c r="G336">
        <v>282316399</v>
      </c>
      <c r="H336">
        <v>173616746</v>
      </c>
      <c r="I336">
        <v>223410540</v>
      </c>
      <c r="J336">
        <v>75075011</v>
      </c>
      <c r="K336">
        <v>-11887944</v>
      </c>
      <c r="L336">
        <v>227008633</v>
      </c>
      <c r="M336">
        <v>240138614</v>
      </c>
      <c r="N336">
        <v>98376098</v>
      </c>
      <c r="O336">
        <v>150465745</v>
      </c>
      <c r="P336">
        <v>96</v>
      </c>
      <c r="Q336" t="s">
        <v>718</v>
      </c>
    </row>
    <row r="337" spans="1:17" x14ac:dyDescent="0.3">
      <c r="A337" t="s">
        <v>17</v>
      </c>
      <c r="B337" t="str">
        <f>"600387"</f>
        <v>600387</v>
      </c>
      <c r="C337" t="s">
        <v>719</v>
      </c>
      <c r="D337" t="s">
        <v>70</v>
      </c>
      <c r="F337">
        <v>516970374</v>
      </c>
      <c r="G337">
        <v>-406321746</v>
      </c>
      <c r="H337">
        <v>174267313</v>
      </c>
      <c r="I337">
        <v>744772494</v>
      </c>
      <c r="J337">
        <v>404416002</v>
      </c>
      <c r="K337">
        <v>799497065</v>
      </c>
      <c r="L337">
        <v>-15268454</v>
      </c>
      <c r="M337">
        <v>-1412666377</v>
      </c>
      <c r="N337">
        <v>-2902021642</v>
      </c>
      <c r="O337">
        <v>-720656441</v>
      </c>
      <c r="P337">
        <v>116</v>
      </c>
      <c r="Q337" t="s">
        <v>720</v>
      </c>
    </row>
    <row r="338" spans="1:17" x14ac:dyDescent="0.3">
      <c r="A338" t="s">
        <v>17</v>
      </c>
      <c r="B338" t="str">
        <f>"600388"</f>
        <v>600388</v>
      </c>
      <c r="C338" t="s">
        <v>721</v>
      </c>
      <c r="D338" t="s">
        <v>33</v>
      </c>
      <c r="F338">
        <v>-562901381</v>
      </c>
      <c r="G338">
        <v>1414191092</v>
      </c>
      <c r="H338">
        <v>-313007155</v>
      </c>
      <c r="I338">
        <v>292069270</v>
      </c>
      <c r="J338">
        <v>246985214</v>
      </c>
      <c r="K338">
        <v>758518311</v>
      </c>
      <c r="L338">
        <v>880882209</v>
      </c>
      <c r="M338">
        <v>267820719</v>
      </c>
      <c r="N338">
        <v>-40010998</v>
      </c>
      <c r="O338">
        <v>135816847</v>
      </c>
      <c r="P338">
        <v>815</v>
      </c>
      <c r="Q338" t="s">
        <v>722</v>
      </c>
    </row>
    <row r="339" spans="1:17" x14ac:dyDescent="0.3">
      <c r="A339" t="s">
        <v>17</v>
      </c>
      <c r="B339" t="str">
        <f>"600389"</f>
        <v>600389</v>
      </c>
      <c r="C339" t="s">
        <v>723</v>
      </c>
      <c r="D339" t="s">
        <v>133</v>
      </c>
      <c r="F339">
        <v>822810898</v>
      </c>
      <c r="G339">
        <v>509330488</v>
      </c>
      <c r="H339">
        <v>238582781</v>
      </c>
      <c r="I339">
        <v>245541373</v>
      </c>
      <c r="J339">
        <v>467687532</v>
      </c>
      <c r="K339">
        <v>310478167</v>
      </c>
      <c r="L339">
        <v>135057624</v>
      </c>
      <c r="M339">
        <v>341009864</v>
      </c>
      <c r="N339">
        <v>545146543</v>
      </c>
      <c r="O339">
        <v>336584608</v>
      </c>
      <c r="P339">
        <v>428</v>
      </c>
      <c r="Q339" t="s">
        <v>724</v>
      </c>
    </row>
    <row r="340" spans="1:17" x14ac:dyDescent="0.3">
      <c r="A340" t="s">
        <v>17</v>
      </c>
      <c r="B340" t="str">
        <f>"600390"</f>
        <v>600390</v>
      </c>
      <c r="C340" t="s">
        <v>725</v>
      </c>
      <c r="D340" t="s">
        <v>75</v>
      </c>
      <c r="F340">
        <v>8485820171</v>
      </c>
      <c r="G340">
        <v>-9854026356</v>
      </c>
      <c r="H340">
        <v>1493936109</v>
      </c>
      <c r="I340">
        <v>816368510</v>
      </c>
      <c r="J340">
        <v>-3796374665</v>
      </c>
      <c r="K340">
        <v>39319008</v>
      </c>
      <c r="L340">
        <v>-287871635</v>
      </c>
      <c r="M340">
        <v>-283399683</v>
      </c>
      <c r="N340">
        <v>-123912256</v>
      </c>
      <c r="O340">
        <v>-80174079</v>
      </c>
      <c r="P340">
        <v>300</v>
      </c>
      <c r="Q340" t="s">
        <v>726</v>
      </c>
    </row>
    <row r="341" spans="1:17" x14ac:dyDescent="0.3">
      <c r="A341" t="s">
        <v>17</v>
      </c>
      <c r="B341" t="str">
        <f>"600391"</f>
        <v>600391</v>
      </c>
      <c r="C341" t="s">
        <v>727</v>
      </c>
      <c r="D341" t="s">
        <v>92</v>
      </c>
      <c r="F341">
        <v>-806099604</v>
      </c>
      <c r="G341">
        <v>640438038</v>
      </c>
      <c r="H341">
        <v>648028806</v>
      </c>
      <c r="I341">
        <v>-21621208</v>
      </c>
      <c r="J341">
        <v>-4101647</v>
      </c>
      <c r="K341">
        <v>-382925532</v>
      </c>
      <c r="L341">
        <v>-204520517</v>
      </c>
      <c r="M341">
        <v>-127487182</v>
      </c>
      <c r="N341">
        <v>-336458878</v>
      </c>
      <c r="O341">
        <v>-406962468</v>
      </c>
      <c r="P341">
        <v>233</v>
      </c>
      <c r="Q341" t="s">
        <v>728</v>
      </c>
    </row>
    <row r="342" spans="1:17" x14ac:dyDescent="0.3">
      <c r="A342" t="s">
        <v>17</v>
      </c>
      <c r="B342" t="str">
        <f>"600392"</f>
        <v>600392</v>
      </c>
      <c r="C342" t="s">
        <v>729</v>
      </c>
      <c r="D342" t="s">
        <v>234</v>
      </c>
      <c r="F342">
        <v>730662285</v>
      </c>
      <c r="G342">
        <v>182136256</v>
      </c>
      <c r="H342">
        <v>604716544</v>
      </c>
      <c r="I342">
        <v>190045615</v>
      </c>
      <c r="J342">
        <v>-331223650</v>
      </c>
      <c r="K342">
        <v>-115308365</v>
      </c>
      <c r="L342">
        <v>-309114107</v>
      </c>
      <c r="M342">
        <v>-166042435</v>
      </c>
      <c r="N342">
        <v>-284308351</v>
      </c>
      <c r="O342">
        <v>134914851</v>
      </c>
      <c r="P342">
        <v>439</v>
      </c>
      <c r="Q342" t="s">
        <v>730</v>
      </c>
    </row>
    <row r="343" spans="1:17" x14ac:dyDescent="0.3">
      <c r="A343" t="s">
        <v>17</v>
      </c>
      <c r="B343" t="str">
        <f>"600393"</f>
        <v>600393</v>
      </c>
      <c r="C343" t="s">
        <v>731</v>
      </c>
      <c r="D343" t="s">
        <v>30</v>
      </c>
      <c r="F343">
        <v>157330433</v>
      </c>
      <c r="G343">
        <v>377425134</v>
      </c>
      <c r="H343">
        <v>159378352</v>
      </c>
      <c r="I343">
        <v>839322007</v>
      </c>
      <c r="J343">
        <v>-996766903</v>
      </c>
      <c r="K343">
        <v>-3224900077</v>
      </c>
      <c r="L343">
        <v>-1169565226</v>
      </c>
      <c r="M343">
        <v>-12488099</v>
      </c>
      <c r="N343">
        <v>-54411235</v>
      </c>
      <c r="O343">
        <v>-131645767</v>
      </c>
      <c r="P343">
        <v>131</v>
      </c>
      <c r="Q343" t="s">
        <v>732</v>
      </c>
    </row>
    <row r="344" spans="1:17" x14ac:dyDescent="0.3">
      <c r="A344" t="s">
        <v>17</v>
      </c>
      <c r="B344" t="str">
        <f>"600395"</f>
        <v>600395</v>
      </c>
      <c r="C344" t="s">
        <v>733</v>
      </c>
      <c r="D344" t="s">
        <v>257</v>
      </c>
      <c r="F344">
        <v>156478305</v>
      </c>
      <c r="G344">
        <v>-444807605</v>
      </c>
      <c r="H344">
        <v>1027711861</v>
      </c>
      <c r="I344">
        <v>384638035</v>
      </c>
      <c r="J344">
        <v>597515100</v>
      </c>
      <c r="K344">
        <v>-308872500</v>
      </c>
      <c r="L344">
        <v>243400900</v>
      </c>
      <c r="M344">
        <v>480910238</v>
      </c>
      <c r="N344">
        <v>141336285</v>
      </c>
      <c r="O344">
        <v>419879043</v>
      </c>
      <c r="P344">
        <v>517</v>
      </c>
      <c r="Q344" t="s">
        <v>734</v>
      </c>
    </row>
    <row r="345" spans="1:17" x14ac:dyDescent="0.3">
      <c r="A345" t="s">
        <v>17</v>
      </c>
      <c r="B345" t="str">
        <f>"600396"</f>
        <v>600396</v>
      </c>
      <c r="C345" t="s">
        <v>735</v>
      </c>
      <c r="D345" t="s">
        <v>41</v>
      </c>
      <c r="F345">
        <v>-430512683</v>
      </c>
      <c r="G345">
        <v>-272067945</v>
      </c>
      <c r="H345">
        <v>581100114</v>
      </c>
      <c r="I345">
        <v>243023012</v>
      </c>
      <c r="J345">
        <v>36661321</v>
      </c>
      <c r="K345">
        <v>753563160</v>
      </c>
      <c r="L345">
        <v>1659443179</v>
      </c>
      <c r="M345">
        <v>851216750</v>
      </c>
      <c r="N345">
        <v>952750309</v>
      </c>
      <c r="O345">
        <v>56256292</v>
      </c>
      <c r="P345">
        <v>107</v>
      </c>
      <c r="Q345" t="s">
        <v>736</v>
      </c>
    </row>
    <row r="346" spans="1:17" x14ac:dyDescent="0.3">
      <c r="A346" t="s">
        <v>17</v>
      </c>
      <c r="B346" t="str">
        <f>"600397"</f>
        <v>600397</v>
      </c>
      <c r="C346" t="s">
        <v>737</v>
      </c>
      <c r="D346" t="s">
        <v>257</v>
      </c>
      <c r="F346">
        <v>-65066590</v>
      </c>
      <c r="G346">
        <v>-107417133</v>
      </c>
      <c r="H346">
        <v>37898135</v>
      </c>
      <c r="I346">
        <v>-65760538</v>
      </c>
      <c r="J346">
        <v>13136318</v>
      </c>
      <c r="K346">
        <v>9340011</v>
      </c>
      <c r="L346">
        <v>-154869051</v>
      </c>
      <c r="M346">
        <v>200167681</v>
      </c>
      <c r="N346">
        <v>-386019318</v>
      </c>
      <c r="O346">
        <v>171299081</v>
      </c>
      <c r="P346">
        <v>91</v>
      </c>
      <c r="Q346" t="s">
        <v>738</v>
      </c>
    </row>
    <row r="347" spans="1:17" x14ac:dyDescent="0.3">
      <c r="A347" t="s">
        <v>17</v>
      </c>
      <c r="B347" t="str">
        <f>"600398"</f>
        <v>600398</v>
      </c>
      <c r="C347" t="s">
        <v>739</v>
      </c>
      <c r="D347" t="s">
        <v>227</v>
      </c>
      <c r="F347">
        <v>3852736025</v>
      </c>
      <c r="G347">
        <v>2613994453</v>
      </c>
      <c r="H347">
        <v>2842017634</v>
      </c>
      <c r="I347">
        <v>1525353650</v>
      </c>
      <c r="J347">
        <v>2341471962</v>
      </c>
      <c r="K347">
        <v>2261578580</v>
      </c>
      <c r="L347">
        <v>2282691040</v>
      </c>
      <c r="M347">
        <v>1090130654</v>
      </c>
      <c r="N347">
        <v>392984506</v>
      </c>
      <c r="O347">
        <v>331746717</v>
      </c>
      <c r="P347">
        <v>2673</v>
      </c>
      <c r="Q347" t="s">
        <v>740</v>
      </c>
    </row>
    <row r="348" spans="1:17" x14ac:dyDescent="0.3">
      <c r="A348" t="s">
        <v>17</v>
      </c>
      <c r="B348" t="str">
        <f>"600399"</f>
        <v>600399</v>
      </c>
      <c r="C348" t="s">
        <v>741</v>
      </c>
      <c r="D348" t="s">
        <v>38</v>
      </c>
      <c r="F348">
        <v>86623649</v>
      </c>
      <c r="G348">
        <v>534310852</v>
      </c>
      <c r="H348">
        <v>999072306</v>
      </c>
      <c r="I348">
        <v>-182112518</v>
      </c>
      <c r="J348">
        <v>456960667</v>
      </c>
      <c r="K348">
        <v>-321916861</v>
      </c>
      <c r="L348">
        <v>-156851582</v>
      </c>
      <c r="M348">
        <v>365814847</v>
      </c>
      <c r="N348">
        <v>-634947767</v>
      </c>
      <c r="O348">
        <v>-798248136</v>
      </c>
      <c r="P348">
        <v>255</v>
      </c>
      <c r="Q348" t="s">
        <v>742</v>
      </c>
    </row>
    <row r="349" spans="1:17" x14ac:dyDescent="0.3">
      <c r="A349" t="s">
        <v>17</v>
      </c>
      <c r="B349" t="str">
        <f>"600400"</f>
        <v>600400</v>
      </c>
      <c r="C349" t="s">
        <v>743</v>
      </c>
      <c r="D349" t="s">
        <v>227</v>
      </c>
      <c r="F349">
        <v>-32372535</v>
      </c>
      <c r="G349">
        <v>169839674</v>
      </c>
      <c r="H349">
        <v>-64784060</v>
      </c>
      <c r="I349">
        <v>-163204766</v>
      </c>
      <c r="J349">
        <v>-1519727821</v>
      </c>
      <c r="K349">
        <v>-1228717859</v>
      </c>
      <c r="L349">
        <v>734455436</v>
      </c>
      <c r="M349">
        <v>656287378</v>
      </c>
      <c r="N349">
        <v>761558960</v>
      </c>
      <c r="O349">
        <v>140963433</v>
      </c>
      <c r="P349">
        <v>165</v>
      </c>
      <c r="Q349" t="s">
        <v>744</v>
      </c>
    </row>
    <row r="350" spans="1:17" x14ac:dyDescent="0.3">
      <c r="A350" t="s">
        <v>17</v>
      </c>
      <c r="B350" t="str">
        <f>"600401"</f>
        <v>600401</v>
      </c>
      <c r="C350" t="s">
        <v>745</v>
      </c>
      <c r="I350">
        <v>180910005</v>
      </c>
      <c r="J350">
        <v>-84395987</v>
      </c>
      <c r="K350">
        <v>-1420544048</v>
      </c>
      <c r="L350">
        <v>-560193994.64999998</v>
      </c>
      <c r="M350">
        <v>-1738084374.48</v>
      </c>
      <c r="N350">
        <v>-210867433.53</v>
      </c>
      <c r="O350">
        <v>-2343119842.77</v>
      </c>
      <c r="P350">
        <v>22</v>
      </c>
      <c r="Q350" t="s">
        <v>746</v>
      </c>
    </row>
    <row r="351" spans="1:17" x14ac:dyDescent="0.3">
      <c r="A351" t="s">
        <v>17</v>
      </c>
      <c r="B351" t="str">
        <f>"600403"</f>
        <v>600403</v>
      </c>
      <c r="C351" t="s">
        <v>747</v>
      </c>
      <c r="D351" t="s">
        <v>257</v>
      </c>
      <c r="F351">
        <v>4958165623</v>
      </c>
      <c r="G351">
        <v>-720707078</v>
      </c>
      <c r="H351">
        <v>1188691673</v>
      </c>
      <c r="I351">
        <v>1844081763</v>
      </c>
      <c r="J351">
        <v>1144707651</v>
      </c>
      <c r="K351">
        <v>197864669</v>
      </c>
      <c r="L351">
        <v>-1262616078</v>
      </c>
      <c r="M351">
        <v>-1181729899</v>
      </c>
      <c r="N351">
        <v>-711652472</v>
      </c>
      <c r="O351">
        <v>2740471132</v>
      </c>
      <c r="P351">
        <v>221</v>
      </c>
      <c r="Q351" t="s">
        <v>748</v>
      </c>
    </row>
    <row r="352" spans="1:17" x14ac:dyDescent="0.3">
      <c r="A352" t="s">
        <v>17</v>
      </c>
      <c r="B352" t="str">
        <f>"600405"</f>
        <v>600405</v>
      </c>
      <c r="C352" t="s">
        <v>749</v>
      </c>
      <c r="D352" t="s">
        <v>188</v>
      </c>
      <c r="F352">
        <v>-64780707</v>
      </c>
      <c r="G352">
        <v>86120662</v>
      </c>
      <c r="H352">
        <v>59688569</v>
      </c>
      <c r="I352">
        <v>-209330018</v>
      </c>
      <c r="J352">
        <v>-210585874</v>
      </c>
      <c r="K352">
        <v>144515696</v>
      </c>
      <c r="L352">
        <v>-120230658</v>
      </c>
      <c r="M352">
        <v>-71907859</v>
      </c>
      <c r="N352">
        <v>-123304421</v>
      </c>
      <c r="O352">
        <v>-21480975</v>
      </c>
      <c r="P352">
        <v>255</v>
      </c>
      <c r="Q352" t="s">
        <v>750</v>
      </c>
    </row>
    <row r="353" spans="1:17" x14ac:dyDescent="0.3">
      <c r="A353" t="s">
        <v>17</v>
      </c>
      <c r="B353" t="str">
        <f>"600406"</f>
        <v>600406</v>
      </c>
      <c r="C353" t="s">
        <v>751</v>
      </c>
      <c r="D353" t="s">
        <v>188</v>
      </c>
      <c r="F353">
        <v>2661580661</v>
      </c>
      <c r="G353">
        <v>2172782769</v>
      </c>
      <c r="H353">
        <v>1759583013</v>
      </c>
      <c r="I353">
        <v>1495348185</v>
      </c>
      <c r="J353">
        <v>2113103018</v>
      </c>
      <c r="K353">
        <v>1731557157</v>
      </c>
      <c r="L353">
        <v>1030212174</v>
      </c>
      <c r="M353">
        <v>1545095394</v>
      </c>
      <c r="N353">
        <v>573934743</v>
      </c>
      <c r="O353">
        <v>444656842</v>
      </c>
      <c r="P353">
        <v>2125</v>
      </c>
      <c r="Q353" t="s">
        <v>752</v>
      </c>
    </row>
    <row r="354" spans="1:17" x14ac:dyDescent="0.3">
      <c r="A354" t="s">
        <v>17</v>
      </c>
      <c r="B354" t="str">
        <f>"600408"</f>
        <v>600408</v>
      </c>
      <c r="C354" t="s">
        <v>753</v>
      </c>
      <c r="D354" t="s">
        <v>257</v>
      </c>
      <c r="F354">
        <v>304426366</v>
      </c>
      <c r="G354">
        <v>681523811</v>
      </c>
      <c r="H354">
        <v>98505250</v>
      </c>
      <c r="I354">
        <v>529822913</v>
      </c>
      <c r="J354">
        <v>1156069671</v>
      </c>
      <c r="K354">
        <v>-134630535</v>
      </c>
      <c r="L354">
        <v>-339379695</v>
      </c>
      <c r="M354">
        <v>-756408706</v>
      </c>
      <c r="N354">
        <v>343960199</v>
      </c>
      <c r="O354">
        <v>-337098312</v>
      </c>
      <c r="P354">
        <v>93</v>
      </c>
      <c r="Q354" t="s">
        <v>754</v>
      </c>
    </row>
    <row r="355" spans="1:17" x14ac:dyDescent="0.3">
      <c r="A355" t="s">
        <v>17</v>
      </c>
      <c r="B355" t="str">
        <f>"600409"</f>
        <v>600409</v>
      </c>
      <c r="C355" t="s">
        <v>755</v>
      </c>
      <c r="D355" t="s">
        <v>133</v>
      </c>
      <c r="F355">
        <v>1518339349</v>
      </c>
      <c r="G355">
        <v>1962392408</v>
      </c>
      <c r="H355">
        <v>731428025</v>
      </c>
      <c r="I355">
        <v>1429197147</v>
      </c>
      <c r="J355">
        <v>758800356</v>
      </c>
      <c r="K355">
        <v>1183713124</v>
      </c>
      <c r="L355">
        <v>829149421</v>
      </c>
      <c r="M355">
        <v>486292068</v>
      </c>
      <c r="N355">
        <v>-1236920450</v>
      </c>
      <c r="O355">
        <v>-2938967766</v>
      </c>
      <c r="P355">
        <v>734</v>
      </c>
      <c r="Q355" t="s">
        <v>756</v>
      </c>
    </row>
    <row r="356" spans="1:17" x14ac:dyDescent="0.3">
      <c r="A356" t="s">
        <v>17</v>
      </c>
      <c r="B356" t="str">
        <f>"600410"</f>
        <v>600410</v>
      </c>
      <c r="C356" t="s">
        <v>757</v>
      </c>
      <c r="D356" t="s">
        <v>212</v>
      </c>
      <c r="F356">
        <v>-85650081</v>
      </c>
      <c r="G356">
        <v>279835571</v>
      </c>
      <c r="H356">
        <v>35736532</v>
      </c>
      <c r="I356">
        <v>664418148</v>
      </c>
      <c r="J356">
        <v>-1082958633</v>
      </c>
      <c r="K356">
        <v>-240049053</v>
      </c>
      <c r="L356">
        <v>131303180</v>
      </c>
      <c r="M356">
        <v>-149656946</v>
      </c>
      <c r="N356">
        <v>-382707092</v>
      </c>
      <c r="O356">
        <v>37533654</v>
      </c>
      <c r="P356">
        <v>514</v>
      </c>
      <c r="Q356" t="s">
        <v>758</v>
      </c>
    </row>
    <row r="357" spans="1:17" x14ac:dyDescent="0.3">
      <c r="A357" t="s">
        <v>17</v>
      </c>
      <c r="B357" t="str">
        <f>"600415"</f>
        <v>600415</v>
      </c>
      <c r="C357" t="s">
        <v>759</v>
      </c>
      <c r="D357" t="s">
        <v>120</v>
      </c>
      <c r="F357">
        <v>34902548</v>
      </c>
      <c r="G357">
        <v>-373052652</v>
      </c>
      <c r="H357">
        <v>-2489924965</v>
      </c>
      <c r="I357">
        <v>868274120</v>
      </c>
      <c r="J357">
        <v>-254566668</v>
      </c>
      <c r="K357">
        <v>316608665</v>
      </c>
      <c r="L357">
        <v>5234629823</v>
      </c>
      <c r="M357">
        <v>-368055075</v>
      </c>
      <c r="N357">
        <v>-1910172888</v>
      </c>
      <c r="O357">
        <v>610646132</v>
      </c>
      <c r="P357">
        <v>327</v>
      </c>
      <c r="Q357" t="s">
        <v>760</v>
      </c>
    </row>
    <row r="358" spans="1:17" x14ac:dyDescent="0.3">
      <c r="A358" t="s">
        <v>17</v>
      </c>
      <c r="B358" t="str">
        <f>"600416"</f>
        <v>600416</v>
      </c>
      <c r="C358" t="s">
        <v>761</v>
      </c>
      <c r="D358" t="s">
        <v>188</v>
      </c>
      <c r="F358">
        <v>-167606475</v>
      </c>
      <c r="G358">
        <v>16967598</v>
      </c>
      <c r="H358">
        <v>134512066</v>
      </c>
      <c r="I358">
        <v>-669361077</v>
      </c>
      <c r="J358">
        <v>-603735678</v>
      </c>
      <c r="K358">
        <v>-933521082</v>
      </c>
      <c r="L358">
        <v>268440378</v>
      </c>
      <c r="M358">
        <v>116507026</v>
      </c>
      <c r="N358">
        <v>-352405945</v>
      </c>
      <c r="O358">
        <v>-1714465767</v>
      </c>
      <c r="P358">
        <v>149</v>
      </c>
      <c r="Q358" t="s">
        <v>762</v>
      </c>
    </row>
    <row r="359" spans="1:17" x14ac:dyDescent="0.3">
      <c r="A359" t="s">
        <v>17</v>
      </c>
      <c r="B359" t="str">
        <f>"600418"</f>
        <v>600418</v>
      </c>
      <c r="C359" t="s">
        <v>763</v>
      </c>
      <c r="D359" t="s">
        <v>27</v>
      </c>
      <c r="F359">
        <v>2424615948</v>
      </c>
      <c r="G359">
        <v>-659944489</v>
      </c>
      <c r="H359">
        <v>187177730</v>
      </c>
      <c r="I359">
        <v>-4262196212</v>
      </c>
      <c r="J359">
        <v>-8195265486</v>
      </c>
      <c r="K359">
        <v>-1139268603</v>
      </c>
      <c r="L359">
        <v>3003585310</v>
      </c>
      <c r="M359">
        <v>1112931330</v>
      </c>
      <c r="N359">
        <v>2052435233</v>
      </c>
      <c r="O359">
        <v>2375677428</v>
      </c>
      <c r="P359">
        <v>429</v>
      </c>
      <c r="Q359" t="s">
        <v>764</v>
      </c>
    </row>
    <row r="360" spans="1:17" x14ac:dyDescent="0.3">
      <c r="A360" t="s">
        <v>17</v>
      </c>
      <c r="B360" t="str">
        <f>"600419"</f>
        <v>600419</v>
      </c>
      <c r="C360" t="s">
        <v>765</v>
      </c>
      <c r="D360" t="s">
        <v>123</v>
      </c>
      <c r="F360">
        <v>-28194780</v>
      </c>
      <c r="G360">
        <v>-147249298</v>
      </c>
      <c r="H360">
        <v>-75043376</v>
      </c>
      <c r="I360">
        <v>-119363561</v>
      </c>
      <c r="J360">
        <v>60933737</v>
      </c>
      <c r="K360">
        <v>-41210709</v>
      </c>
      <c r="L360">
        <v>12638550</v>
      </c>
      <c r="M360">
        <v>2129241</v>
      </c>
      <c r="N360">
        <v>-19973010</v>
      </c>
      <c r="O360">
        <v>-241591</v>
      </c>
      <c r="P360">
        <v>626</v>
      </c>
      <c r="Q360" t="s">
        <v>766</v>
      </c>
    </row>
    <row r="361" spans="1:17" x14ac:dyDescent="0.3">
      <c r="A361" t="s">
        <v>17</v>
      </c>
      <c r="B361" t="str">
        <f>"600420"</f>
        <v>600420</v>
      </c>
      <c r="C361" t="s">
        <v>767</v>
      </c>
      <c r="D361" t="s">
        <v>113</v>
      </c>
      <c r="F361">
        <v>1161939434</v>
      </c>
      <c r="G361">
        <v>1208223757</v>
      </c>
      <c r="H361">
        <v>868349932</v>
      </c>
      <c r="I361">
        <v>1271990466</v>
      </c>
      <c r="J361">
        <v>2165487804</v>
      </c>
      <c r="K361">
        <v>603752948</v>
      </c>
      <c r="L361">
        <v>-3655368</v>
      </c>
      <c r="M361">
        <v>-163293175</v>
      </c>
      <c r="N361">
        <v>-303844645</v>
      </c>
      <c r="O361">
        <v>-206197858</v>
      </c>
      <c r="P361">
        <v>381</v>
      </c>
      <c r="Q361" t="s">
        <v>768</v>
      </c>
    </row>
    <row r="362" spans="1:17" x14ac:dyDescent="0.3">
      <c r="A362" t="s">
        <v>17</v>
      </c>
      <c r="B362" t="str">
        <f>"600421"</f>
        <v>600421</v>
      </c>
      <c r="C362" t="s">
        <v>769</v>
      </c>
      <c r="D362" t="s">
        <v>78</v>
      </c>
      <c r="F362">
        <v>-10185731</v>
      </c>
      <c r="G362">
        <v>-33998164</v>
      </c>
      <c r="H362">
        <v>8168145</v>
      </c>
      <c r="I362">
        <v>-71828</v>
      </c>
      <c r="J362">
        <v>-1061503</v>
      </c>
      <c r="K362">
        <v>8579685</v>
      </c>
      <c r="L362">
        <v>-4791718</v>
      </c>
      <c r="M362">
        <v>1099347</v>
      </c>
      <c r="N362">
        <v>-1391151</v>
      </c>
      <c r="O362">
        <v>190291248</v>
      </c>
      <c r="P362">
        <v>44</v>
      </c>
      <c r="Q362" t="s">
        <v>770</v>
      </c>
    </row>
    <row r="363" spans="1:17" x14ac:dyDescent="0.3">
      <c r="A363" t="s">
        <v>17</v>
      </c>
      <c r="B363" t="str">
        <f>"600422"</f>
        <v>600422</v>
      </c>
      <c r="C363" t="s">
        <v>771</v>
      </c>
      <c r="D363" t="s">
        <v>113</v>
      </c>
      <c r="F363">
        <v>25440691</v>
      </c>
      <c r="G363">
        <v>363353002</v>
      </c>
      <c r="H363">
        <v>83388461</v>
      </c>
      <c r="I363">
        <v>135124242</v>
      </c>
      <c r="J363">
        <v>-25666756</v>
      </c>
      <c r="K363">
        <v>147925633</v>
      </c>
      <c r="L363">
        <v>270411474</v>
      </c>
      <c r="M363">
        <v>156166342</v>
      </c>
      <c r="N363">
        <v>29523201</v>
      </c>
      <c r="O363">
        <v>90624983</v>
      </c>
      <c r="P363">
        <v>452</v>
      </c>
      <c r="Q363" t="s">
        <v>772</v>
      </c>
    </row>
    <row r="364" spans="1:17" x14ac:dyDescent="0.3">
      <c r="A364" t="s">
        <v>17</v>
      </c>
      <c r="B364" t="str">
        <f>"600423"</f>
        <v>600423</v>
      </c>
      <c r="C364" t="s">
        <v>773</v>
      </c>
      <c r="D364" t="s">
        <v>133</v>
      </c>
      <c r="F364">
        <v>10055501</v>
      </c>
      <c r="G364">
        <v>-130410263</v>
      </c>
      <c r="H364">
        <v>58252185</v>
      </c>
      <c r="I364">
        <v>24160336</v>
      </c>
      <c r="J364">
        <v>304581924</v>
      </c>
      <c r="K364">
        <v>7591581</v>
      </c>
      <c r="L364">
        <v>-122497393</v>
      </c>
      <c r="M364">
        <v>346817586</v>
      </c>
      <c r="N364">
        <v>353291394</v>
      </c>
      <c r="O364">
        <v>154318729</v>
      </c>
      <c r="P364">
        <v>74</v>
      </c>
      <c r="Q364" t="s">
        <v>774</v>
      </c>
    </row>
    <row r="365" spans="1:17" x14ac:dyDescent="0.3">
      <c r="A365" t="s">
        <v>17</v>
      </c>
      <c r="B365" t="str">
        <f>"600425"</f>
        <v>600425</v>
      </c>
      <c r="C365" t="s">
        <v>775</v>
      </c>
      <c r="D365" t="s">
        <v>350</v>
      </c>
      <c r="F365">
        <v>533100306</v>
      </c>
      <c r="G365">
        <v>399802180</v>
      </c>
      <c r="H365">
        <v>972053294</v>
      </c>
      <c r="I365">
        <v>1160179391</v>
      </c>
      <c r="J365">
        <v>975236066</v>
      </c>
      <c r="K365">
        <v>599744639</v>
      </c>
      <c r="L365">
        <v>145998631</v>
      </c>
      <c r="M365">
        <v>-235393167</v>
      </c>
      <c r="N365">
        <v>-851993767</v>
      </c>
      <c r="O365">
        <v>-1655943174</v>
      </c>
      <c r="P365">
        <v>167</v>
      </c>
      <c r="Q365" t="s">
        <v>776</v>
      </c>
    </row>
    <row r="366" spans="1:17" x14ac:dyDescent="0.3">
      <c r="A366" t="s">
        <v>17</v>
      </c>
      <c r="B366" t="str">
        <f>"600426"</f>
        <v>600426</v>
      </c>
      <c r="C366" t="s">
        <v>777</v>
      </c>
      <c r="D366" t="s">
        <v>133</v>
      </c>
      <c r="F366">
        <v>1246214205</v>
      </c>
      <c r="G366">
        <v>399426292</v>
      </c>
      <c r="H366">
        <v>1880476025</v>
      </c>
      <c r="I366">
        <v>2653373390</v>
      </c>
      <c r="J366">
        <v>-438527796</v>
      </c>
      <c r="K366">
        <v>-266045722</v>
      </c>
      <c r="L366">
        <v>1795905298</v>
      </c>
      <c r="M366">
        <v>743748262</v>
      </c>
      <c r="N366">
        <v>133787054</v>
      </c>
      <c r="O366">
        <v>-625467938</v>
      </c>
      <c r="P366">
        <v>1014</v>
      </c>
      <c r="Q366" t="s">
        <v>778</v>
      </c>
    </row>
    <row r="367" spans="1:17" x14ac:dyDescent="0.3">
      <c r="A367" t="s">
        <v>17</v>
      </c>
      <c r="B367" t="str">
        <f>"600428"</f>
        <v>600428</v>
      </c>
      <c r="C367" t="s">
        <v>779</v>
      </c>
      <c r="D367" t="s">
        <v>22</v>
      </c>
      <c r="F367">
        <v>982244709</v>
      </c>
      <c r="G367">
        <v>1166008395</v>
      </c>
      <c r="H367">
        <v>158141607</v>
      </c>
      <c r="I367">
        <v>-141910405</v>
      </c>
      <c r="J367">
        <v>-24059683</v>
      </c>
      <c r="K367">
        <v>-2287721016</v>
      </c>
      <c r="L367">
        <v>-84144087</v>
      </c>
      <c r="M367">
        <v>435983127</v>
      </c>
      <c r="N367">
        <v>-1044541660</v>
      </c>
      <c r="O367">
        <v>-790720536</v>
      </c>
      <c r="P367">
        <v>199</v>
      </c>
      <c r="Q367" t="s">
        <v>780</v>
      </c>
    </row>
    <row r="368" spans="1:17" x14ac:dyDescent="0.3">
      <c r="A368" t="s">
        <v>17</v>
      </c>
      <c r="B368" t="str">
        <f>"600429"</f>
        <v>600429</v>
      </c>
      <c r="C368" t="s">
        <v>781</v>
      </c>
      <c r="D368" t="s">
        <v>123</v>
      </c>
      <c r="F368">
        <v>216463485</v>
      </c>
      <c r="G368">
        <v>458926046</v>
      </c>
      <c r="H368">
        <v>156852822</v>
      </c>
      <c r="I368">
        <v>681938330</v>
      </c>
      <c r="J368">
        <v>-228722291</v>
      </c>
      <c r="K368">
        <v>-52053393</v>
      </c>
      <c r="L368">
        <v>323216871</v>
      </c>
      <c r="M368">
        <v>-325848907</v>
      </c>
      <c r="N368">
        <v>-182361928</v>
      </c>
      <c r="O368">
        <v>10270212</v>
      </c>
      <c r="P368">
        <v>494</v>
      </c>
      <c r="Q368" t="s">
        <v>782</v>
      </c>
    </row>
    <row r="369" spans="1:17" x14ac:dyDescent="0.3">
      <c r="A369" t="s">
        <v>17</v>
      </c>
      <c r="B369" t="str">
        <f>"600432"</f>
        <v>600432</v>
      </c>
      <c r="C369" t="s">
        <v>783</v>
      </c>
      <c r="J369">
        <v>-121591066</v>
      </c>
      <c r="K369">
        <v>-75851920</v>
      </c>
      <c r="L369">
        <v>312677953.80000001</v>
      </c>
      <c r="M369">
        <v>-1498984453.5999999</v>
      </c>
      <c r="N369">
        <v>-1050587664.1</v>
      </c>
      <c r="O369">
        <v>-1935620737.72</v>
      </c>
      <c r="P369">
        <v>14</v>
      </c>
      <c r="Q369" t="s">
        <v>784</v>
      </c>
    </row>
    <row r="370" spans="1:17" x14ac:dyDescent="0.3">
      <c r="A370" t="s">
        <v>17</v>
      </c>
      <c r="B370" t="str">
        <f>"600433"</f>
        <v>600433</v>
      </c>
      <c r="C370" t="s">
        <v>785</v>
      </c>
      <c r="D370" t="s">
        <v>161</v>
      </c>
      <c r="F370">
        <v>1134577801</v>
      </c>
      <c r="G370">
        <v>299276720</v>
      </c>
      <c r="H370">
        <v>205154723</v>
      </c>
      <c r="I370">
        <v>142131409</v>
      </c>
      <c r="J370">
        <v>38134926</v>
      </c>
      <c r="K370">
        <v>-1090829</v>
      </c>
      <c r="L370">
        <v>-156978692</v>
      </c>
      <c r="M370">
        <v>-213113096</v>
      </c>
      <c r="N370">
        <v>-567878095</v>
      </c>
      <c r="O370">
        <v>-379855282</v>
      </c>
      <c r="P370">
        <v>105</v>
      </c>
      <c r="Q370" t="s">
        <v>786</v>
      </c>
    </row>
    <row r="371" spans="1:17" x14ac:dyDescent="0.3">
      <c r="A371" t="s">
        <v>17</v>
      </c>
      <c r="B371" t="str">
        <f>"600435"</f>
        <v>600435</v>
      </c>
      <c r="C371" t="s">
        <v>787</v>
      </c>
      <c r="D371" t="s">
        <v>92</v>
      </c>
      <c r="F371">
        <v>346715255</v>
      </c>
      <c r="G371">
        <v>278884042</v>
      </c>
      <c r="H371">
        <v>-164477344</v>
      </c>
      <c r="I371">
        <v>762817975</v>
      </c>
      <c r="J371">
        <v>-5031440</v>
      </c>
      <c r="K371">
        <v>-404275412</v>
      </c>
      <c r="L371">
        <v>160740769</v>
      </c>
      <c r="M371">
        <v>201177546</v>
      </c>
      <c r="N371">
        <v>175107601</v>
      </c>
      <c r="O371">
        <v>130818820</v>
      </c>
      <c r="P371">
        <v>232</v>
      </c>
      <c r="Q371" t="s">
        <v>788</v>
      </c>
    </row>
    <row r="372" spans="1:17" x14ac:dyDescent="0.3">
      <c r="A372" t="s">
        <v>17</v>
      </c>
      <c r="B372" t="str">
        <f>"600436"</f>
        <v>600436</v>
      </c>
      <c r="C372" t="s">
        <v>789</v>
      </c>
      <c r="D372" t="s">
        <v>113</v>
      </c>
      <c r="F372">
        <v>375412120</v>
      </c>
      <c r="G372">
        <v>1134255586</v>
      </c>
      <c r="H372">
        <v>-931632528</v>
      </c>
      <c r="I372">
        <v>667002592</v>
      </c>
      <c r="J372">
        <v>638923401</v>
      </c>
      <c r="K372">
        <v>303749575</v>
      </c>
      <c r="L372">
        <v>226647413</v>
      </c>
      <c r="M372">
        <v>238832473</v>
      </c>
      <c r="N372">
        <v>127945357</v>
      </c>
      <c r="O372">
        <v>7503330</v>
      </c>
      <c r="P372">
        <v>64367</v>
      </c>
      <c r="Q372" t="s">
        <v>790</v>
      </c>
    </row>
    <row r="373" spans="1:17" x14ac:dyDescent="0.3">
      <c r="A373" t="s">
        <v>17</v>
      </c>
      <c r="B373" t="str">
        <f>"600438"</f>
        <v>600438</v>
      </c>
      <c r="C373" t="s">
        <v>791</v>
      </c>
      <c r="D373" t="s">
        <v>188</v>
      </c>
      <c r="F373">
        <v>-6233183805</v>
      </c>
      <c r="G373">
        <v>-2328636034</v>
      </c>
      <c r="H373">
        <v>-1779212613</v>
      </c>
      <c r="I373">
        <v>-3995067581</v>
      </c>
      <c r="J373">
        <v>-1391218639</v>
      </c>
      <c r="K373">
        <v>-1076427580</v>
      </c>
      <c r="L373">
        <v>208198623</v>
      </c>
      <c r="M373">
        <v>120775562</v>
      </c>
      <c r="N373">
        <v>416724114</v>
      </c>
      <c r="O373">
        <v>-17543147</v>
      </c>
      <c r="P373">
        <v>2551</v>
      </c>
      <c r="Q373" t="s">
        <v>792</v>
      </c>
    </row>
    <row r="374" spans="1:17" x14ac:dyDescent="0.3">
      <c r="A374" t="s">
        <v>17</v>
      </c>
      <c r="B374" t="str">
        <f>"600439"</f>
        <v>600439</v>
      </c>
      <c r="C374" t="s">
        <v>793</v>
      </c>
      <c r="D374" t="s">
        <v>227</v>
      </c>
      <c r="F374">
        <v>199626117</v>
      </c>
      <c r="G374">
        <v>138300094</v>
      </c>
      <c r="H374">
        <v>104773963</v>
      </c>
      <c r="I374">
        <v>-127042362</v>
      </c>
      <c r="J374">
        <v>130857966</v>
      </c>
      <c r="K374">
        <v>457558501</v>
      </c>
      <c r="L374">
        <v>-8257189</v>
      </c>
      <c r="M374">
        <v>-87860451</v>
      </c>
      <c r="N374">
        <v>-33005855</v>
      </c>
      <c r="O374">
        <v>-180277686</v>
      </c>
      <c r="P374">
        <v>186</v>
      </c>
      <c r="Q374" t="s">
        <v>794</v>
      </c>
    </row>
    <row r="375" spans="1:17" x14ac:dyDescent="0.3">
      <c r="A375" t="s">
        <v>17</v>
      </c>
      <c r="B375" t="str">
        <f>"600444"</f>
        <v>600444</v>
      </c>
      <c r="C375" t="s">
        <v>795</v>
      </c>
      <c r="D375" t="s">
        <v>78</v>
      </c>
      <c r="F375">
        <v>-69410883</v>
      </c>
      <c r="G375">
        <v>316035075</v>
      </c>
      <c r="H375">
        <v>-29977325</v>
      </c>
      <c r="I375">
        <v>67038087</v>
      </c>
      <c r="J375">
        <v>322847777</v>
      </c>
      <c r="K375">
        <v>70988207</v>
      </c>
      <c r="L375">
        <v>72458100</v>
      </c>
      <c r="M375">
        <v>12768239</v>
      </c>
      <c r="N375">
        <v>-37349470</v>
      </c>
      <c r="O375">
        <v>-27176920</v>
      </c>
      <c r="P375">
        <v>69</v>
      </c>
      <c r="Q375" t="s">
        <v>796</v>
      </c>
    </row>
    <row r="376" spans="1:17" x14ac:dyDescent="0.3">
      <c r="A376" t="s">
        <v>17</v>
      </c>
      <c r="B376" t="str">
        <f>"600446"</f>
        <v>600446</v>
      </c>
      <c r="C376" t="s">
        <v>797</v>
      </c>
      <c r="D376" t="s">
        <v>212</v>
      </c>
      <c r="F376">
        <v>-197393147</v>
      </c>
      <c r="G376">
        <v>166976597</v>
      </c>
      <c r="H376">
        <v>-27212677</v>
      </c>
      <c r="I376">
        <v>202828123</v>
      </c>
      <c r="J376">
        <v>-28939818</v>
      </c>
      <c r="K376">
        <v>-63629142</v>
      </c>
      <c r="L376">
        <v>2518565</v>
      </c>
      <c r="M376">
        <v>36031998</v>
      </c>
      <c r="N376">
        <v>19954553</v>
      </c>
      <c r="O376">
        <v>21734762</v>
      </c>
      <c r="P376">
        <v>335</v>
      </c>
      <c r="Q376" t="s">
        <v>798</v>
      </c>
    </row>
    <row r="377" spans="1:17" x14ac:dyDescent="0.3">
      <c r="A377" t="s">
        <v>17</v>
      </c>
      <c r="B377" t="str">
        <f>"600448"</f>
        <v>600448</v>
      </c>
      <c r="C377" t="s">
        <v>799</v>
      </c>
      <c r="D377" t="s">
        <v>227</v>
      </c>
      <c r="F377">
        <v>-253273778</v>
      </c>
      <c r="G377">
        <v>-103942087</v>
      </c>
      <c r="H377">
        <v>-60713740</v>
      </c>
      <c r="I377">
        <v>-101378454</v>
      </c>
      <c r="J377">
        <v>5726003</v>
      </c>
      <c r="K377">
        <v>-33800570</v>
      </c>
      <c r="L377">
        <v>-145687006</v>
      </c>
      <c r="M377">
        <v>-241077474</v>
      </c>
      <c r="N377">
        <v>-11428135</v>
      </c>
      <c r="O377">
        <v>-16439313</v>
      </c>
      <c r="P377">
        <v>97</v>
      </c>
      <c r="Q377" t="s">
        <v>800</v>
      </c>
    </row>
    <row r="378" spans="1:17" x14ac:dyDescent="0.3">
      <c r="A378" t="s">
        <v>17</v>
      </c>
      <c r="B378" t="str">
        <f>"600449"</f>
        <v>600449</v>
      </c>
      <c r="C378" t="s">
        <v>801</v>
      </c>
      <c r="D378" t="s">
        <v>350</v>
      </c>
      <c r="F378">
        <v>1116711995</v>
      </c>
      <c r="G378">
        <v>878458466</v>
      </c>
      <c r="H378">
        <v>737076138</v>
      </c>
      <c r="I378">
        <v>468262453</v>
      </c>
      <c r="J378">
        <v>882619563</v>
      </c>
      <c r="K378">
        <v>554603028</v>
      </c>
      <c r="L378">
        <v>272349440</v>
      </c>
      <c r="M378">
        <v>425822916</v>
      </c>
      <c r="N378">
        <v>461396530</v>
      </c>
      <c r="O378">
        <v>-52288274</v>
      </c>
      <c r="P378">
        <v>558</v>
      </c>
      <c r="Q378" t="s">
        <v>802</v>
      </c>
    </row>
    <row r="379" spans="1:17" x14ac:dyDescent="0.3">
      <c r="A379" t="s">
        <v>17</v>
      </c>
      <c r="B379" t="str">
        <f>"600452"</f>
        <v>600452</v>
      </c>
      <c r="C379" t="s">
        <v>803</v>
      </c>
      <c r="D379" t="s">
        <v>41</v>
      </c>
      <c r="F379">
        <v>-348073407</v>
      </c>
      <c r="G379">
        <v>566513659</v>
      </c>
      <c r="H379">
        <v>-38383974</v>
      </c>
      <c r="I379">
        <v>-159603479</v>
      </c>
      <c r="J379">
        <v>-230345135</v>
      </c>
      <c r="K379">
        <v>-387649047</v>
      </c>
      <c r="L379">
        <v>62901388</v>
      </c>
      <c r="M379">
        <v>79356496</v>
      </c>
      <c r="N379">
        <v>21333307</v>
      </c>
      <c r="O379">
        <v>-67810333</v>
      </c>
      <c r="P379">
        <v>4518</v>
      </c>
      <c r="Q379" t="s">
        <v>804</v>
      </c>
    </row>
    <row r="380" spans="1:17" x14ac:dyDescent="0.3">
      <c r="A380" t="s">
        <v>17</v>
      </c>
      <c r="B380" t="str">
        <f>"600455"</f>
        <v>600455</v>
      </c>
      <c r="C380" t="s">
        <v>805</v>
      </c>
      <c r="D380" t="s">
        <v>212</v>
      </c>
      <c r="F380">
        <v>-101280340</v>
      </c>
      <c r="G380">
        <v>46895682</v>
      </c>
      <c r="H380">
        <v>97048965</v>
      </c>
      <c r="I380">
        <v>67755034</v>
      </c>
      <c r="J380">
        <v>40096154</v>
      </c>
      <c r="K380">
        <v>10585475</v>
      </c>
      <c r="L380">
        <v>28551214</v>
      </c>
      <c r="M380">
        <v>22315483</v>
      </c>
      <c r="N380">
        <v>-42321541</v>
      </c>
      <c r="O380">
        <v>33085051</v>
      </c>
      <c r="P380">
        <v>103</v>
      </c>
      <c r="Q380" t="s">
        <v>806</v>
      </c>
    </row>
    <row r="381" spans="1:17" x14ac:dyDescent="0.3">
      <c r="A381" t="s">
        <v>17</v>
      </c>
      <c r="B381" t="str">
        <f>"600456"</f>
        <v>600456</v>
      </c>
      <c r="C381" t="s">
        <v>807</v>
      </c>
      <c r="D381" t="s">
        <v>234</v>
      </c>
      <c r="F381">
        <v>-175528276</v>
      </c>
      <c r="G381">
        <v>270170123</v>
      </c>
      <c r="H381">
        <v>4365546</v>
      </c>
      <c r="I381">
        <v>319487889</v>
      </c>
      <c r="J381">
        <v>178960165</v>
      </c>
      <c r="K381">
        <v>-90056036</v>
      </c>
      <c r="L381">
        <v>19480384</v>
      </c>
      <c r="M381">
        <v>241028978</v>
      </c>
      <c r="N381">
        <v>-194994810</v>
      </c>
      <c r="O381">
        <v>-327779426</v>
      </c>
      <c r="P381">
        <v>331</v>
      </c>
      <c r="Q381" t="s">
        <v>808</v>
      </c>
    </row>
    <row r="382" spans="1:17" x14ac:dyDescent="0.3">
      <c r="A382" t="s">
        <v>17</v>
      </c>
      <c r="B382" t="str">
        <f>"600458"</f>
        <v>600458</v>
      </c>
      <c r="C382" t="s">
        <v>809</v>
      </c>
      <c r="D382" t="s">
        <v>188</v>
      </c>
      <c r="F382">
        <v>-63667454</v>
      </c>
      <c r="G382">
        <v>2057935358</v>
      </c>
      <c r="H382">
        <v>1061245877</v>
      </c>
      <c r="I382">
        <v>-242715811</v>
      </c>
      <c r="J382">
        <v>-935028633</v>
      </c>
      <c r="K382">
        <v>69996220</v>
      </c>
      <c r="L382">
        <v>-375948187</v>
      </c>
      <c r="M382">
        <v>-127853416</v>
      </c>
      <c r="N382">
        <v>-470419393</v>
      </c>
      <c r="O382">
        <v>39225939</v>
      </c>
      <c r="P382">
        <v>244</v>
      </c>
      <c r="Q382" t="s">
        <v>810</v>
      </c>
    </row>
    <row r="383" spans="1:17" x14ac:dyDescent="0.3">
      <c r="A383" t="s">
        <v>17</v>
      </c>
      <c r="B383" t="str">
        <f>"600459"</f>
        <v>600459</v>
      </c>
      <c r="C383" t="s">
        <v>811</v>
      </c>
      <c r="D383" t="s">
        <v>234</v>
      </c>
      <c r="F383">
        <v>-1036943944</v>
      </c>
      <c r="G383">
        <v>-163081564</v>
      </c>
      <c r="H383">
        <v>-880062734</v>
      </c>
      <c r="I383">
        <v>236219767</v>
      </c>
      <c r="J383">
        <v>-1006047707</v>
      </c>
      <c r="K383">
        <v>-57328346</v>
      </c>
      <c r="L383">
        <v>-403557374</v>
      </c>
      <c r="M383">
        <v>-109492481</v>
      </c>
      <c r="N383">
        <v>-180122349</v>
      </c>
      <c r="O383">
        <v>-57376202</v>
      </c>
      <c r="P383">
        <v>308</v>
      </c>
      <c r="Q383" t="s">
        <v>812</v>
      </c>
    </row>
    <row r="384" spans="1:17" x14ac:dyDescent="0.3">
      <c r="A384" t="s">
        <v>17</v>
      </c>
      <c r="B384" t="str">
        <f>"600460"</f>
        <v>600460</v>
      </c>
      <c r="C384" t="s">
        <v>813</v>
      </c>
      <c r="D384" t="s">
        <v>150</v>
      </c>
      <c r="F384">
        <v>19956617</v>
      </c>
      <c r="G384">
        <v>-483218301</v>
      </c>
      <c r="H384">
        <v>-615165824</v>
      </c>
      <c r="I384">
        <v>-737135786</v>
      </c>
      <c r="J384">
        <v>-801751094</v>
      </c>
      <c r="K384">
        <v>-437516863</v>
      </c>
      <c r="L384">
        <v>-328222188</v>
      </c>
      <c r="M384">
        <v>-14964693</v>
      </c>
      <c r="N384">
        <v>36041125</v>
      </c>
      <c r="O384">
        <v>-222674633</v>
      </c>
      <c r="P384">
        <v>1169</v>
      </c>
      <c r="Q384" t="s">
        <v>814</v>
      </c>
    </row>
    <row r="385" spans="1:17" x14ac:dyDescent="0.3">
      <c r="A385" t="s">
        <v>17</v>
      </c>
      <c r="B385" t="str">
        <f>"600461"</f>
        <v>600461</v>
      </c>
      <c r="C385" t="s">
        <v>815</v>
      </c>
      <c r="D385" t="s">
        <v>33</v>
      </c>
      <c r="F385">
        <v>-507846039</v>
      </c>
      <c r="G385">
        <v>-898093552</v>
      </c>
      <c r="H385">
        <v>73671953</v>
      </c>
      <c r="I385">
        <v>-468743288</v>
      </c>
      <c r="J385">
        <v>58292887</v>
      </c>
      <c r="K385">
        <v>148982884</v>
      </c>
      <c r="L385">
        <v>169620199</v>
      </c>
      <c r="M385">
        <v>154057905</v>
      </c>
      <c r="N385">
        <v>105022247</v>
      </c>
      <c r="O385">
        <v>66791307</v>
      </c>
      <c r="P385">
        <v>366</v>
      </c>
      <c r="Q385" t="s">
        <v>816</v>
      </c>
    </row>
    <row r="386" spans="1:17" x14ac:dyDescent="0.3">
      <c r="A386" t="s">
        <v>17</v>
      </c>
      <c r="B386" t="str">
        <f>"600462"</f>
        <v>600462</v>
      </c>
      <c r="C386" t="s">
        <v>817</v>
      </c>
      <c r="D386" t="s">
        <v>100</v>
      </c>
      <c r="F386">
        <v>-70898751</v>
      </c>
      <c r="G386">
        <v>-72478970</v>
      </c>
      <c r="H386">
        <v>14118454</v>
      </c>
      <c r="I386">
        <v>-3060954</v>
      </c>
      <c r="J386">
        <v>106502635</v>
      </c>
      <c r="K386">
        <v>-201182848</v>
      </c>
      <c r="L386">
        <v>-17416540</v>
      </c>
      <c r="M386">
        <v>-28180879</v>
      </c>
      <c r="N386">
        <v>-96732094</v>
      </c>
      <c r="O386">
        <v>-41571861</v>
      </c>
      <c r="P386">
        <v>51</v>
      </c>
      <c r="Q386" t="s">
        <v>818</v>
      </c>
    </row>
    <row r="387" spans="1:17" x14ac:dyDescent="0.3">
      <c r="A387" t="s">
        <v>17</v>
      </c>
      <c r="B387" t="str">
        <f>"600463"</f>
        <v>600463</v>
      </c>
      <c r="C387" t="s">
        <v>819</v>
      </c>
      <c r="D387" t="s">
        <v>30</v>
      </c>
      <c r="F387">
        <v>-201832073</v>
      </c>
      <c r="G387">
        <v>39449125</v>
      </c>
      <c r="H387">
        <v>61712304</v>
      </c>
      <c r="I387">
        <v>-303026219</v>
      </c>
      <c r="J387">
        <v>688611806</v>
      </c>
      <c r="K387">
        <v>142907229</v>
      </c>
      <c r="L387">
        <v>-28317901</v>
      </c>
      <c r="M387">
        <v>-97711478</v>
      </c>
      <c r="N387">
        <v>-333631221</v>
      </c>
      <c r="O387">
        <v>347371350</v>
      </c>
      <c r="P387">
        <v>66</v>
      </c>
      <c r="Q387" t="s">
        <v>820</v>
      </c>
    </row>
    <row r="388" spans="1:17" x14ac:dyDescent="0.3">
      <c r="A388" t="s">
        <v>17</v>
      </c>
      <c r="B388" t="str">
        <f>"600466"</f>
        <v>600466</v>
      </c>
      <c r="C388" t="s">
        <v>821</v>
      </c>
      <c r="D388" t="s">
        <v>30</v>
      </c>
      <c r="F388">
        <v>-97032662</v>
      </c>
      <c r="G388">
        <v>-6274094463</v>
      </c>
      <c r="H388">
        <v>3561037802</v>
      </c>
      <c r="I388">
        <v>154904658</v>
      </c>
      <c r="J388">
        <v>7394940456</v>
      </c>
      <c r="K388">
        <v>-2765579949</v>
      </c>
      <c r="L388">
        <v>1365967738</v>
      </c>
      <c r="M388">
        <v>-60439522</v>
      </c>
      <c r="N388">
        <v>3441208</v>
      </c>
      <c r="O388">
        <v>-3696532</v>
      </c>
      <c r="P388">
        <v>844</v>
      </c>
      <c r="Q388" t="s">
        <v>822</v>
      </c>
    </row>
    <row r="389" spans="1:17" x14ac:dyDescent="0.3">
      <c r="A389" t="s">
        <v>17</v>
      </c>
      <c r="B389" t="str">
        <f>"600467"</f>
        <v>600467</v>
      </c>
      <c r="C389" t="s">
        <v>823</v>
      </c>
      <c r="D389" t="s">
        <v>205</v>
      </c>
      <c r="F389">
        <v>162060849</v>
      </c>
      <c r="G389">
        <v>-5400948</v>
      </c>
      <c r="H389">
        <v>123956026</v>
      </c>
      <c r="I389">
        <v>-87184302</v>
      </c>
      <c r="J389">
        <v>-118870331</v>
      </c>
      <c r="K389">
        <v>32936403</v>
      </c>
      <c r="L389">
        <v>9603984</v>
      </c>
      <c r="M389">
        <v>-241544400</v>
      </c>
      <c r="N389">
        <v>-370093768</v>
      </c>
      <c r="O389">
        <v>-514273148</v>
      </c>
      <c r="P389">
        <v>119</v>
      </c>
      <c r="Q389" t="s">
        <v>824</v>
      </c>
    </row>
    <row r="390" spans="1:17" x14ac:dyDescent="0.3">
      <c r="A390" t="s">
        <v>17</v>
      </c>
      <c r="B390" t="str">
        <f>"600468"</f>
        <v>600468</v>
      </c>
      <c r="C390" t="s">
        <v>825</v>
      </c>
      <c r="D390" t="s">
        <v>188</v>
      </c>
      <c r="F390">
        <v>141145603</v>
      </c>
      <c r="G390">
        <v>122943563</v>
      </c>
      <c r="H390">
        <v>48290599</v>
      </c>
      <c r="I390">
        <v>60089571</v>
      </c>
      <c r="J390">
        <v>-117009501</v>
      </c>
      <c r="K390">
        <v>-60114637</v>
      </c>
      <c r="L390">
        <v>41981888</v>
      </c>
      <c r="M390">
        <v>260154742</v>
      </c>
      <c r="N390">
        <v>-16207908</v>
      </c>
      <c r="O390">
        <v>1444457</v>
      </c>
      <c r="P390">
        <v>89</v>
      </c>
      <c r="Q390" t="s">
        <v>826</v>
      </c>
    </row>
    <row r="391" spans="1:17" x14ac:dyDescent="0.3">
      <c r="A391" t="s">
        <v>17</v>
      </c>
      <c r="B391" t="str">
        <f>"600469"</f>
        <v>600469</v>
      </c>
      <c r="C391" t="s">
        <v>827</v>
      </c>
      <c r="D391" t="s">
        <v>27</v>
      </c>
      <c r="F391">
        <v>167858124</v>
      </c>
      <c r="G391">
        <v>367652407</v>
      </c>
      <c r="H391">
        <v>353258524</v>
      </c>
      <c r="I391">
        <v>294416834</v>
      </c>
      <c r="J391">
        <v>-298609948</v>
      </c>
      <c r="K391">
        <v>1326177353</v>
      </c>
      <c r="L391">
        <v>1022382421</v>
      </c>
      <c r="M391">
        <v>775739439</v>
      </c>
      <c r="N391">
        <v>187254823</v>
      </c>
      <c r="O391">
        <v>506621384</v>
      </c>
      <c r="P391">
        <v>99</v>
      </c>
      <c r="Q391" t="s">
        <v>828</v>
      </c>
    </row>
    <row r="392" spans="1:17" x14ac:dyDescent="0.3">
      <c r="A392" t="s">
        <v>17</v>
      </c>
      <c r="B392" t="str">
        <f>"600470"</f>
        <v>600470</v>
      </c>
      <c r="C392" t="s">
        <v>829</v>
      </c>
      <c r="D392" t="s">
        <v>133</v>
      </c>
      <c r="F392">
        <v>336092234</v>
      </c>
      <c r="G392">
        <v>86810113</v>
      </c>
      <c r="H392">
        <v>248633080</v>
      </c>
      <c r="I392">
        <v>-291318701</v>
      </c>
      <c r="J392">
        <v>-93675361</v>
      </c>
      <c r="K392">
        <v>419623991</v>
      </c>
      <c r="L392">
        <v>35468240</v>
      </c>
      <c r="M392">
        <v>506609053</v>
      </c>
      <c r="N392">
        <v>-787463879</v>
      </c>
      <c r="O392">
        <v>-693121894</v>
      </c>
      <c r="P392">
        <v>90</v>
      </c>
      <c r="Q392" t="s">
        <v>830</v>
      </c>
    </row>
    <row r="393" spans="1:17" x14ac:dyDescent="0.3">
      <c r="A393" t="s">
        <v>17</v>
      </c>
      <c r="B393" t="str">
        <f>"600475"</f>
        <v>600475</v>
      </c>
      <c r="C393" t="s">
        <v>831</v>
      </c>
      <c r="D393" t="s">
        <v>188</v>
      </c>
      <c r="F393">
        <v>-9239921</v>
      </c>
      <c r="G393">
        <v>-64848130</v>
      </c>
      <c r="H393">
        <v>60708112</v>
      </c>
      <c r="I393">
        <v>-919709932</v>
      </c>
      <c r="J393">
        <v>-149867699</v>
      </c>
      <c r="K393">
        <v>91627269</v>
      </c>
      <c r="L393">
        <v>583090527</v>
      </c>
      <c r="M393">
        <v>59187301</v>
      </c>
      <c r="N393">
        <v>76512943</v>
      </c>
      <c r="O393">
        <v>35658153</v>
      </c>
      <c r="P393">
        <v>169</v>
      </c>
      <c r="Q393" t="s">
        <v>832</v>
      </c>
    </row>
    <row r="394" spans="1:17" x14ac:dyDescent="0.3">
      <c r="A394" t="s">
        <v>17</v>
      </c>
      <c r="B394" t="str">
        <f>"600476"</f>
        <v>600476</v>
      </c>
      <c r="C394" t="s">
        <v>833</v>
      </c>
      <c r="D394" t="s">
        <v>212</v>
      </c>
      <c r="F394">
        <v>-50548404</v>
      </c>
      <c r="G394">
        <v>71481624</v>
      </c>
      <c r="H394">
        <v>3055247</v>
      </c>
      <c r="I394">
        <v>-5577661</v>
      </c>
      <c r="J394">
        <v>-52375321</v>
      </c>
      <c r="K394">
        <v>-31938498</v>
      </c>
      <c r="L394">
        <v>-21712940</v>
      </c>
      <c r="M394">
        <v>-7578579</v>
      </c>
      <c r="N394">
        <v>-44312799</v>
      </c>
      <c r="O394">
        <v>-16091284</v>
      </c>
      <c r="P394">
        <v>85</v>
      </c>
      <c r="Q394" t="s">
        <v>834</v>
      </c>
    </row>
    <row r="395" spans="1:17" x14ac:dyDescent="0.3">
      <c r="A395" t="s">
        <v>17</v>
      </c>
      <c r="B395" t="str">
        <f>"600477"</f>
        <v>600477</v>
      </c>
      <c r="C395" t="s">
        <v>835</v>
      </c>
      <c r="D395" t="s">
        <v>95</v>
      </c>
      <c r="F395">
        <v>-1207638042</v>
      </c>
      <c r="G395">
        <v>53499232</v>
      </c>
      <c r="H395">
        <v>282550579</v>
      </c>
      <c r="I395">
        <v>366825033</v>
      </c>
      <c r="J395">
        <v>675908345</v>
      </c>
      <c r="K395">
        <v>1209541463</v>
      </c>
      <c r="L395">
        <v>67866695</v>
      </c>
      <c r="M395">
        <v>-261876621</v>
      </c>
      <c r="N395">
        <v>41251544</v>
      </c>
      <c r="O395">
        <v>-122856218</v>
      </c>
      <c r="P395">
        <v>347</v>
      </c>
      <c r="Q395" t="s">
        <v>836</v>
      </c>
    </row>
    <row r="396" spans="1:17" x14ac:dyDescent="0.3">
      <c r="A396" t="s">
        <v>17</v>
      </c>
      <c r="B396" t="str">
        <f>"600478"</f>
        <v>600478</v>
      </c>
      <c r="C396" t="s">
        <v>837</v>
      </c>
      <c r="D396" t="s">
        <v>188</v>
      </c>
      <c r="F396">
        <v>37379956</v>
      </c>
      <c r="G396">
        <v>231704153</v>
      </c>
      <c r="H396">
        <v>-407118776</v>
      </c>
      <c r="I396">
        <v>-560231175</v>
      </c>
      <c r="J396">
        <v>-600013085</v>
      </c>
      <c r="K396">
        <v>-613401197</v>
      </c>
      <c r="L396">
        <v>-241197882</v>
      </c>
      <c r="M396">
        <v>-247790730</v>
      </c>
      <c r="N396">
        <v>139567131</v>
      </c>
      <c r="O396">
        <v>11651882</v>
      </c>
      <c r="P396">
        <v>160</v>
      </c>
      <c r="Q396" t="s">
        <v>838</v>
      </c>
    </row>
    <row r="397" spans="1:17" x14ac:dyDescent="0.3">
      <c r="A397" t="s">
        <v>17</v>
      </c>
      <c r="B397" t="str">
        <f>"600479"</f>
        <v>600479</v>
      </c>
      <c r="C397" t="s">
        <v>839</v>
      </c>
      <c r="D397" t="s">
        <v>113</v>
      </c>
      <c r="F397">
        <v>444516438</v>
      </c>
      <c r="G397">
        <v>451546627</v>
      </c>
      <c r="H397">
        <v>147239181</v>
      </c>
      <c r="I397">
        <v>339561778</v>
      </c>
      <c r="J397">
        <v>246512230</v>
      </c>
      <c r="K397">
        <v>60108842</v>
      </c>
      <c r="L397">
        <v>-16490605</v>
      </c>
      <c r="M397">
        <v>117794550</v>
      </c>
      <c r="N397">
        <v>53499065</v>
      </c>
      <c r="O397">
        <v>-57847344</v>
      </c>
      <c r="P397">
        <v>605</v>
      </c>
      <c r="Q397" t="s">
        <v>840</v>
      </c>
    </row>
    <row r="398" spans="1:17" x14ac:dyDescent="0.3">
      <c r="A398" t="s">
        <v>17</v>
      </c>
      <c r="B398" t="str">
        <f>"600480"</f>
        <v>600480</v>
      </c>
      <c r="C398" t="s">
        <v>841</v>
      </c>
      <c r="D398" t="s">
        <v>27</v>
      </c>
      <c r="F398">
        <v>779257196</v>
      </c>
      <c r="G398">
        <v>42490372</v>
      </c>
      <c r="H398">
        <v>-507297479</v>
      </c>
      <c r="I398">
        <v>-379443516</v>
      </c>
      <c r="J398">
        <v>-49276736</v>
      </c>
      <c r="K398">
        <v>-73115454</v>
      </c>
      <c r="L398">
        <v>8396099</v>
      </c>
      <c r="M398">
        <v>358571054</v>
      </c>
      <c r="N398">
        <v>-244370881</v>
      </c>
      <c r="O398">
        <v>66090945</v>
      </c>
      <c r="P398">
        <v>173</v>
      </c>
      <c r="Q398" t="s">
        <v>842</v>
      </c>
    </row>
    <row r="399" spans="1:17" x14ac:dyDescent="0.3">
      <c r="A399" t="s">
        <v>17</v>
      </c>
      <c r="B399" t="str">
        <f>"600481"</f>
        <v>600481</v>
      </c>
      <c r="C399" t="s">
        <v>843</v>
      </c>
      <c r="D399" t="s">
        <v>78</v>
      </c>
      <c r="F399">
        <v>-763286555</v>
      </c>
      <c r="G399">
        <v>312766361</v>
      </c>
      <c r="H399">
        <v>239768621</v>
      </c>
      <c r="I399">
        <v>253365123</v>
      </c>
      <c r="J399">
        <v>387444284</v>
      </c>
      <c r="K399">
        <v>167302045</v>
      </c>
      <c r="L399">
        <v>739178746</v>
      </c>
      <c r="M399">
        <v>193168500</v>
      </c>
      <c r="N399">
        <v>456025397</v>
      </c>
      <c r="O399">
        <v>13509576</v>
      </c>
      <c r="P399">
        <v>186</v>
      </c>
      <c r="Q399" t="s">
        <v>844</v>
      </c>
    </row>
    <row r="400" spans="1:17" x14ac:dyDescent="0.3">
      <c r="A400" t="s">
        <v>17</v>
      </c>
      <c r="B400" t="str">
        <f>"600482"</f>
        <v>600482</v>
      </c>
      <c r="C400" t="s">
        <v>845</v>
      </c>
      <c r="D400" t="s">
        <v>92</v>
      </c>
      <c r="F400">
        <v>3103958463</v>
      </c>
      <c r="G400">
        <v>-1054665844</v>
      </c>
      <c r="H400">
        <v>-1163644950</v>
      </c>
      <c r="I400">
        <v>-2655168885</v>
      </c>
      <c r="J400">
        <v>-986143709</v>
      </c>
      <c r="K400">
        <v>626748597</v>
      </c>
      <c r="L400">
        <v>557240793</v>
      </c>
      <c r="M400">
        <v>14787040</v>
      </c>
      <c r="N400">
        <v>-246490660</v>
      </c>
      <c r="O400">
        <v>-21809197</v>
      </c>
      <c r="P400">
        <v>339</v>
      </c>
      <c r="Q400" t="s">
        <v>846</v>
      </c>
    </row>
    <row r="401" spans="1:17" x14ac:dyDescent="0.3">
      <c r="A401" t="s">
        <v>17</v>
      </c>
      <c r="B401" t="str">
        <f>"600483"</f>
        <v>600483</v>
      </c>
      <c r="C401" t="s">
        <v>847</v>
      </c>
      <c r="D401" t="s">
        <v>41</v>
      </c>
      <c r="F401">
        <v>-4122310922</v>
      </c>
      <c r="G401">
        <v>-2492038191</v>
      </c>
      <c r="H401">
        <v>476269266</v>
      </c>
      <c r="I401">
        <v>643323530</v>
      </c>
      <c r="J401">
        <v>440133995</v>
      </c>
      <c r="K401">
        <v>476848723</v>
      </c>
      <c r="L401">
        <v>1180177493</v>
      </c>
      <c r="M401">
        <v>1030965695</v>
      </c>
      <c r="N401">
        <v>84403270</v>
      </c>
      <c r="O401">
        <v>-73518810</v>
      </c>
      <c r="P401">
        <v>331</v>
      </c>
      <c r="Q401" t="s">
        <v>848</v>
      </c>
    </row>
    <row r="402" spans="1:17" x14ac:dyDescent="0.3">
      <c r="A402" t="s">
        <v>17</v>
      </c>
      <c r="B402" t="str">
        <f>"600485"</f>
        <v>600485</v>
      </c>
      <c r="C402" t="s">
        <v>849</v>
      </c>
      <c r="G402">
        <v>-44988602</v>
      </c>
      <c r="H402">
        <v>236841046</v>
      </c>
      <c r="I402">
        <v>-59930305</v>
      </c>
      <c r="J402">
        <v>-754712822</v>
      </c>
      <c r="K402">
        <v>-3773888556</v>
      </c>
      <c r="L402">
        <v>-2059221574</v>
      </c>
      <c r="M402">
        <v>823097768</v>
      </c>
      <c r="N402">
        <v>78538605</v>
      </c>
      <c r="O402">
        <v>18647529</v>
      </c>
      <c r="P402">
        <v>124</v>
      </c>
      <c r="Q402" t="s">
        <v>850</v>
      </c>
    </row>
    <row r="403" spans="1:17" x14ac:dyDescent="0.3">
      <c r="A403" t="s">
        <v>17</v>
      </c>
      <c r="B403" t="str">
        <f>"600486"</f>
        <v>600486</v>
      </c>
      <c r="C403" t="s">
        <v>851</v>
      </c>
      <c r="D403" t="s">
        <v>133</v>
      </c>
      <c r="F403">
        <v>123775697</v>
      </c>
      <c r="G403">
        <v>215936970</v>
      </c>
      <c r="H403">
        <v>591184575</v>
      </c>
      <c r="I403">
        <v>715349775</v>
      </c>
      <c r="J403">
        <v>481830446</v>
      </c>
      <c r="K403">
        <v>-304416243</v>
      </c>
      <c r="L403">
        <v>-80847614</v>
      </c>
      <c r="M403">
        <v>176081141</v>
      </c>
      <c r="N403">
        <v>615779535</v>
      </c>
      <c r="O403">
        <v>371579144</v>
      </c>
      <c r="P403">
        <v>1254</v>
      </c>
      <c r="Q403" t="s">
        <v>852</v>
      </c>
    </row>
    <row r="404" spans="1:17" x14ac:dyDescent="0.3">
      <c r="A404" t="s">
        <v>17</v>
      </c>
      <c r="B404" t="str">
        <f>"600487"</f>
        <v>600487</v>
      </c>
      <c r="C404" t="s">
        <v>853</v>
      </c>
      <c r="D404" t="s">
        <v>100</v>
      </c>
      <c r="F404">
        <v>-1318503613</v>
      </c>
      <c r="G404">
        <v>192748419</v>
      </c>
      <c r="H404">
        <v>-2031062775</v>
      </c>
      <c r="I404">
        <v>-1853897331</v>
      </c>
      <c r="J404">
        <v>-1835702778</v>
      </c>
      <c r="K404">
        <v>1883801880</v>
      </c>
      <c r="L404">
        <v>691663256</v>
      </c>
      <c r="M404">
        <v>-332776940</v>
      </c>
      <c r="N404">
        <v>-353070121</v>
      </c>
      <c r="O404">
        <v>-38077362</v>
      </c>
      <c r="P404">
        <v>2803</v>
      </c>
      <c r="Q404" t="s">
        <v>854</v>
      </c>
    </row>
    <row r="405" spans="1:17" x14ac:dyDescent="0.3">
      <c r="A405" t="s">
        <v>17</v>
      </c>
      <c r="B405" t="str">
        <f>"600488"</f>
        <v>600488</v>
      </c>
      <c r="C405" t="s">
        <v>855</v>
      </c>
      <c r="D405" t="s">
        <v>113</v>
      </c>
      <c r="F405">
        <v>-53267918</v>
      </c>
      <c r="G405">
        <v>-111236941</v>
      </c>
      <c r="H405">
        <v>398163</v>
      </c>
      <c r="I405">
        <v>-14317904</v>
      </c>
      <c r="J405">
        <v>-126185119</v>
      </c>
      <c r="K405">
        <v>-1454960</v>
      </c>
      <c r="L405">
        <v>84178206</v>
      </c>
      <c r="M405">
        <v>152021974</v>
      </c>
      <c r="N405">
        <v>-225623820</v>
      </c>
      <c r="O405">
        <v>-37635702</v>
      </c>
      <c r="P405">
        <v>98</v>
      </c>
      <c r="Q405" t="s">
        <v>856</v>
      </c>
    </row>
    <row r="406" spans="1:17" x14ac:dyDescent="0.3">
      <c r="A406" t="s">
        <v>17</v>
      </c>
      <c r="B406" t="str">
        <f>"600489"</f>
        <v>600489</v>
      </c>
      <c r="C406" t="s">
        <v>857</v>
      </c>
      <c r="D406" t="s">
        <v>234</v>
      </c>
      <c r="F406">
        <v>3114711529</v>
      </c>
      <c r="G406">
        <v>3028710215</v>
      </c>
      <c r="H406">
        <v>588642393</v>
      </c>
      <c r="I406">
        <v>1134556558</v>
      </c>
      <c r="J406">
        <v>-747898547</v>
      </c>
      <c r="K406">
        <v>-515292007</v>
      </c>
      <c r="L406">
        <v>-4419905540</v>
      </c>
      <c r="M406">
        <v>-2514447998</v>
      </c>
      <c r="N406">
        <v>-1946640319</v>
      </c>
      <c r="O406">
        <v>842770388</v>
      </c>
      <c r="P406">
        <v>454</v>
      </c>
      <c r="Q406" t="s">
        <v>858</v>
      </c>
    </row>
    <row r="407" spans="1:17" x14ac:dyDescent="0.3">
      <c r="A407" t="s">
        <v>17</v>
      </c>
      <c r="B407" t="str">
        <f>"600490"</f>
        <v>600490</v>
      </c>
      <c r="C407" t="s">
        <v>859</v>
      </c>
      <c r="D407" t="s">
        <v>234</v>
      </c>
      <c r="F407">
        <v>792261648</v>
      </c>
      <c r="G407">
        <v>797135445</v>
      </c>
      <c r="H407">
        <v>-451713103</v>
      </c>
      <c r="I407">
        <v>-477251673</v>
      </c>
      <c r="J407">
        <v>41889304</v>
      </c>
      <c r="K407">
        <v>334917325</v>
      </c>
      <c r="L407">
        <v>186048521</v>
      </c>
      <c r="M407">
        <v>222206641</v>
      </c>
      <c r="N407">
        <v>-14191182</v>
      </c>
      <c r="O407">
        <v>-94851509</v>
      </c>
      <c r="P407">
        <v>144</v>
      </c>
      <c r="Q407" t="s">
        <v>860</v>
      </c>
    </row>
    <row r="408" spans="1:17" x14ac:dyDescent="0.3">
      <c r="A408" t="s">
        <v>17</v>
      </c>
      <c r="B408" t="str">
        <f>"600491"</f>
        <v>600491</v>
      </c>
      <c r="C408" t="s">
        <v>861</v>
      </c>
      <c r="D408" t="s">
        <v>95</v>
      </c>
      <c r="F408">
        <v>-308763300</v>
      </c>
      <c r="G408">
        <v>-27778888</v>
      </c>
      <c r="H408">
        <v>311499638</v>
      </c>
      <c r="I408">
        <v>-1126088232</v>
      </c>
      <c r="J408">
        <v>-515374651</v>
      </c>
      <c r="K408">
        <v>992257523</v>
      </c>
      <c r="L408">
        <v>-627369456</v>
      </c>
      <c r="M408">
        <v>-288690359</v>
      </c>
      <c r="N408">
        <v>99823020</v>
      </c>
      <c r="O408">
        <v>-280845890</v>
      </c>
      <c r="P408">
        <v>116</v>
      </c>
      <c r="Q408" t="s">
        <v>862</v>
      </c>
    </row>
    <row r="409" spans="1:17" x14ac:dyDescent="0.3">
      <c r="A409" t="s">
        <v>17</v>
      </c>
      <c r="B409" t="str">
        <f>"600493"</f>
        <v>600493</v>
      </c>
      <c r="C409" t="s">
        <v>863</v>
      </c>
      <c r="D409" t="s">
        <v>227</v>
      </c>
      <c r="F409">
        <v>1562341</v>
      </c>
      <c r="G409">
        <v>14071652</v>
      </c>
      <c r="H409">
        <v>-172099935</v>
      </c>
      <c r="I409">
        <v>-18612668</v>
      </c>
      <c r="J409">
        <v>-10589106</v>
      </c>
      <c r="K409">
        <v>110861122</v>
      </c>
      <c r="L409">
        <v>73371641</v>
      </c>
      <c r="M409">
        <v>177968630</v>
      </c>
      <c r="N409">
        <v>31254823</v>
      </c>
      <c r="O409">
        <v>36144470</v>
      </c>
      <c r="P409">
        <v>80</v>
      </c>
      <c r="Q409" t="s">
        <v>864</v>
      </c>
    </row>
    <row r="410" spans="1:17" x14ac:dyDescent="0.3">
      <c r="A410" t="s">
        <v>17</v>
      </c>
      <c r="B410" t="str">
        <f>"600495"</f>
        <v>600495</v>
      </c>
      <c r="C410" t="s">
        <v>865</v>
      </c>
      <c r="D410" t="s">
        <v>78</v>
      </c>
      <c r="F410">
        <v>53504119</v>
      </c>
      <c r="G410">
        <v>37494074</v>
      </c>
      <c r="H410">
        <v>43872552</v>
      </c>
      <c r="I410">
        <v>120762577</v>
      </c>
      <c r="J410">
        <v>96341897</v>
      </c>
      <c r="K410">
        <v>-253208154</v>
      </c>
      <c r="L410">
        <v>-210278291</v>
      </c>
      <c r="M410">
        <v>-86313753</v>
      </c>
      <c r="N410">
        <v>-123417360</v>
      </c>
      <c r="O410">
        <v>-328798159</v>
      </c>
      <c r="P410">
        <v>122</v>
      </c>
      <c r="Q410" t="s">
        <v>866</v>
      </c>
    </row>
    <row r="411" spans="1:17" x14ac:dyDescent="0.3">
      <c r="A411" t="s">
        <v>17</v>
      </c>
      <c r="B411" t="str">
        <f>"600496"</f>
        <v>600496</v>
      </c>
      <c r="C411" t="s">
        <v>867</v>
      </c>
      <c r="D411" t="s">
        <v>95</v>
      </c>
      <c r="F411">
        <v>-439497669</v>
      </c>
      <c r="G411">
        <v>364876864</v>
      </c>
      <c r="H411">
        <v>464673845</v>
      </c>
      <c r="I411">
        <v>-388339385</v>
      </c>
      <c r="J411">
        <v>-258532472</v>
      </c>
      <c r="K411">
        <v>370585765</v>
      </c>
      <c r="L411">
        <v>199560955</v>
      </c>
      <c r="M411">
        <v>-27750760</v>
      </c>
      <c r="N411">
        <v>-74580801</v>
      </c>
      <c r="O411">
        <v>-508717474</v>
      </c>
      <c r="P411">
        <v>249</v>
      </c>
      <c r="Q411" t="s">
        <v>868</v>
      </c>
    </row>
    <row r="412" spans="1:17" x14ac:dyDescent="0.3">
      <c r="A412" t="s">
        <v>17</v>
      </c>
      <c r="B412" t="str">
        <f>"600497"</f>
        <v>600497</v>
      </c>
      <c r="C412" t="s">
        <v>869</v>
      </c>
      <c r="D412" t="s">
        <v>234</v>
      </c>
      <c r="F412">
        <v>2607359549</v>
      </c>
      <c r="G412">
        <v>1909341139</v>
      </c>
      <c r="H412">
        <v>1280522147</v>
      </c>
      <c r="I412">
        <v>1214388622</v>
      </c>
      <c r="J412">
        <v>2831622038</v>
      </c>
      <c r="K412">
        <v>605277306</v>
      </c>
      <c r="L412">
        <v>323668472</v>
      </c>
      <c r="M412">
        <v>-1313541577</v>
      </c>
      <c r="N412">
        <v>-1121922639</v>
      </c>
      <c r="O412">
        <v>-1174365963</v>
      </c>
      <c r="P412">
        <v>286</v>
      </c>
      <c r="Q412" t="s">
        <v>870</v>
      </c>
    </row>
    <row r="413" spans="1:17" x14ac:dyDescent="0.3">
      <c r="A413" t="s">
        <v>17</v>
      </c>
      <c r="B413" t="str">
        <f>"600498"</f>
        <v>600498</v>
      </c>
      <c r="C413" t="s">
        <v>871</v>
      </c>
      <c r="D413" t="s">
        <v>100</v>
      </c>
      <c r="F413">
        <v>-646742261</v>
      </c>
      <c r="G413">
        <v>-849451105</v>
      </c>
      <c r="H413">
        <v>-814263808</v>
      </c>
      <c r="I413">
        <v>-619621310</v>
      </c>
      <c r="J413">
        <v>-487203479</v>
      </c>
      <c r="K413">
        <v>-512904857</v>
      </c>
      <c r="L413">
        <v>184092632</v>
      </c>
      <c r="M413">
        <v>439157911</v>
      </c>
      <c r="N413">
        <v>171631349</v>
      </c>
      <c r="O413">
        <v>92799538</v>
      </c>
      <c r="P413">
        <v>853</v>
      </c>
      <c r="Q413" t="s">
        <v>872</v>
      </c>
    </row>
    <row r="414" spans="1:17" x14ac:dyDescent="0.3">
      <c r="A414" t="s">
        <v>17</v>
      </c>
      <c r="B414" t="str">
        <f>"600499"</f>
        <v>600499</v>
      </c>
      <c r="C414" t="s">
        <v>873</v>
      </c>
      <c r="D414" t="s">
        <v>78</v>
      </c>
      <c r="F414">
        <v>765566662</v>
      </c>
      <c r="G414">
        <v>881241758</v>
      </c>
      <c r="H414">
        <v>209883245</v>
      </c>
      <c r="I414">
        <v>-362545002</v>
      </c>
      <c r="J414">
        <v>-495430647</v>
      </c>
      <c r="K414">
        <v>316260128</v>
      </c>
      <c r="L414">
        <v>453838462</v>
      </c>
      <c r="M414">
        <v>-407235811</v>
      </c>
      <c r="N414">
        <v>-161968784</v>
      </c>
      <c r="O414">
        <v>-134280899</v>
      </c>
      <c r="P414">
        <v>246</v>
      </c>
      <c r="Q414" t="s">
        <v>874</v>
      </c>
    </row>
    <row r="415" spans="1:17" x14ac:dyDescent="0.3">
      <c r="A415" t="s">
        <v>17</v>
      </c>
      <c r="B415" t="str">
        <f>"600500"</f>
        <v>600500</v>
      </c>
      <c r="C415" t="s">
        <v>875</v>
      </c>
      <c r="D415" t="s">
        <v>133</v>
      </c>
      <c r="F415">
        <v>-7186938330</v>
      </c>
      <c r="G415">
        <v>-2046923942</v>
      </c>
      <c r="H415">
        <v>-2593663439</v>
      </c>
      <c r="I415">
        <v>-733799220</v>
      </c>
      <c r="J415">
        <v>-1734685665</v>
      </c>
      <c r="K415">
        <v>-359504215</v>
      </c>
      <c r="L415">
        <v>64546036</v>
      </c>
      <c r="M415">
        <v>77799478</v>
      </c>
      <c r="N415">
        <v>59406350</v>
      </c>
      <c r="O415">
        <v>7554552</v>
      </c>
      <c r="P415">
        <v>285</v>
      </c>
      <c r="Q415" t="s">
        <v>876</v>
      </c>
    </row>
    <row r="416" spans="1:17" x14ac:dyDescent="0.3">
      <c r="A416" t="s">
        <v>17</v>
      </c>
      <c r="B416" t="str">
        <f>"600501"</f>
        <v>600501</v>
      </c>
      <c r="C416" t="s">
        <v>877</v>
      </c>
      <c r="D416" t="s">
        <v>78</v>
      </c>
      <c r="F416">
        <v>82263170</v>
      </c>
      <c r="G416">
        <v>277096656</v>
      </c>
      <c r="H416">
        <v>-30250025</v>
      </c>
      <c r="I416">
        <v>-96714932</v>
      </c>
      <c r="J416">
        <v>336811336</v>
      </c>
      <c r="K416">
        <v>61631240</v>
      </c>
      <c r="L416">
        <v>162477333</v>
      </c>
      <c r="M416">
        <v>23848895</v>
      </c>
      <c r="N416">
        <v>-2574187</v>
      </c>
      <c r="O416">
        <v>-38892383</v>
      </c>
      <c r="P416">
        <v>117</v>
      </c>
      <c r="Q416" t="s">
        <v>878</v>
      </c>
    </row>
    <row r="417" spans="1:17" x14ac:dyDescent="0.3">
      <c r="A417" t="s">
        <v>17</v>
      </c>
      <c r="B417" t="str">
        <f>"600502"</f>
        <v>600502</v>
      </c>
      <c r="C417" t="s">
        <v>879</v>
      </c>
      <c r="D417" t="s">
        <v>95</v>
      </c>
      <c r="F417">
        <v>-6784851769</v>
      </c>
      <c r="G417">
        <v>-5214382874</v>
      </c>
      <c r="H417">
        <v>-6952449554</v>
      </c>
      <c r="I417">
        <v>-2391689027</v>
      </c>
      <c r="J417">
        <v>-9560719664</v>
      </c>
      <c r="K417">
        <v>-280059466</v>
      </c>
      <c r="L417">
        <v>607014330</v>
      </c>
      <c r="M417">
        <v>-1391863683</v>
      </c>
      <c r="N417">
        <v>-258410401</v>
      </c>
      <c r="O417">
        <v>-178286284</v>
      </c>
      <c r="P417">
        <v>410</v>
      </c>
      <c r="Q417" t="s">
        <v>880</v>
      </c>
    </row>
    <row r="418" spans="1:17" x14ac:dyDescent="0.3">
      <c r="A418" t="s">
        <v>17</v>
      </c>
      <c r="B418" t="str">
        <f>"600503"</f>
        <v>600503</v>
      </c>
      <c r="C418" t="s">
        <v>881</v>
      </c>
      <c r="D418" t="s">
        <v>30</v>
      </c>
      <c r="F418">
        <v>-272746350</v>
      </c>
      <c r="G418">
        <v>237185630</v>
      </c>
      <c r="H418">
        <v>-40744070</v>
      </c>
      <c r="I418">
        <v>478501761</v>
      </c>
      <c r="J418">
        <v>-476085864</v>
      </c>
      <c r="K418">
        <v>872250051</v>
      </c>
      <c r="L418">
        <v>618183028</v>
      </c>
      <c r="M418">
        <v>55544208</v>
      </c>
      <c r="N418">
        <v>550611675</v>
      </c>
      <c r="O418">
        <v>186685327</v>
      </c>
      <c r="P418">
        <v>200</v>
      </c>
      <c r="Q418" t="s">
        <v>882</v>
      </c>
    </row>
    <row r="419" spans="1:17" x14ac:dyDescent="0.3">
      <c r="A419" t="s">
        <v>17</v>
      </c>
      <c r="B419" t="str">
        <f>"600505"</f>
        <v>600505</v>
      </c>
      <c r="C419" t="s">
        <v>883</v>
      </c>
      <c r="D419" t="s">
        <v>41</v>
      </c>
      <c r="F419">
        <v>-352240152</v>
      </c>
      <c r="G419">
        <v>-181664476</v>
      </c>
      <c r="H419">
        <v>-317768684</v>
      </c>
      <c r="I419">
        <v>-234998964</v>
      </c>
      <c r="J419">
        <v>46224565</v>
      </c>
      <c r="K419">
        <v>-303665863</v>
      </c>
      <c r="L419">
        <v>-10955192</v>
      </c>
      <c r="M419">
        <v>82216672</v>
      </c>
      <c r="N419">
        <v>63885193</v>
      </c>
      <c r="O419">
        <v>-40202768</v>
      </c>
      <c r="P419">
        <v>104</v>
      </c>
      <c r="Q419" t="s">
        <v>884</v>
      </c>
    </row>
    <row r="420" spans="1:17" x14ac:dyDescent="0.3">
      <c r="A420" t="s">
        <v>17</v>
      </c>
      <c r="B420" t="str">
        <f>"600506"</f>
        <v>600506</v>
      </c>
      <c r="C420" t="s">
        <v>885</v>
      </c>
      <c r="D420" t="s">
        <v>205</v>
      </c>
      <c r="F420">
        <v>-12603962</v>
      </c>
      <c r="G420">
        <v>-14721407</v>
      </c>
      <c r="H420">
        <v>-6094344</v>
      </c>
      <c r="I420">
        <v>16014660</v>
      </c>
      <c r="J420">
        <v>-21124268</v>
      </c>
      <c r="K420">
        <v>-22042842</v>
      </c>
      <c r="L420">
        <v>13316669</v>
      </c>
      <c r="M420">
        <v>-41061153</v>
      </c>
      <c r="N420">
        <v>9183045</v>
      </c>
      <c r="O420">
        <v>-6017400</v>
      </c>
      <c r="P420">
        <v>67</v>
      </c>
      <c r="Q420" t="s">
        <v>886</v>
      </c>
    </row>
    <row r="421" spans="1:17" x14ac:dyDescent="0.3">
      <c r="A421" t="s">
        <v>17</v>
      </c>
      <c r="B421" t="str">
        <f>"600507"</f>
        <v>600507</v>
      </c>
      <c r="C421" t="s">
        <v>887</v>
      </c>
      <c r="D421" t="s">
        <v>38</v>
      </c>
      <c r="F421">
        <v>2048958158</v>
      </c>
      <c r="G421">
        <v>3592080270</v>
      </c>
      <c r="H421">
        <v>1599039945</v>
      </c>
      <c r="I421">
        <v>3320488773</v>
      </c>
      <c r="J421">
        <v>2422191080</v>
      </c>
      <c r="K421">
        <v>1307187485</v>
      </c>
      <c r="L421">
        <v>658581119</v>
      </c>
      <c r="M421">
        <v>770219433</v>
      </c>
      <c r="N421">
        <v>670049781</v>
      </c>
      <c r="O421">
        <v>270457985</v>
      </c>
      <c r="P421">
        <v>1895</v>
      </c>
      <c r="Q421" t="s">
        <v>888</v>
      </c>
    </row>
    <row r="422" spans="1:17" x14ac:dyDescent="0.3">
      <c r="A422" t="s">
        <v>17</v>
      </c>
      <c r="B422" t="str">
        <f>"600508"</f>
        <v>600508</v>
      </c>
      <c r="C422" t="s">
        <v>889</v>
      </c>
      <c r="D422" t="s">
        <v>257</v>
      </c>
      <c r="F422">
        <v>301852055</v>
      </c>
      <c r="G422">
        <v>-56222857</v>
      </c>
      <c r="H422">
        <v>926803636</v>
      </c>
      <c r="I422">
        <v>-374830</v>
      </c>
      <c r="J422">
        <v>-141286411</v>
      </c>
      <c r="K422">
        <v>513414675</v>
      </c>
      <c r="L422">
        <v>-307955935</v>
      </c>
      <c r="M422">
        <v>-312417755</v>
      </c>
      <c r="N422">
        <v>-901232309</v>
      </c>
      <c r="O422">
        <v>-159716207</v>
      </c>
      <c r="P422">
        <v>267</v>
      </c>
      <c r="Q422" t="s">
        <v>890</v>
      </c>
    </row>
    <row r="423" spans="1:17" x14ac:dyDescent="0.3">
      <c r="A423" t="s">
        <v>17</v>
      </c>
      <c r="B423" t="str">
        <f>"600509"</f>
        <v>600509</v>
      </c>
      <c r="C423" t="s">
        <v>891</v>
      </c>
      <c r="D423" t="s">
        <v>41</v>
      </c>
      <c r="F423">
        <v>495884528</v>
      </c>
      <c r="G423">
        <v>836276369</v>
      </c>
      <c r="H423">
        <v>195906282</v>
      </c>
      <c r="I423">
        <v>360297841</v>
      </c>
      <c r="J423">
        <v>-807064236</v>
      </c>
      <c r="K423">
        <v>-1557982735</v>
      </c>
      <c r="L423">
        <v>-2494454082</v>
      </c>
      <c r="M423">
        <v>-890627110</v>
      </c>
      <c r="N423">
        <v>-1083482151</v>
      </c>
      <c r="O423">
        <v>-740909273</v>
      </c>
      <c r="P423">
        <v>142</v>
      </c>
      <c r="Q423" t="s">
        <v>892</v>
      </c>
    </row>
    <row r="424" spans="1:17" x14ac:dyDescent="0.3">
      <c r="A424" t="s">
        <v>17</v>
      </c>
      <c r="B424" t="str">
        <f>"600510"</f>
        <v>600510</v>
      </c>
      <c r="C424" t="s">
        <v>893</v>
      </c>
      <c r="D424" t="s">
        <v>30</v>
      </c>
      <c r="F424">
        <v>-1916038240</v>
      </c>
      <c r="G424">
        <v>864184745</v>
      </c>
      <c r="H424">
        <v>4133779511</v>
      </c>
      <c r="I424">
        <v>1518511918</v>
      </c>
      <c r="J424">
        <v>888013830</v>
      </c>
      <c r="K424">
        <v>18390872</v>
      </c>
      <c r="L424">
        <v>171479835</v>
      </c>
      <c r="M424">
        <v>-974735888</v>
      </c>
      <c r="N424">
        <v>-955306507</v>
      </c>
      <c r="O424">
        <v>-698856091</v>
      </c>
      <c r="P424">
        <v>240</v>
      </c>
      <c r="Q424" t="s">
        <v>894</v>
      </c>
    </row>
    <row r="425" spans="1:17" x14ac:dyDescent="0.3">
      <c r="A425" t="s">
        <v>17</v>
      </c>
      <c r="B425" t="str">
        <f>"600511"</f>
        <v>600511</v>
      </c>
      <c r="C425" t="s">
        <v>895</v>
      </c>
      <c r="D425" t="s">
        <v>113</v>
      </c>
      <c r="F425">
        <v>1863168279</v>
      </c>
      <c r="G425">
        <v>1233919447</v>
      </c>
      <c r="H425">
        <v>1691284314</v>
      </c>
      <c r="I425">
        <v>849477468</v>
      </c>
      <c r="J425">
        <v>1001487119</v>
      </c>
      <c r="K425">
        <v>551492441</v>
      </c>
      <c r="L425">
        <v>371965949</v>
      </c>
      <c r="M425">
        <v>72731955</v>
      </c>
      <c r="N425">
        <v>63977014</v>
      </c>
      <c r="O425">
        <v>16498621</v>
      </c>
      <c r="P425">
        <v>24746</v>
      </c>
      <c r="Q425" t="s">
        <v>896</v>
      </c>
    </row>
    <row r="426" spans="1:17" x14ac:dyDescent="0.3">
      <c r="A426" t="s">
        <v>17</v>
      </c>
      <c r="B426" t="str">
        <f>"600512"</f>
        <v>600512</v>
      </c>
      <c r="C426" t="s">
        <v>897</v>
      </c>
      <c r="D426" t="s">
        <v>95</v>
      </c>
      <c r="F426">
        <v>592422156</v>
      </c>
      <c r="G426">
        <v>421694775</v>
      </c>
      <c r="H426">
        <v>1444325321</v>
      </c>
      <c r="I426">
        <v>66756819</v>
      </c>
      <c r="J426">
        <v>18865202</v>
      </c>
      <c r="K426">
        <v>254081142</v>
      </c>
      <c r="L426">
        <v>-48484964</v>
      </c>
      <c r="M426">
        <v>62335639</v>
      </c>
      <c r="N426">
        <v>135726303</v>
      </c>
      <c r="O426">
        <v>-333001114</v>
      </c>
      <c r="P426">
        <v>161</v>
      </c>
      <c r="Q426" t="s">
        <v>898</v>
      </c>
    </row>
    <row r="427" spans="1:17" x14ac:dyDescent="0.3">
      <c r="A427" t="s">
        <v>17</v>
      </c>
      <c r="B427" t="str">
        <f>"600513"</f>
        <v>600513</v>
      </c>
      <c r="C427" t="s">
        <v>899</v>
      </c>
      <c r="D427" t="s">
        <v>113</v>
      </c>
      <c r="F427">
        <v>-29603399</v>
      </c>
      <c r="G427">
        <v>-60221833</v>
      </c>
      <c r="H427">
        <v>-168590553</v>
      </c>
      <c r="I427">
        <v>-145242955</v>
      </c>
      <c r="J427">
        <v>-44995945</v>
      </c>
      <c r="K427">
        <v>24078581</v>
      </c>
      <c r="L427">
        <v>34723556</v>
      </c>
      <c r="M427">
        <v>46088375</v>
      </c>
      <c r="N427">
        <v>6225128</v>
      </c>
      <c r="O427">
        <v>10643869</v>
      </c>
      <c r="P427">
        <v>144</v>
      </c>
      <c r="Q427" t="s">
        <v>900</v>
      </c>
    </row>
    <row r="428" spans="1:17" x14ac:dyDescent="0.3">
      <c r="A428" t="s">
        <v>17</v>
      </c>
      <c r="B428" t="str">
        <f>"600515"</f>
        <v>600515</v>
      </c>
      <c r="C428" t="s">
        <v>901</v>
      </c>
      <c r="D428" t="s">
        <v>30</v>
      </c>
      <c r="F428">
        <v>87551359</v>
      </c>
      <c r="G428">
        <v>468521240</v>
      </c>
      <c r="H428">
        <v>2024761462</v>
      </c>
      <c r="I428">
        <v>5382553987</v>
      </c>
      <c r="J428">
        <v>2169680996</v>
      </c>
      <c r="K428">
        <v>-6530622871</v>
      </c>
      <c r="L428">
        <v>24341086</v>
      </c>
      <c r="M428">
        <v>42490929</v>
      </c>
      <c r="N428">
        <v>43876023</v>
      </c>
      <c r="O428">
        <v>-589612126</v>
      </c>
      <c r="P428">
        <v>163</v>
      </c>
      <c r="Q428" t="s">
        <v>902</v>
      </c>
    </row>
    <row r="429" spans="1:17" x14ac:dyDescent="0.3">
      <c r="A429" t="s">
        <v>17</v>
      </c>
      <c r="B429" t="str">
        <f>"600516"</f>
        <v>600516</v>
      </c>
      <c r="C429" t="s">
        <v>903</v>
      </c>
      <c r="D429" t="s">
        <v>38</v>
      </c>
      <c r="F429">
        <v>-189159447</v>
      </c>
      <c r="G429">
        <v>439761367</v>
      </c>
      <c r="H429">
        <v>4383011697</v>
      </c>
      <c r="I429">
        <v>5591253908</v>
      </c>
      <c r="J429">
        <v>3477852306</v>
      </c>
      <c r="K429">
        <v>368706445</v>
      </c>
      <c r="L429">
        <v>349648807</v>
      </c>
      <c r="M429">
        <v>386460361</v>
      </c>
      <c r="N429">
        <v>502451693</v>
      </c>
      <c r="O429">
        <v>629944975</v>
      </c>
      <c r="P429">
        <v>1177</v>
      </c>
      <c r="Q429" t="s">
        <v>904</v>
      </c>
    </row>
    <row r="430" spans="1:17" x14ac:dyDescent="0.3">
      <c r="A430" t="s">
        <v>17</v>
      </c>
      <c r="B430" t="str">
        <f>"600517"</f>
        <v>600517</v>
      </c>
      <c r="C430" t="s">
        <v>905</v>
      </c>
      <c r="D430" t="s">
        <v>188</v>
      </c>
      <c r="F430">
        <v>645801077</v>
      </c>
      <c r="G430">
        <v>-257800536</v>
      </c>
      <c r="H430">
        <v>138740772</v>
      </c>
      <c r="I430">
        <v>62768951</v>
      </c>
      <c r="J430">
        <v>-759869295</v>
      </c>
      <c r="K430">
        <v>1285037157</v>
      </c>
      <c r="L430">
        <v>63186981</v>
      </c>
      <c r="M430">
        <v>-51111480</v>
      </c>
      <c r="N430">
        <v>-19898455</v>
      </c>
      <c r="O430">
        <v>247763562</v>
      </c>
      <c r="P430">
        <v>246</v>
      </c>
      <c r="Q430" t="s">
        <v>906</v>
      </c>
    </row>
    <row r="431" spans="1:17" x14ac:dyDescent="0.3">
      <c r="A431" t="s">
        <v>17</v>
      </c>
      <c r="B431" t="str">
        <f>"600518"</f>
        <v>600518</v>
      </c>
      <c r="C431" t="s">
        <v>907</v>
      </c>
      <c r="D431" t="s">
        <v>113</v>
      </c>
      <c r="F431">
        <v>120477013</v>
      </c>
      <c r="G431">
        <v>1864187179</v>
      </c>
      <c r="H431">
        <v>2412441454</v>
      </c>
      <c r="I431">
        <v>-4286167450</v>
      </c>
      <c r="J431">
        <v>94866636</v>
      </c>
      <c r="K431">
        <v>46623203</v>
      </c>
      <c r="L431">
        <v>-865629815</v>
      </c>
      <c r="M431">
        <v>450240503</v>
      </c>
      <c r="N431">
        <v>970602662</v>
      </c>
      <c r="O431">
        <v>-396599646</v>
      </c>
      <c r="P431">
        <v>1483</v>
      </c>
      <c r="Q431" t="s">
        <v>908</v>
      </c>
    </row>
    <row r="432" spans="1:17" x14ac:dyDescent="0.3">
      <c r="A432" t="s">
        <v>17</v>
      </c>
      <c r="B432" t="str">
        <f>"600519"</f>
        <v>600519</v>
      </c>
      <c r="C432" t="s">
        <v>909</v>
      </c>
      <c r="D432" t="s">
        <v>123</v>
      </c>
      <c r="F432">
        <v>60622355089</v>
      </c>
      <c r="G432">
        <v>49579795099</v>
      </c>
      <c r="H432">
        <v>42061786052</v>
      </c>
      <c r="I432">
        <v>39778484181</v>
      </c>
      <c r="J432">
        <v>21028035342</v>
      </c>
      <c r="K432">
        <v>36432163595</v>
      </c>
      <c r="L432">
        <v>15383642598</v>
      </c>
      <c r="M432">
        <v>8211684310</v>
      </c>
      <c r="N432">
        <v>7249284836</v>
      </c>
      <c r="O432">
        <v>7709488801</v>
      </c>
      <c r="P432">
        <v>71986</v>
      </c>
      <c r="Q432" t="s">
        <v>910</v>
      </c>
    </row>
    <row r="433" spans="1:17" x14ac:dyDescent="0.3">
      <c r="A433" t="s">
        <v>17</v>
      </c>
      <c r="B433" t="str">
        <f>"600520"</f>
        <v>600520</v>
      </c>
      <c r="C433" t="s">
        <v>911</v>
      </c>
      <c r="D433" t="s">
        <v>78</v>
      </c>
      <c r="F433">
        <v>16742495</v>
      </c>
      <c r="G433">
        <v>46916790</v>
      </c>
      <c r="H433">
        <v>-9834729</v>
      </c>
      <c r="I433">
        <v>-8813127</v>
      </c>
      <c r="J433">
        <v>-6212779</v>
      </c>
      <c r="K433">
        <v>4639733</v>
      </c>
      <c r="L433">
        <v>-32619061</v>
      </c>
      <c r="M433">
        <v>-121651306</v>
      </c>
      <c r="N433">
        <v>-51816831</v>
      </c>
      <c r="O433">
        <v>-17553692</v>
      </c>
      <c r="P433">
        <v>73</v>
      </c>
      <c r="Q433" t="s">
        <v>912</v>
      </c>
    </row>
    <row r="434" spans="1:17" x14ac:dyDescent="0.3">
      <c r="A434" t="s">
        <v>17</v>
      </c>
      <c r="B434" t="str">
        <f>"600521"</f>
        <v>600521</v>
      </c>
      <c r="C434" t="s">
        <v>913</v>
      </c>
      <c r="D434" t="s">
        <v>113</v>
      </c>
      <c r="F434">
        <v>-1486097378</v>
      </c>
      <c r="G434">
        <v>311159582</v>
      </c>
      <c r="H434">
        <v>963791498</v>
      </c>
      <c r="I434">
        <v>-1053155935</v>
      </c>
      <c r="J434">
        <v>-245182923</v>
      </c>
      <c r="K434">
        <v>-298726592</v>
      </c>
      <c r="L434">
        <v>-328487956</v>
      </c>
      <c r="M434">
        <v>-108037677</v>
      </c>
      <c r="N434">
        <v>24114743</v>
      </c>
      <c r="O434">
        <v>-203971169</v>
      </c>
      <c r="P434">
        <v>964</v>
      </c>
      <c r="Q434" t="s">
        <v>914</v>
      </c>
    </row>
    <row r="435" spans="1:17" x14ac:dyDescent="0.3">
      <c r="A435" t="s">
        <v>17</v>
      </c>
      <c r="B435" t="str">
        <f>"600522"</f>
        <v>600522</v>
      </c>
      <c r="C435" t="s">
        <v>915</v>
      </c>
      <c r="D435" t="s">
        <v>100</v>
      </c>
      <c r="F435">
        <v>-1809168216</v>
      </c>
      <c r="G435">
        <v>1466563486</v>
      </c>
      <c r="H435">
        <v>1349030938</v>
      </c>
      <c r="I435">
        <v>-329317145</v>
      </c>
      <c r="J435">
        <v>-1021311037</v>
      </c>
      <c r="K435">
        <v>-605080199</v>
      </c>
      <c r="L435">
        <v>924506320</v>
      </c>
      <c r="M435">
        <v>-670065890</v>
      </c>
      <c r="N435">
        <v>-251296929</v>
      </c>
      <c r="O435">
        <v>-284583561</v>
      </c>
      <c r="P435">
        <v>1221</v>
      </c>
      <c r="Q435" t="s">
        <v>916</v>
      </c>
    </row>
    <row r="436" spans="1:17" x14ac:dyDescent="0.3">
      <c r="A436" t="s">
        <v>17</v>
      </c>
      <c r="B436" t="str">
        <f>"600523"</f>
        <v>600523</v>
      </c>
      <c r="C436" t="s">
        <v>917</v>
      </c>
      <c r="D436" t="s">
        <v>27</v>
      </c>
      <c r="F436">
        <v>92127746</v>
      </c>
      <c r="G436">
        <v>142570751</v>
      </c>
      <c r="H436">
        <v>92483110</v>
      </c>
      <c r="I436">
        <v>7579473</v>
      </c>
      <c r="J436">
        <v>136179997</v>
      </c>
      <c r="K436">
        <v>347417774</v>
      </c>
      <c r="L436">
        <v>117425369</v>
      </c>
      <c r="M436">
        <v>-47888852</v>
      </c>
      <c r="N436">
        <v>-120857972</v>
      </c>
      <c r="O436">
        <v>67797096</v>
      </c>
      <c r="P436">
        <v>96</v>
      </c>
      <c r="Q436" t="s">
        <v>918</v>
      </c>
    </row>
    <row r="437" spans="1:17" x14ac:dyDescent="0.3">
      <c r="A437" t="s">
        <v>17</v>
      </c>
      <c r="B437" t="str">
        <f>"600525"</f>
        <v>600525</v>
      </c>
      <c r="C437" t="s">
        <v>919</v>
      </c>
      <c r="D437" t="s">
        <v>188</v>
      </c>
      <c r="F437">
        <v>108287132</v>
      </c>
      <c r="G437">
        <v>21214729</v>
      </c>
      <c r="H437">
        <v>732481277</v>
      </c>
      <c r="I437">
        <v>-178621301</v>
      </c>
      <c r="J437">
        <v>-1021890286</v>
      </c>
      <c r="K437">
        <v>-52689388</v>
      </c>
      <c r="L437">
        <v>233589462</v>
      </c>
      <c r="M437">
        <v>51656626</v>
      </c>
      <c r="N437">
        <v>155020548</v>
      </c>
      <c r="O437">
        <v>-47746522</v>
      </c>
      <c r="P437">
        <v>254</v>
      </c>
      <c r="Q437" t="s">
        <v>920</v>
      </c>
    </row>
    <row r="438" spans="1:17" x14ac:dyDescent="0.3">
      <c r="A438" t="s">
        <v>17</v>
      </c>
      <c r="B438" t="str">
        <f>"600526"</f>
        <v>600526</v>
      </c>
      <c r="C438" t="s">
        <v>921</v>
      </c>
      <c r="D438" t="s">
        <v>33</v>
      </c>
      <c r="F438">
        <v>35087222</v>
      </c>
      <c r="G438">
        <v>125029506</v>
      </c>
      <c r="H438">
        <v>482746619</v>
      </c>
      <c r="I438">
        <v>-333041214</v>
      </c>
      <c r="J438">
        <v>-477138146</v>
      </c>
      <c r="K438">
        <v>-208874341</v>
      </c>
      <c r="L438">
        <v>-206498412</v>
      </c>
      <c r="M438">
        <v>-524093514</v>
      </c>
      <c r="N438">
        <v>-196775971</v>
      </c>
      <c r="O438">
        <v>61148877</v>
      </c>
      <c r="P438">
        <v>114</v>
      </c>
      <c r="Q438" t="s">
        <v>922</v>
      </c>
    </row>
    <row r="439" spans="1:17" x14ac:dyDescent="0.3">
      <c r="A439" t="s">
        <v>17</v>
      </c>
      <c r="B439" t="str">
        <f>"600527"</f>
        <v>600527</v>
      </c>
      <c r="C439" t="s">
        <v>923</v>
      </c>
      <c r="D439" t="s">
        <v>227</v>
      </c>
      <c r="F439">
        <v>-85524885</v>
      </c>
      <c r="G439">
        <v>494977598</v>
      </c>
      <c r="H439">
        <v>-167748189</v>
      </c>
      <c r="I439">
        <v>-85955797</v>
      </c>
      <c r="J439">
        <v>10615508</v>
      </c>
      <c r="K439">
        <v>11406010</v>
      </c>
      <c r="L439">
        <v>152248238</v>
      </c>
      <c r="M439">
        <v>31186713</v>
      </c>
      <c r="N439">
        <v>78819064</v>
      </c>
      <c r="O439">
        <v>74431445</v>
      </c>
      <c r="P439">
        <v>112</v>
      </c>
      <c r="Q439" t="s">
        <v>924</v>
      </c>
    </row>
    <row r="440" spans="1:17" x14ac:dyDescent="0.3">
      <c r="A440" t="s">
        <v>17</v>
      </c>
      <c r="B440" t="str">
        <f>"600528"</f>
        <v>600528</v>
      </c>
      <c r="C440" t="s">
        <v>925</v>
      </c>
      <c r="D440" t="s">
        <v>78</v>
      </c>
      <c r="F440">
        <v>119850044</v>
      </c>
      <c r="G440">
        <v>285855072</v>
      </c>
      <c r="H440">
        <v>468052720</v>
      </c>
      <c r="I440">
        <v>-251730594</v>
      </c>
      <c r="J440">
        <v>-211305447</v>
      </c>
      <c r="K440">
        <v>1208049809</v>
      </c>
      <c r="L440">
        <v>-5216163800</v>
      </c>
      <c r="M440">
        <v>1268390911</v>
      </c>
      <c r="N440">
        <v>-160268384</v>
      </c>
      <c r="O440">
        <v>-494617713</v>
      </c>
      <c r="P440">
        <v>253</v>
      </c>
      <c r="Q440" t="s">
        <v>926</v>
      </c>
    </row>
    <row r="441" spans="1:17" x14ac:dyDescent="0.3">
      <c r="A441" t="s">
        <v>17</v>
      </c>
      <c r="B441" t="str">
        <f>"600529"</f>
        <v>600529</v>
      </c>
      <c r="C441" t="s">
        <v>927</v>
      </c>
      <c r="D441" t="s">
        <v>113</v>
      </c>
      <c r="F441">
        <v>-55361939</v>
      </c>
      <c r="G441">
        <v>32226326</v>
      </c>
      <c r="H441">
        <v>13471662</v>
      </c>
      <c r="I441">
        <v>118775249</v>
      </c>
      <c r="J441">
        <v>248228555</v>
      </c>
      <c r="K441">
        <v>309993589</v>
      </c>
      <c r="L441">
        <v>234744951</v>
      </c>
      <c r="M441">
        <v>135415306</v>
      </c>
      <c r="N441">
        <v>122830410</v>
      </c>
      <c r="O441">
        <v>-87863654</v>
      </c>
      <c r="P441">
        <v>1047</v>
      </c>
      <c r="Q441" t="s">
        <v>928</v>
      </c>
    </row>
    <row r="442" spans="1:17" x14ac:dyDescent="0.3">
      <c r="A442" t="s">
        <v>17</v>
      </c>
      <c r="B442" t="str">
        <f>"600530"</f>
        <v>600530</v>
      </c>
      <c r="C442" t="s">
        <v>929</v>
      </c>
      <c r="D442" t="s">
        <v>123</v>
      </c>
      <c r="F442">
        <v>99794115</v>
      </c>
      <c r="G442">
        <v>59623450</v>
      </c>
      <c r="H442">
        <v>42717898</v>
      </c>
      <c r="I442">
        <v>-68637511</v>
      </c>
      <c r="J442">
        <v>-39065141</v>
      </c>
      <c r="K442">
        <v>11288593</v>
      </c>
      <c r="L442">
        <v>18808637</v>
      </c>
      <c r="M442">
        <v>-32499409</v>
      </c>
      <c r="N442">
        <v>-247520778</v>
      </c>
      <c r="O442">
        <v>16698857</v>
      </c>
      <c r="P442">
        <v>86</v>
      </c>
      <c r="Q442" t="s">
        <v>930</v>
      </c>
    </row>
    <row r="443" spans="1:17" x14ac:dyDescent="0.3">
      <c r="A443" t="s">
        <v>17</v>
      </c>
      <c r="B443" t="str">
        <f>"600531"</f>
        <v>600531</v>
      </c>
      <c r="C443" t="s">
        <v>931</v>
      </c>
      <c r="D443" t="s">
        <v>234</v>
      </c>
      <c r="F443">
        <v>-788329039</v>
      </c>
      <c r="G443">
        <v>-68280945</v>
      </c>
      <c r="H443">
        <v>492897457</v>
      </c>
      <c r="I443">
        <v>528595467</v>
      </c>
      <c r="J443">
        <v>-106189985</v>
      </c>
      <c r="K443">
        <v>-1196217754</v>
      </c>
      <c r="L443">
        <v>1214226680</v>
      </c>
      <c r="M443">
        <v>-283083839</v>
      </c>
      <c r="N443">
        <v>-1697654958</v>
      </c>
      <c r="O443">
        <v>-113094770</v>
      </c>
      <c r="P443">
        <v>148</v>
      </c>
      <c r="Q443" t="s">
        <v>932</v>
      </c>
    </row>
    <row r="444" spans="1:17" x14ac:dyDescent="0.3">
      <c r="A444" t="s">
        <v>17</v>
      </c>
      <c r="B444" t="str">
        <f>"600532"</f>
        <v>600532</v>
      </c>
      <c r="C444" t="s">
        <v>933</v>
      </c>
      <c r="D444" t="s">
        <v>257</v>
      </c>
      <c r="G444">
        <v>679456537</v>
      </c>
      <c r="H444">
        <v>576490766</v>
      </c>
      <c r="I444">
        <v>-748669114</v>
      </c>
      <c r="J444">
        <v>14172141</v>
      </c>
      <c r="K444">
        <v>81087535</v>
      </c>
      <c r="L444">
        <v>-102384845</v>
      </c>
      <c r="M444">
        <v>186541470</v>
      </c>
      <c r="N444">
        <v>-63763421</v>
      </c>
      <c r="O444">
        <v>-13565929</v>
      </c>
      <c r="P444">
        <v>91</v>
      </c>
      <c r="Q444" t="s">
        <v>934</v>
      </c>
    </row>
    <row r="445" spans="1:17" x14ac:dyDescent="0.3">
      <c r="A445" t="s">
        <v>17</v>
      </c>
      <c r="B445" t="str">
        <f>"600533"</f>
        <v>600533</v>
      </c>
      <c r="C445" t="s">
        <v>935</v>
      </c>
      <c r="D445" t="s">
        <v>30</v>
      </c>
      <c r="F445">
        <v>2843761069</v>
      </c>
      <c r="G445">
        <v>-237906640</v>
      </c>
      <c r="H445">
        <v>-2331420938</v>
      </c>
      <c r="I445">
        <v>1961901691</v>
      </c>
      <c r="J445">
        <v>-1367183294</v>
      </c>
      <c r="K445">
        <v>-2334070222</v>
      </c>
      <c r="L445">
        <v>1526655319</v>
      </c>
      <c r="M445">
        <v>959126546</v>
      </c>
      <c r="N445">
        <v>804334751</v>
      </c>
      <c r="O445">
        <v>305941730</v>
      </c>
      <c r="P445">
        <v>199</v>
      </c>
      <c r="Q445" t="s">
        <v>936</v>
      </c>
    </row>
    <row r="446" spans="1:17" x14ac:dyDescent="0.3">
      <c r="A446" t="s">
        <v>17</v>
      </c>
      <c r="B446" t="str">
        <f>"600535"</f>
        <v>600535</v>
      </c>
      <c r="C446" t="s">
        <v>937</v>
      </c>
      <c r="D446" t="s">
        <v>113</v>
      </c>
      <c r="F446">
        <v>2298356406</v>
      </c>
      <c r="G446">
        <v>1388653441</v>
      </c>
      <c r="H446">
        <v>950826213</v>
      </c>
      <c r="I446">
        <v>734245630</v>
      </c>
      <c r="J446">
        <v>-1333029649</v>
      </c>
      <c r="K446">
        <v>633194560</v>
      </c>
      <c r="L446">
        <v>-354887084</v>
      </c>
      <c r="M446">
        <v>-137949617</v>
      </c>
      <c r="N446">
        <v>-260482151</v>
      </c>
      <c r="O446">
        <v>27818979</v>
      </c>
      <c r="P446">
        <v>12549</v>
      </c>
      <c r="Q446" t="s">
        <v>938</v>
      </c>
    </row>
    <row r="447" spans="1:17" x14ac:dyDescent="0.3">
      <c r="A447" t="s">
        <v>17</v>
      </c>
      <c r="B447" t="str">
        <f>"600536"</f>
        <v>600536</v>
      </c>
      <c r="C447" t="s">
        <v>939</v>
      </c>
      <c r="D447" t="s">
        <v>212</v>
      </c>
      <c r="F447">
        <v>579833894</v>
      </c>
      <c r="G447">
        <v>129935166</v>
      </c>
      <c r="H447">
        <v>917553159</v>
      </c>
      <c r="I447">
        <v>67321118</v>
      </c>
      <c r="J447">
        <v>-48466195</v>
      </c>
      <c r="K447">
        <v>-173566474</v>
      </c>
      <c r="L447">
        <v>335817171</v>
      </c>
      <c r="M447">
        <v>63854179</v>
      </c>
      <c r="N447">
        <v>-287064618</v>
      </c>
      <c r="O447">
        <v>-347162516</v>
      </c>
      <c r="P447">
        <v>623</v>
      </c>
      <c r="Q447" t="s">
        <v>940</v>
      </c>
    </row>
    <row r="448" spans="1:17" x14ac:dyDescent="0.3">
      <c r="A448" t="s">
        <v>17</v>
      </c>
      <c r="B448" t="str">
        <f>"600537"</f>
        <v>600537</v>
      </c>
      <c r="C448" t="s">
        <v>941</v>
      </c>
      <c r="D448" t="s">
        <v>188</v>
      </c>
      <c r="F448">
        <v>-771719463</v>
      </c>
      <c r="G448">
        <v>-7622278</v>
      </c>
      <c r="H448">
        <v>-209949052</v>
      </c>
      <c r="I448">
        <v>160253394</v>
      </c>
      <c r="J448">
        <v>-3204130</v>
      </c>
      <c r="K448">
        <v>792469314</v>
      </c>
      <c r="L448">
        <v>101374267</v>
      </c>
      <c r="M448">
        <v>-70946482</v>
      </c>
      <c r="N448">
        <v>609465096</v>
      </c>
      <c r="O448">
        <v>-468302085</v>
      </c>
      <c r="P448">
        <v>147</v>
      </c>
      <c r="Q448" t="s">
        <v>942</v>
      </c>
    </row>
    <row r="449" spans="1:17" x14ac:dyDescent="0.3">
      <c r="A449" t="s">
        <v>17</v>
      </c>
      <c r="B449" t="str">
        <f>"600538"</f>
        <v>600538</v>
      </c>
      <c r="C449" t="s">
        <v>943</v>
      </c>
      <c r="D449" t="s">
        <v>113</v>
      </c>
      <c r="F449">
        <v>-23579865</v>
      </c>
      <c r="G449">
        <v>25452185</v>
      </c>
      <c r="H449">
        <v>1437192</v>
      </c>
      <c r="I449">
        <v>-59776108</v>
      </c>
      <c r="J449">
        <v>22125446</v>
      </c>
      <c r="K449">
        <v>-30202087</v>
      </c>
      <c r="L449">
        <v>-30169493</v>
      </c>
      <c r="M449">
        <v>-70983598</v>
      </c>
      <c r="N449">
        <v>-989612</v>
      </c>
      <c r="O449">
        <v>-31063411</v>
      </c>
      <c r="P449">
        <v>69</v>
      </c>
      <c r="Q449" t="s">
        <v>944</v>
      </c>
    </row>
    <row r="450" spans="1:17" x14ac:dyDescent="0.3">
      <c r="A450" t="s">
        <v>17</v>
      </c>
      <c r="B450" t="str">
        <f>"600539"</f>
        <v>600539</v>
      </c>
      <c r="C450" t="s">
        <v>945</v>
      </c>
      <c r="D450" t="s">
        <v>103</v>
      </c>
      <c r="F450">
        <v>-20916450</v>
      </c>
      <c r="G450">
        <v>32075494</v>
      </c>
      <c r="H450">
        <v>2040348</v>
      </c>
      <c r="I450">
        <v>7572183</v>
      </c>
      <c r="J450">
        <v>-3764693</v>
      </c>
      <c r="K450">
        <v>-2043718</v>
      </c>
      <c r="L450">
        <v>31133908</v>
      </c>
      <c r="M450">
        <v>-222372091</v>
      </c>
      <c r="N450">
        <v>-342364408</v>
      </c>
      <c r="O450">
        <v>-187818853</v>
      </c>
      <c r="P450">
        <v>51</v>
      </c>
      <c r="Q450" t="s">
        <v>946</v>
      </c>
    </row>
    <row r="451" spans="1:17" x14ac:dyDescent="0.3">
      <c r="A451" t="s">
        <v>17</v>
      </c>
      <c r="B451" t="str">
        <f>"600540"</f>
        <v>600540</v>
      </c>
      <c r="C451" t="s">
        <v>947</v>
      </c>
      <c r="D451" t="s">
        <v>205</v>
      </c>
      <c r="F451">
        <v>-676887825</v>
      </c>
      <c r="G451">
        <v>-240130872</v>
      </c>
      <c r="H451">
        <v>79196532</v>
      </c>
      <c r="I451">
        <v>9440827</v>
      </c>
      <c r="J451">
        <v>-215659176</v>
      </c>
      <c r="K451">
        <v>33152399</v>
      </c>
      <c r="L451">
        <v>-64469806</v>
      </c>
      <c r="M451">
        <v>-19810336</v>
      </c>
      <c r="N451">
        <v>-288879080</v>
      </c>
      <c r="O451">
        <v>492800310</v>
      </c>
      <c r="P451">
        <v>97</v>
      </c>
      <c r="Q451" t="s">
        <v>948</v>
      </c>
    </row>
    <row r="452" spans="1:17" x14ac:dyDescent="0.3">
      <c r="A452" t="s">
        <v>17</v>
      </c>
      <c r="B452" t="str">
        <f>"600543"</f>
        <v>600543</v>
      </c>
      <c r="C452" t="s">
        <v>949</v>
      </c>
      <c r="D452" t="s">
        <v>123</v>
      </c>
      <c r="F452">
        <v>-5673708</v>
      </c>
      <c r="G452">
        <v>-90910003</v>
      </c>
      <c r="H452">
        <v>2477985</v>
      </c>
      <c r="I452">
        <v>-3342709</v>
      </c>
      <c r="J452">
        <v>-162817588</v>
      </c>
      <c r="K452">
        <v>-22764534</v>
      </c>
      <c r="L452">
        <v>-84472143</v>
      </c>
      <c r="M452">
        <v>-17079108</v>
      </c>
      <c r="N452">
        <v>28389388</v>
      </c>
      <c r="O452">
        <v>15450861</v>
      </c>
      <c r="P452">
        <v>150</v>
      </c>
      <c r="Q452" t="s">
        <v>950</v>
      </c>
    </row>
    <row r="453" spans="1:17" x14ac:dyDescent="0.3">
      <c r="A453" t="s">
        <v>17</v>
      </c>
      <c r="B453" t="str">
        <f>"600545"</f>
        <v>600545</v>
      </c>
      <c r="C453" t="s">
        <v>951</v>
      </c>
      <c r="D453" t="s">
        <v>78</v>
      </c>
      <c r="F453">
        <v>-17515000</v>
      </c>
      <c r="G453">
        <v>-1415970000</v>
      </c>
      <c r="H453">
        <v>-642738000</v>
      </c>
      <c r="I453">
        <v>-1724216000</v>
      </c>
      <c r="J453">
        <v>280596000</v>
      </c>
      <c r="K453">
        <v>-243186887</v>
      </c>
      <c r="L453">
        <v>-38962487</v>
      </c>
      <c r="M453">
        <v>126729570</v>
      </c>
      <c r="N453">
        <v>66937957</v>
      </c>
      <c r="O453">
        <v>-174064516</v>
      </c>
      <c r="P453">
        <v>134</v>
      </c>
      <c r="Q453" t="s">
        <v>952</v>
      </c>
    </row>
    <row r="454" spans="1:17" x14ac:dyDescent="0.3">
      <c r="A454" t="s">
        <v>17</v>
      </c>
      <c r="B454" t="str">
        <f>"600546"</f>
        <v>600546</v>
      </c>
      <c r="C454" t="s">
        <v>953</v>
      </c>
      <c r="D454" t="s">
        <v>257</v>
      </c>
      <c r="F454">
        <v>15594632038</v>
      </c>
      <c r="G454">
        <v>3615394005</v>
      </c>
      <c r="H454">
        <v>2543923632</v>
      </c>
      <c r="I454">
        <v>3281452925</v>
      </c>
      <c r="J454">
        <v>5140858973</v>
      </c>
      <c r="K454">
        <v>3549463671</v>
      </c>
      <c r="L454">
        <v>-224892485</v>
      </c>
      <c r="M454">
        <v>-161870148</v>
      </c>
      <c r="N454">
        <v>-1297731285</v>
      </c>
      <c r="O454">
        <v>-4135511434</v>
      </c>
      <c r="P454">
        <v>357</v>
      </c>
      <c r="Q454" t="s">
        <v>954</v>
      </c>
    </row>
    <row r="455" spans="1:17" x14ac:dyDescent="0.3">
      <c r="A455" t="s">
        <v>17</v>
      </c>
      <c r="B455" t="str">
        <f>"600547"</f>
        <v>600547</v>
      </c>
      <c r="C455" t="s">
        <v>955</v>
      </c>
      <c r="D455" t="s">
        <v>234</v>
      </c>
      <c r="F455">
        <v>-1581546356</v>
      </c>
      <c r="G455">
        <v>1044098725</v>
      </c>
      <c r="H455">
        <v>6051141</v>
      </c>
      <c r="I455">
        <v>-699264213</v>
      </c>
      <c r="J455">
        <v>-97984764</v>
      </c>
      <c r="K455">
        <v>760878791</v>
      </c>
      <c r="L455">
        <v>701203987</v>
      </c>
      <c r="M455">
        <v>563578379</v>
      </c>
      <c r="N455">
        <v>450979261</v>
      </c>
      <c r="O455">
        <v>-249337629</v>
      </c>
      <c r="P455">
        <v>942</v>
      </c>
      <c r="Q455" t="s">
        <v>956</v>
      </c>
    </row>
    <row r="456" spans="1:17" x14ac:dyDescent="0.3">
      <c r="A456" t="s">
        <v>17</v>
      </c>
      <c r="B456" t="str">
        <f>"600548"</f>
        <v>600548</v>
      </c>
      <c r="C456" t="s">
        <v>957</v>
      </c>
      <c r="D456" t="s">
        <v>22</v>
      </c>
      <c r="F456">
        <v>166837201</v>
      </c>
      <c r="G456">
        <v>-1382014967</v>
      </c>
      <c r="H456">
        <v>1074386396</v>
      </c>
      <c r="I456">
        <v>2220381655</v>
      </c>
      <c r="J456">
        <v>1753844335</v>
      </c>
      <c r="K456">
        <v>1744606430</v>
      </c>
      <c r="L456">
        <v>3215311247</v>
      </c>
      <c r="M456">
        <v>2207321295</v>
      </c>
      <c r="N456">
        <v>1157960889</v>
      </c>
      <c r="O456">
        <v>985204959</v>
      </c>
      <c r="P456">
        <v>793</v>
      </c>
      <c r="Q456" t="s">
        <v>958</v>
      </c>
    </row>
    <row r="457" spans="1:17" x14ac:dyDescent="0.3">
      <c r="A457" t="s">
        <v>17</v>
      </c>
      <c r="B457" t="str">
        <f>"600549"</f>
        <v>600549</v>
      </c>
      <c r="C457" t="s">
        <v>959</v>
      </c>
      <c r="D457" t="s">
        <v>234</v>
      </c>
      <c r="F457">
        <v>-315722805</v>
      </c>
      <c r="G457">
        <v>721292984</v>
      </c>
      <c r="H457">
        <v>340870185</v>
      </c>
      <c r="I457">
        <v>-986815853</v>
      </c>
      <c r="J457">
        <v>-1675301763</v>
      </c>
      <c r="K457">
        <v>890816547</v>
      </c>
      <c r="L457">
        <v>-1848563910</v>
      </c>
      <c r="M457">
        <v>-773619533</v>
      </c>
      <c r="N457">
        <v>1909383259</v>
      </c>
      <c r="O457">
        <v>837993273</v>
      </c>
      <c r="P457">
        <v>446</v>
      </c>
      <c r="Q457" t="s">
        <v>960</v>
      </c>
    </row>
    <row r="458" spans="1:17" x14ac:dyDescent="0.3">
      <c r="A458" t="s">
        <v>17</v>
      </c>
      <c r="B458" t="str">
        <f>"600550"</f>
        <v>600550</v>
      </c>
      <c r="C458" t="s">
        <v>961</v>
      </c>
      <c r="D458" t="s">
        <v>188</v>
      </c>
      <c r="F458">
        <v>264687183</v>
      </c>
      <c r="G458">
        <v>679585657</v>
      </c>
      <c r="H458">
        <v>195384016</v>
      </c>
      <c r="I458">
        <v>459838526</v>
      </c>
      <c r="J458">
        <v>225833817</v>
      </c>
      <c r="K458">
        <v>398212789</v>
      </c>
      <c r="L458">
        <v>267120160</v>
      </c>
      <c r="M458">
        <v>594368856</v>
      </c>
      <c r="N458">
        <v>583254569</v>
      </c>
      <c r="O458">
        <v>2494538</v>
      </c>
      <c r="P458">
        <v>183</v>
      </c>
      <c r="Q458" t="s">
        <v>962</v>
      </c>
    </row>
    <row r="459" spans="1:17" x14ac:dyDescent="0.3">
      <c r="A459" t="s">
        <v>17</v>
      </c>
      <c r="B459" t="str">
        <f>"600551"</f>
        <v>600551</v>
      </c>
      <c r="C459" t="s">
        <v>963</v>
      </c>
      <c r="D459" t="s">
        <v>89</v>
      </c>
      <c r="F459">
        <v>276213690</v>
      </c>
      <c r="G459">
        <v>439989873</v>
      </c>
      <c r="H459">
        <v>406236886</v>
      </c>
      <c r="I459">
        <v>248929188</v>
      </c>
      <c r="J459">
        <v>-175447303</v>
      </c>
      <c r="K459">
        <v>218217468</v>
      </c>
      <c r="L459">
        <v>387484282</v>
      </c>
      <c r="M459">
        <v>319080373</v>
      </c>
      <c r="N459">
        <v>118331718</v>
      </c>
      <c r="O459">
        <v>282325629</v>
      </c>
      <c r="P459">
        <v>134</v>
      </c>
      <c r="Q459" t="s">
        <v>964</v>
      </c>
    </row>
    <row r="460" spans="1:17" x14ac:dyDescent="0.3">
      <c r="A460" t="s">
        <v>17</v>
      </c>
      <c r="B460" t="str">
        <f>"600552"</f>
        <v>600552</v>
      </c>
      <c r="C460" t="s">
        <v>965</v>
      </c>
      <c r="D460" t="s">
        <v>150</v>
      </c>
      <c r="F460">
        <v>271555168</v>
      </c>
      <c r="G460">
        <v>-273175748</v>
      </c>
      <c r="H460">
        <v>-243863875</v>
      </c>
      <c r="I460">
        <v>-135423182</v>
      </c>
      <c r="J460">
        <v>-217283894</v>
      </c>
      <c r="K460">
        <v>-198723801</v>
      </c>
      <c r="L460">
        <v>-252891254</v>
      </c>
      <c r="M460">
        <v>-402777471</v>
      </c>
      <c r="N460">
        <v>-276196577</v>
      </c>
      <c r="O460">
        <v>44546949</v>
      </c>
      <c r="P460">
        <v>170</v>
      </c>
      <c r="Q460" t="s">
        <v>966</v>
      </c>
    </row>
    <row r="461" spans="1:17" x14ac:dyDescent="0.3">
      <c r="A461" t="s">
        <v>17</v>
      </c>
      <c r="B461" t="str">
        <f>"600555"</f>
        <v>600555</v>
      </c>
      <c r="C461" t="s">
        <v>967</v>
      </c>
      <c r="D461" t="s">
        <v>110</v>
      </c>
      <c r="F461">
        <v>29073443</v>
      </c>
      <c r="G461">
        <v>-31084269</v>
      </c>
      <c r="H461">
        <v>-48965027</v>
      </c>
      <c r="I461">
        <v>-187984063</v>
      </c>
      <c r="J461">
        <v>112028390</v>
      </c>
      <c r="K461">
        <v>-106965558</v>
      </c>
      <c r="L461">
        <v>-175845578</v>
      </c>
      <c r="M461">
        <v>-205897507</v>
      </c>
      <c r="N461">
        <v>173650034</v>
      </c>
      <c r="O461">
        <v>-240751817</v>
      </c>
      <c r="P461">
        <v>76</v>
      </c>
      <c r="Q461" t="s">
        <v>968</v>
      </c>
    </row>
    <row r="462" spans="1:17" x14ac:dyDescent="0.3">
      <c r="A462" t="s">
        <v>17</v>
      </c>
      <c r="B462" t="str">
        <f>"600556"</f>
        <v>600556</v>
      </c>
      <c r="C462" t="s">
        <v>969</v>
      </c>
      <c r="D462" t="s">
        <v>89</v>
      </c>
      <c r="F462">
        <v>-581172577</v>
      </c>
      <c r="G462">
        <v>-331349053</v>
      </c>
      <c r="H462">
        <v>-143758628</v>
      </c>
      <c r="I462">
        <v>-31613146</v>
      </c>
      <c r="J462">
        <v>47942959</v>
      </c>
      <c r="K462">
        <v>-4246015</v>
      </c>
      <c r="L462">
        <v>-93392344</v>
      </c>
      <c r="M462">
        <v>-2699411</v>
      </c>
      <c r="N462">
        <v>7539258</v>
      </c>
      <c r="O462">
        <v>7896781</v>
      </c>
      <c r="P462">
        <v>219</v>
      </c>
      <c r="Q462" t="s">
        <v>970</v>
      </c>
    </row>
    <row r="463" spans="1:17" x14ac:dyDescent="0.3">
      <c r="A463" t="s">
        <v>17</v>
      </c>
      <c r="B463" t="str">
        <f>"600557"</f>
        <v>600557</v>
      </c>
      <c r="C463" t="s">
        <v>971</v>
      </c>
      <c r="D463" t="s">
        <v>113</v>
      </c>
      <c r="F463">
        <v>765998818</v>
      </c>
      <c r="G463">
        <v>511183804</v>
      </c>
      <c r="H463">
        <v>476755631</v>
      </c>
      <c r="I463">
        <v>321828462</v>
      </c>
      <c r="J463">
        <v>122201899</v>
      </c>
      <c r="K463">
        <v>-16907585</v>
      </c>
      <c r="L463">
        <v>143117126</v>
      </c>
      <c r="M463">
        <v>4126794</v>
      </c>
      <c r="N463">
        <v>57425507</v>
      </c>
      <c r="O463">
        <v>-8719109</v>
      </c>
      <c r="P463">
        <v>429</v>
      </c>
      <c r="Q463" t="s">
        <v>972</v>
      </c>
    </row>
    <row r="464" spans="1:17" x14ac:dyDescent="0.3">
      <c r="A464" t="s">
        <v>17</v>
      </c>
      <c r="B464" t="str">
        <f>"600558"</f>
        <v>600558</v>
      </c>
      <c r="C464" t="s">
        <v>973</v>
      </c>
      <c r="D464" t="s">
        <v>78</v>
      </c>
      <c r="F464">
        <v>56151321</v>
      </c>
      <c r="G464">
        <v>58671293</v>
      </c>
      <c r="H464">
        <v>84596568</v>
      </c>
      <c r="I464">
        <v>57075565</v>
      </c>
      <c r="J464">
        <v>-114713386</v>
      </c>
      <c r="K464">
        <v>-45820777</v>
      </c>
      <c r="L464">
        <v>-69829981</v>
      </c>
      <c r="M464">
        <v>-92845581</v>
      </c>
      <c r="N464">
        <v>-80458012</v>
      </c>
      <c r="O464">
        <v>75306379</v>
      </c>
      <c r="P464">
        <v>72</v>
      </c>
      <c r="Q464" t="s">
        <v>974</v>
      </c>
    </row>
    <row r="465" spans="1:17" x14ac:dyDescent="0.3">
      <c r="A465" t="s">
        <v>17</v>
      </c>
      <c r="B465" t="str">
        <f>"600559"</f>
        <v>600559</v>
      </c>
      <c r="C465" t="s">
        <v>975</v>
      </c>
      <c r="D465" t="s">
        <v>123</v>
      </c>
      <c r="F465">
        <v>640151930</v>
      </c>
      <c r="G465">
        <v>200989773</v>
      </c>
      <c r="H465">
        <v>109447641</v>
      </c>
      <c r="I465">
        <v>343947215</v>
      </c>
      <c r="J465">
        <v>-200126611</v>
      </c>
      <c r="K465">
        <v>747009978</v>
      </c>
      <c r="L465">
        <v>296139011</v>
      </c>
      <c r="M465">
        <v>-70082647</v>
      </c>
      <c r="N465">
        <v>-111831834</v>
      </c>
      <c r="O465">
        <v>-143001844</v>
      </c>
      <c r="P465">
        <v>881</v>
      </c>
      <c r="Q465" t="s">
        <v>976</v>
      </c>
    </row>
    <row r="466" spans="1:17" x14ac:dyDescent="0.3">
      <c r="A466" t="s">
        <v>17</v>
      </c>
      <c r="B466" t="str">
        <f>"600560"</f>
        <v>600560</v>
      </c>
      <c r="C466" t="s">
        <v>977</v>
      </c>
      <c r="D466" t="s">
        <v>78</v>
      </c>
      <c r="F466">
        <v>98459401</v>
      </c>
      <c r="G466">
        <v>-70561790</v>
      </c>
      <c r="H466">
        <v>-4930476</v>
      </c>
      <c r="I466">
        <v>32461543</v>
      </c>
      <c r="J466">
        <v>-32757696</v>
      </c>
      <c r="K466">
        <v>-70687306</v>
      </c>
      <c r="L466">
        <v>13994496</v>
      </c>
      <c r="M466">
        <v>-170404674</v>
      </c>
      <c r="N466">
        <v>86719774</v>
      </c>
      <c r="O466">
        <v>175138114</v>
      </c>
      <c r="P466">
        <v>78</v>
      </c>
      <c r="Q466" t="s">
        <v>978</v>
      </c>
    </row>
    <row r="467" spans="1:17" x14ac:dyDescent="0.3">
      <c r="A467" t="s">
        <v>17</v>
      </c>
      <c r="B467" t="str">
        <f>"600561"</f>
        <v>600561</v>
      </c>
      <c r="C467" t="s">
        <v>979</v>
      </c>
      <c r="D467" t="s">
        <v>22</v>
      </c>
      <c r="F467">
        <v>146310190</v>
      </c>
      <c r="G467">
        <v>-179117450</v>
      </c>
      <c r="H467">
        <v>74992145</v>
      </c>
      <c r="I467">
        <v>71187270</v>
      </c>
      <c r="J467">
        <v>205098551</v>
      </c>
      <c r="K467">
        <v>40650251</v>
      </c>
      <c r="L467">
        <v>-442491708</v>
      </c>
      <c r="M467">
        <v>-7616862</v>
      </c>
      <c r="N467">
        <v>-11692245</v>
      </c>
      <c r="O467">
        <v>-237992038</v>
      </c>
      <c r="P467">
        <v>59</v>
      </c>
      <c r="Q467" t="s">
        <v>980</v>
      </c>
    </row>
    <row r="468" spans="1:17" x14ac:dyDescent="0.3">
      <c r="A468" t="s">
        <v>17</v>
      </c>
      <c r="B468" t="str">
        <f>"600562"</f>
        <v>600562</v>
      </c>
      <c r="C468" t="s">
        <v>981</v>
      </c>
      <c r="D468" t="s">
        <v>92</v>
      </c>
      <c r="F468">
        <v>64244369</v>
      </c>
      <c r="G468">
        <v>358474252</v>
      </c>
      <c r="H468">
        <v>-55421998</v>
      </c>
      <c r="I468">
        <v>115031111</v>
      </c>
      <c r="J468">
        <v>221799939</v>
      </c>
      <c r="K468">
        <v>-87114310</v>
      </c>
      <c r="L468">
        <v>-40381508</v>
      </c>
      <c r="M468">
        <v>-4258835</v>
      </c>
      <c r="N468">
        <v>62833189</v>
      </c>
      <c r="O468">
        <v>1297696</v>
      </c>
      <c r="P468">
        <v>283</v>
      </c>
      <c r="Q468" t="s">
        <v>982</v>
      </c>
    </row>
    <row r="469" spans="1:17" x14ac:dyDescent="0.3">
      <c r="A469" t="s">
        <v>17</v>
      </c>
      <c r="B469" t="str">
        <f>"600563"</f>
        <v>600563</v>
      </c>
      <c r="C469" t="s">
        <v>983</v>
      </c>
      <c r="D469" t="s">
        <v>150</v>
      </c>
      <c r="F469">
        <v>605744942</v>
      </c>
      <c r="G469">
        <v>223332751</v>
      </c>
      <c r="H469">
        <v>523921118</v>
      </c>
      <c r="I469">
        <v>454986261</v>
      </c>
      <c r="J469">
        <v>263452347</v>
      </c>
      <c r="K469">
        <v>355804016</v>
      </c>
      <c r="L469">
        <v>212027242</v>
      </c>
      <c r="M469">
        <v>190547680</v>
      </c>
      <c r="N469">
        <v>251818070</v>
      </c>
      <c r="O469">
        <v>287601976</v>
      </c>
      <c r="P469">
        <v>21659</v>
      </c>
      <c r="Q469" t="s">
        <v>984</v>
      </c>
    </row>
    <row r="470" spans="1:17" x14ac:dyDescent="0.3">
      <c r="A470" t="s">
        <v>17</v>
      </c>
      <c r="B470" t="str">
        <f>"600565"</f>
        <v>600565</v>
      </c>
      <c r="C470" t="s">
        <v>985</v>
      </c>
      <c r="D470" t="s">
        <v>30</v>
      </c>
      <c r="F470">
        <v>-2479257861</v>
      </c>
      <c r="G470">
        <v>2155943428</v>
      </c>
      <c r="H470">
        <v>421442735</v>
      </c>
      <c r="I470">
        <v>6812407794</v>
      </c>
      <c r="J470">
        <v>1485276893</v>
      </c>
      <c r="K470">
        <v>1231375994</v>
      </c>
      <c r="L470">
        <v>148345909</v>
      </c>
      <c r="M470">
        <v>-634017674</v>
      </c>
      <c r="N470">
        <v>-1148562075</v>
      </c>
      <c r="O470">
        <v>768188501</v>
      </c>
      <c r="P470">
        <v>468</v>
      </c>
      <c r="Q470" t="s">
        <v>986</v>
      </c>
    </row>
    <row r="471" spans="1:17" x14ac:dyDescent="0.3">
      <c r="A471" t="s">
        <v>17</v>
      </c>
      <c r="B471" t="str">
        <f>"600566"</f>
        <v>600566</v>
      </c>
      <c r="C471" t="s">
        <v>987</v>
      </c>
      <c r="D471" t="s">
        <v>113</v>
      </c>
      <c r="F471">
        <v>1646807252</v>
      </c>
      <c r="G471">
        <v>1353604737</v>
      </c>
      <c r="H471">
        <v>1601914513</v>
      </c>
      <c r="I471">
        <v>1055099769</v>
      </c>
      <c r="J471">
        <v>443496237</v>
      </c>
      <c r="K471">
        <v>595934429</v>
      </c>
      <c r="L471">
        <v>249858742</v>
      </c>
      <c r="M471">
        <v>314995033</v>
      </c>
      <c r="N471">
        <v>18280701</v>
      </c>
      <c r="O471">
        <v>-17398408</v>
      </c>
      <c r="P471">
        <v>13805</v>
      </c>
      <c r="Q471" t="s">
        <v>988</v>
      </c>
    </row>
    <row r="472" spans="1:17" x14ac:dyDescent="0.3">
      <c r="A472" t="s">
        <v>17</v>
      </c>
      <c r="B472" t="str">
        <f>"600567"</f>
        <v>600567</v>
      </c>
      <c r="C472" t="s">
        <v>989</v>
      </c>
      <c r="D472" t="s">
        <v>161</v>
      </c>
      <c r="F472">
        <v>-2468081788</v>
      </c>
      <c r="G472">
        <v>-2212055018</v>
      </c>
      <c r="H472">
        <v>-1732504640</v>
      </c>
      <c r="I472">
        <v>1569743514</v>
      </c>
      <c r="J472">
        <v>1992522855</v>
      </c>
      <c r="K472">
        <v>-76497860</v>
      </c>
      <c r="L472">
        <v>1040300096</v>
      </c>
      <c r="M472">
        <v>119408130</v>
      </c>
      <c r="N472">
        <v>413458090</v>
      </c>
      <c r="O472">
        <v>-641432669</v>
      </c>
      <c r="P472">
        <v>593</v>
      </c>
      <c r="Q472" t="s">
        <v>990</v>
      </c>
    </row>
    <row r="473" spans="1:17" x14ac:dyDescent="0.3">
      <c r="A473" t="s">
        <v>17</v>
      </c>
      <c r="B473" t="str">
        <f>"600568"</f>
        <v>600568</v>
      </c>
      <c r="C473" t="s">
        <v>991</v>
      </c>
      <c r="D473" t="s">
        <v>113</v>
      </c>
      <c r="F473">
        <v>31270078</v>
      </c>
      <c r="G473">
        <v>158358539</v>
      </c>
      <c r="H473">
        <v>-127070248</v>
      </c>
      <c r="I473">
        <v>-403811798</v>
      </c>
      <c r="J473">
        <v>-413882187</v>
      </c>
      <c r="K473">
        <v>193264028</v>
      </c>
      <c r="L473">
        <v>112873843</v>
      </c>
      <c r="M473">
        <v>-70274227</v>
      </c>
      <c r="N473">
        <v>-88963214</v>
      </c>
      <c r="O473">
        <v>-54658927</v>
      </c>
      <c r="P473">
        <v>98</v>
      </c>
      <c r="Q473" t="s">
        <v>992</v>
      </c>
    </row>
    <row r="474" spans="1:17" x14ac:dyDescent="0.3">
      <c r="A474" t="s">
        <v>17</v>
      </c>
      <c r="B474" t="str">
        <f>"600569"</f>
        <v>600569</v>
      </c>
      <c r="C474" t="s">
        <v>993</v>
      </c>
      <c r="D474" t="s">
        <v>38</v>
      </c>
      <c r="F474">
        <v>956232809</v>
      </c>
      <c r="G474">
        <v>524970</v>
      </c>
      <c r="H474">
        <v>173496932</v>
      </c>
      <c r="I474">
        <v>4056884469</v>
      </c>
      <c r="J474">
        <v>2875481346</v>
      </c>
      <c r="K474">
        <v>803554118</v>
      </c>
      <c r="L474">
        <v>856554938</v>
      </c>
      <c r="M474">
        <v>4055556967</v>
      </c>
      <c r="N474">
        <v>2371737176</v>
      </c>
      <c r="O474">
        <v>-169697388</v>
      </c>
      <c r="P474">
        <v>328</v>
      </c>
      <c r="Q474" t="s">
        <v>994</v>
      </c>
    </row>
    <row r="475" spans="1:17" x14ac:dyDescent="0.3">
      <c r="A475" t="s">
        <v>17</v>
      </c>
      <c r="B475" t="str">
        <f>"600570"</f>
        <v>600570</v>
      </c>
      <c r="C475" t="s">
        <v>995</v>
      </c>
      <c r="D475" t="s">
        <v>212</v>
      </c>
      <c r="F475">
        <v>272998361</v>
      </c>
      <c r="G475">
        <v>916590172</v>
      </c>
      <c r="H475">
        <v>704066765</v>
      </c>
      <c r="I475">
        <v>791259981</v>
      </c>
      <c r="J475">
        <v>708791601</v>
      </c>
      <c r="K475">
        <v>267607377</v>
      </c>
      <c r="L475">
        <v>880601452</v>
      </c>
      <c r="M475">
        <v>516953717</v>
      </c>
      <c r="N475">
        <v>332113450</v>
      </c>
      <c r="O475">
        <v>318363867</v>
      </c>
      <c r="P475">
        <v>2780</v>
      </c>
      <c r="Q475" t="s">
        <v>996</v>
      </c>
    </row>
    <row r="476" spans="1:17" x14ac:dyDescent="0.3">
      <c r="A476" t="s">
        <v>17</v>
      </c>
      <c r="B476" t="str">
        <f>"600571"</f>
        <v>600571</v>
      </c>
      <c r="C476" t="s">
        <v>997</v>
      </c>
      <c r="D476" t="s">
        <v>212</v>
      </c>
      <c r="F476">
        <v>-31074752</v>
      </c>
      <c r="G476">
        <v>81052241</v>
      </c>
      <c r="H476">
        <v>21537548</v>
      </c>
      <c r="I476">
        <v>53580820</v>
      </c>
      <c r="J476">
        <v>12604920</v>
      </c>
      <c r="K476">
        <v>120937552</v>
      </c>
      <c r="L476">
        <v>76409994</v>
      </c>
      <c r="M476">
        <v>233206994</v>
      </c>
      <c r="N476">
        <v>-19033045</v>
      </c>
      <c r="O476">
        <v>98560056</v>
      </c>
      <c r="P476">
        <v>155</v>
      </c>
      <c r="Q476" t="s">
        <v>998</v>
      </c>
    </row>
    <row r="477" spans="1:17" x14ac:dyDescent="0.3">
      <c r="A477" t="s">
        <v>17</v>
      </c>
      <c r="B477" t="str">
        <f>"600572"</f>
        <v>600572</v>
      </c>
      <c r="C477" t="s">
        <v>999</v>
      </c>
      <c r="D477" t="s">
        <v>113</v>
      </c>
      <c r="F477">
        <v>342588720</v>
      </c>
      <c r="G477">
        <v>802807402</v>
      </c>
      <c r="H477">
        <v>682264748</v>
      </c>
      <c r="I477">
        <v>185922661</v>
      </c>
      <c r="J477">
        <v>425229865</v>
      </c>
      <c r="K477">
        <v>738351867</v>
      </c>
      <c r="L477">
        <v>565727579</v>
      </c>
      <c r="M477">
        <v>225199937</v>
      </c>
      <c r="N477">
        <v>-187389369</v>
      </c>
      <c r="O477">
        <v>31529081</v>
      </c>
      <c r="P477">
        <v>467</v>
      </c>
      <c r="Q477" t="s">
        <v>1000</v>
      </c>
    </row>
    <row r="478" spans="1:17" x14ac:dyDescent="0.3">
      <c r="A478" t="s">
        <v>17</v>
      </c>
      <c r="B478" t="str">
        <f>"600573"</f>
        <v>600573</v>
      </c>
      <c r="C478" t="s">
        <v>1001</v>
      </c>
      <c r="D478" t="s">
        <v>123</v>
      </c>
      <c r="F478">
        <v>53456675</v>
      </c>
      <c r="G478">
        <v>76415907</v>
      </c>
      <c r="H478">
        <v>28669176</v>
      </c>
      <c r="I478">
        <v>-2148047</v>
      </c>
      <c r="J478">
        <v>146281115</v>
      </c>
      <c r="K478">
        <v>27399040</v>
      </c>
      <c r="L478">
        <v>34678476</v>
      </c>
      <c r="M478">
        <v>60047086</v>
      </c>
      <c r="N478">
        <v>36472696</v>
      </c>
      <c r="O478">
        <v>-21553263</v>
      </c>
      <c r="P478">
        <v>191</v>
      </c>
      <c r="Q478" t="s">
        <v>1002</v>
      </c>
    </row>
    <row r="479" spans="1:17" x14ac:dyDescent="0.3">
      <c r="A479" t="s">
        <v>17</v>
      </c>
      <c r="B479" t="str">
        <f>"600575"</f>
        <v>600575</v>
      </c>
      <c r="C479" t="s">
        <v>1003</v>
      </c>
      <c r="D479" t="s">
        <v>22</v>
      </c>
      <c r="F479">
        <v>1010779308</v>
      </c>
      <c r="G479">
        <v>656566618</v>
      </c>
      <c r="H479">
        <v>579307528</v>
      </c>
      <c r="I479">
        <v>830624437</v>
      </c>
      <c r="J479">
        <v>723260462</v>
      </c>
      <c r="K479">
        <v>1106189850</v>
      </c>
      <c r="L479">
        <v>66739262</v>
      </c>
      <c r="M479">
        <v>-694809187</v>
      </c>
      <c r="N479">
        <v>133769832</v>
      </c>
      <c r="O479">
        <v>-3859340652</v>
      </c>
      <c r="P479">
        <v>118</v>
      </c>
      <c r="Q479" t="s">
        <v>1004</v>
      </c>
    </row>
    <row r="480" spans="1:17" x14ac:dyDescent="0.3">
      <c r="A480" t="s">
        <v>17</v>
      </c>
      <c r="B480" t="str">
        <f>"600576"</f>
        <v>600576</v>
      </c>
      <c r="C480" t="s">
        <v>1005</v>
      </c>
      <c r="D480" t="s">
        <v>89</v>
      </c>
      <c r="F480">
        <v>50666531</v>
      </c>
      <c r="G480">
        <v>221209544</v>
      </c>
      <c r="H480">
        <v>-223175522</v>
      </c>
      <c r="I480">
        <v>-248273097</v>
      </c>
      <c r="J480">
        <v>55022782</v>
      </c>
      <c r="K480">
        <v>-27605454</v>
      </c>
      <c r="L480">
        <v>-8103439</v>
      </c>
      <c r="M480">
        <v>-11689487</v>
      </c>
      <c r="N480">
        <v>-18720772</v>
      </c>
      <c r="O480">
        <v>-61887773</v>
      </c>
      <c r="P480">
        <v>85</v>
      </c>
      <c r="Q480" t="s">
        <v>1006</v>
      </c>
    </row>
    <row r="481" spans="1:17" x14ac:dyDescent="0.3">
      <c r="A481" t="s">
        <v>17</v>
      </c>
      <c r="B481" t="str">
        <f>"600577"</f>
        <v>600577</v>
      </c>
      <c r="C481" t="s">
        <v>1007</v>
      </c>
      <c r="D481" t="s">
        <v>188</v>
      </c>
      <c r="F481">
        <v>-900165674</v>
      </c>
      <c r="G481">
        <v>303376515</v>
      </c>
      <c r="H481">
        <v>390785670</v>
      </c>
      <c r="I481">
        <v>498585900</v>
      </c>
      <c r="J481">
        <v>-518938211</v>
      </c>
      <c r="K481">
        <v>151111896</v>
      </c>
      <c r="L481">
        <v>719474545</v>
      </c>
      <c r="M481">
        <v>891839894</v>
      </c>
      <c r="N481">
        <v>-274626513</v>
      </c>
      <c r="O481">
        <v>647561202</v>
      </c>
      <c r="P481">
        <v>248</v>
      </c>
      <c r="Q481" t="s">
        <v>1008</v>
      </c>
    </row>
    <row r="482" spans="1:17" x14ac:dyDescent="0.3">
      <c r="A482" t="s">
        <v>17</v>
      </c>
      <c r="B482" t="str">
        <f>"600578"</f>
        <v>600578</v>
      </c>
      <c r="C482" t="s">
        <v>1009</v>
      </c>
      <c r="D482" t="s">
        <v>41</v>
      </c>
      <c r="F482">
        <v>-4084218880</v>
      </c>
      <c r="G482">
        <v>-226686908</v>
      </c>
      <c r="H482">
        <v>-2279949319</v>
      </c>
      <c r="I482">
        <v>-3208502801</v>
      </c>
      <c r="J482">
        <v>-3705134774</v>
      </c>
      <c r="K482">
        <v>-1163449194</v>
      </c>
      <c r="L482">
        <v>2444842578</v>
      </c>
      <c r="M482">
        <v>3501580272</v>
      </c>
      <c r="N482">
        <v>1799731579</v>
      </c>
      <c r="O482">
        <v>1505420412</v>
      </c>
      <c r="P482">
        <v>355</v>
      </c>
      <c r="Q482" t="s">
        <v>1010</v>
      </c>
    </row>
    <row r="483" spans="1:17" x14ac:dyDescent="0.3">
      <c r="A483" t="s">
        <v>17</v>
      </c>
      <c r="B483" t="str">
        <f>"600579"</f>
        <v>600579</v>
      </c>
      <c r="C483" t="s">
        <v>1011</v>
      </c>
      <c r="D483" t="s">
        <v>78</v>
      </c>
      <c r="F483">
        <v>321326591</v>
      </c>
      <c r="G483">
        <v>-332064408</v>
      </c>
      <c r="H483">
        <v>18783758</v>
      </c>
      <c r="I483">
        <v>125846686</v>
      </c>
      <c r="J483">
        <v>-38844449</v>
      </c>
      <c r="K483">
        <v>-31403091</v>
      </c>
      <c r="L483">
        <v>-70075126</v>
      </c>
      <c r="M483">
        <v>1139796</v>
      </c>
      <c r="N483">
        <v>34726720</v>
      </c>
      <c r="O483">
        <v>208835719</v>
      </c>
      <c r="P483">
        <v>72</v>
      </c>
      <c r="Q483" t="s">
        <v>1012</v>
      </c>
    </row>
    <row r="484" spans="1:17" x14ac:dyDescent="0.3">
      <c r="A484" t="s">
        <v>17</v>
      </c>
      <c r="B484" t="str">
        <f>"600580"</f>
        <v>600580</v>
      </c>
      <c r="C484" t="s">
        <v>1013</v>
      </c>
      <c r="D484" t="s">
        <v>188</v>
      </c>
      <c r="F484">
        <v>761744097</v>
      </c>
      <c r="G484">
        <v>552297134</v>
      </c>
      <c r="H484">
        <v>643064369</v>
      </c>
      <c r="I484">
        <v>176290520</v>
      </c>
      <c r="J484">
        <v>-448695573</v>
      </c>
      <c r="K484">
        <v>-513244662</v>
      </c>
      <c r="L484">
        <v>380731886</v>
      </c>
      <c r="M484">
        <v>356726145</v>
      </c>
      <c r="N484">
        <v>-58451703</v>
      </c>
      <c r="O484">
        <v>156826982</v>
      </c>
      <c r="P484">
        <v>400</v>
      </c>
      <c r="Q484" t="s">
        <v>1014</v>
      </c>
    </row>
    <row r="485" spans="1:17" x14ac:dyDescent="0.3">
      <c r="A485" t="s">
        <v>17</v>
      </c>
      <c r="B485" t="str">
        <f>"600581"</f>
        <v>600581</v>
      </c>
      <c r="C485" t="s">
        <v>1015</v>
      </c>
      <c r="D485" t="s">
        <v>38</v>
      </c>
      <c r="F485">
        <v>30926314</v>
      </c>
      <c r="G485">
        <v>1932216192</v>
      </c>
      <c r="H485">
        <v>-46392647</v>
      </c>
      <c r="I485">
        <v>660230254</v>
      </c>
      <c r="J485">
        <v>2554033579</v>
      </c>
      <c r="K485">
        <v>517417742</v>
      </c>
      <c r="L485">
        <v>4059577184</v>
      </c>
      <c r="M485">
        <v>-1300649979</v>
      </c>
      <c r="N485">
        <v>2328262961</v>
      </c>
      <c r="O485">
        <v>-2274083</v>
      </c>
      <c r="P485">
        <v>265</v>
      </c>
      <c r="Q485" t="s">
        <v>1016</v>
      </c>
    </row>
    <row r="486" spans="1:17" x14ac:dyDescent="0.3">
      <c r="A486" t="s">
        <v>17</v>
      </c>
      <c r="B486" t="str">
        <f>"600582"</f>
        <v>600582</v>
      </c>
      <c r="C486" t="s">
        <v>1017</v>
      </c>
      <c r="D486" t="s">
        <v>78</v>
      </c>
      <c r="F486">
        <v>3940006997</v>
      </c>
      <c r="G486">
        <v>2261897643</v>
      </c>
      <c r="H486">
        <v>2521269062</v>
      </c>
      <c r="I486">
        <v>1372061077</v>
      </c>
      <c r="J486">
        <v>890497801</v>
      </c>
      <c r="K486">
        <v>-270034961</v>
      </c>
      <c r="L486">
        <v>-130128824</v>
      </c>
      <c r="M486">
        <v>-5561581</v>
      </c>
      <c r="N486">
        <v>-562643069</v>
      </c>
      <c r="O486">
        <v>310658490</v>
      </c>
      <c r="P486">
        <v>395</v>
      </c>
      <c r="Q486" t="s">
        <v>1018</v>
      </c>
    </row>
    <row r="487" spans="1:17" x14ac:dyDescent="0.3">
      <c r="A487" t="s">
        <v>17</v>
      </c>
      <c r="B487" t="str">
        <f>"600583"</f>
        <v>600583</v>
      </c>
      <c r="C487" t="s">
        <v>1019</v>
      </c>
      <c r="D487" t="s">
        <v>70</v>
      </c>
      <c r="F487">
        <v>1916826600</v>
      </c>
      <c r="G487">
        <v>1363186108</v>
      </c>
      <c r="H487">
        <v>-395045957</v>
      </c>
      <c r="I487">
        <v>-534344337</v>
      </c>
      <c r="J487">
        <v>-1121479014</v>
      </c>
      <c r="K487">
        <v>4291533935</v>
      </c>
      <c r="L487">
        <v>2003579644</v>
      </c>
      <c r="M487">
        <v>2215591832</v>
      </c>
      <c r="N487">
        <v>1892816798</v>
      </c>
      <c r="O487">
        <v>695668918</v>
      </c>
      <c r="P487">
        <v>359</v>
      </c>
      <c r="Q487" t="s">
        <v>1020</v>
      </c>
    </row>
    <row r="488" spans="1:17" x14ac:dyDescent="0.3">
      <c r="A488" t="s">
        <v>17</v>
      </c>
      <c r="B488" t="str">
        <f>"600584"</f>
        <v>600584</v>
      </c>
      <c r="C488" t="s">
        <v>1021</v>
      </c>
      <c r="D488" t="s">
        <v>150</v>
      </c>
      <c r="F488">
        <v>3341011784</v>
      </c>
      <c r="G488">
        <v>2421730416</v>
      </c>
      <c r="H488">
        <v>440737620</v>
      </c>
      <c r="I488">
        <v>-1731434832</v>
      </c>
      <c r="J488">
        <v>-481320940</v>
      </c>
      <c r="K488">
        <v>-1974774904</v>
      </c>
      <c r="L488">
        <v>-560340477</v>
      </c>
      <c r="M488">
        <v>-139921676</v>
      </c>
      <c r="N488">
        <v>-298330385</v>
      </c>
      <c r="O488">
        <v>-490894054</v>
      </c>
      <c r="P488">
        <v>1665</v>
      </c>
      <c r="Q488" t="s">
        <v>1022</v>
      </c>
    </row>
    <row r="489" spans="1:17" x14ac:dyDescent="0.3">
      <c r="A489" t="s">
        <v>17</v>
      </c>
      <c r="B489" t="str">
        <f>"600585"</f>
        <v>600585</v>
      </c>
      <c r="C489" t="s">
        <v>1023</v>
      </c>
      <c r="D489" t="s">
        <v>350</v>
      </c>
      <c r="F489">
        <v>19313099467</v>
      </c>
      <c r="G489">
        <v>25716720911</v>
      </c>
      <c r="H489">
        <v>32087346544</v>
      </c>
      <c r="I489">
        <v>31360667677</v>
      </c>
      <c r="J489">
        <v>13810948825</v>
      </c>
      <c r="K489">
        <v>8374622672</v>
      </c>
      <c r="L489">
        <v>4880321064</v>
      </c>
      <c r="M489">
        <v>10699300263</v>
      </c>
      <c r="N489">
        <v>7680871600</v>
      </c>
      <c r="O489">
        <v>4720962091</v>
      </c>
      <c r="P489">
        <v>8410</v>
      </c>
      <c r="Q489" t="s">
        <v>1024</v>
      </c>
    </row>
    <row r="490" spans="1:17" x14ac:dyDescent="0.3">
      <c r="A490" t="s">
        <v>17</v>
      </c>
      <c r="B490" t="str">
        <f>"600586"</f>
        <v>600586</v>
      </c>
      <c r="C490" t="s">
        <v>1025</v>
      </c>
      <c r="D490" t="s">
        <v>350</v>
      </c>
      <c r="F490">
        <v>1021096871</v>
      </c>
      <c r="G490">
        <v>343198552</v>
      </c>
      <c r="H490">
        <v>385166688</v>
      </c>
      <c r="I490">
        <v>576189623</v>
      </c>
      <c r="J490">
        <v>-41304991</v>
      </c>
      <c r="K490">
        <v>219035775</v>
      </c>
      <c r="L490">
        <v>-121418847</v>
      </c>
      <c r="M490">
        <v>-243444218</v>
      </c>
      <c r="N490">
        <v>-365642680</v>
      </c>
      <c r="O490">
        <v>-655979597</v>
      </c>
      <c r="P490">
        <v>245</v>
      </c>
      <c r="Q490" t="s">
        <v>1026</v>
      </c>
    </row>
    <row r="491" spans="1:17" x14ac:dyDescent="0.3">
      <c r="A491" t="s">
        <v>17</v>
      </c>
      <c r="B491" t="str">
        <f>"600587"</f>
        <v>600587</v>
      </c>
      <c r="C491" t="s">
        <v>1027</v>
      </c>
      <c r="D491" t="s">
        <v>113</v>
      </c>
      <c r="F491">
        <v>1146865015</v>
      </c>
      <c r="G491">
        <v>916385763</v>
      </c>
      <c r="H491">
        <v>438266303</v>
      </c>
      <c r="I491">
        <v>7329241</v>
      </c>
      <c r="J491">
        <v>415271295</v>
      </c>
      <c r="K491">
        <v>-492376852</v>
      </c>
      <c r="L491">
        <v>-545865651</v>
      </c>
      <c r="M491">
        <v>-443392578</v>
      </c>
      <c r="N491">
        <v>-489242116</v>
      </c>
      <c r="O491">
        <v>-172691803</v>
      </c>
      <c r="P491">
        <v>533</v>
      </c>
      <c r="Q491" t="s">
        <v>1028</v>
      </c>
    </row>
    <row r="492" spans="1:17" x14ac:dyDescent="0.3">
      <c r="A492" t="s">
        <v>17</v>
      </c>
      <c r="B492" t="str">
        <f>"600588"</f>
        <v>600588</v>
      </c>
      <c r="C492" t="s">
        <v>1029</v>
      </c>
      <c r="D492" t="s">
        <v>212</v>
      </c>
      <c r="F492">
        <v>303740378</v>
      </c>
      <c r="G492">
        <v>1038474679</v>
      </c>
      <c r="H492">
        <v>1236996155</v>
      </c>
      <c r="I492">
        <v>1559803838</v>
      </c>
      <c r="J492">
        <v>981771066</v>
      </c>
      <c r="K492">
        <v>549829265</v>
      </c>
      <c r="L492">
        <v>217422109</v>
      </c>
      <c r="M492">
        <v>423568433</v>
      </c>
      <c r="N492">
        <v>368080147</v>
      </c>
      <c r="O492">
        <v>136854663</v>
      </c>
      <c r="P492">
        <v>4577</v>
      </c>
      <c r="Q492" t="s">
        <v>1030</v>
      </c>
    </row>
    <row r="493" spans="1:17" x14ac:dyDescent="0.3">
      <c r="A493" t="s">
        <v>17</v>
      </c>
      <c r="B493" t="str">
        <f>"600589"</f>
        <v>600589</v>
      </c>
      <c r="C493" t="s">
        <v>1031</v>
      </c>
      <c r="D493" t="s">
        <v>133</v>
      </c>
      <c r="F493">
        <v>-426544837</v>
      </c>
      <c r="G493">
        <v>-408086662</v>
      </c>
      <c r="H493">
        <v>-64744583</v>
      </c>
      <c r="I493">
        <v>388112038</v>
      </c>
      <c r="J493">
        <v>331995643</v>
      </c>
      <c r="K493">
        <v>-20133442</v>
      </c>
      <c r="L493">
        <v>368539493</v>
      </c>
      <c r="M493">
        <v>151994808</v>
      </c>
      <c r="N493">
        <v>40402780</v>
      </c>
      <c r="O493">
        <v>-211888158</v>
      </c>
      <c r="P493">
        <v>74</v>
      </c>
      <c r="Q493" t="s">
        <v>1032</v>
      </c>
    </row>
    <row r="494" spans="1:17" x14ac:dyDescent="0.3">
      <c r="A494" t="s">
        <v>17</v>
      </c>
      <c r="B494" t="str">
        <f>"600590"</f>
        <v>600590</v>
      </c>
      <c r="C494" t="s">
        <v>1033</v>
      </c>
      <c r="D494" t="s">
        <v>188</v>
      </c>
      <c r="F494">
        <v>-844059005</v>
      </c>
      <c r="G494">
        <v>-480553995</v>
      </c>
      <c r="H494">
        <v>195509084</v>
      </c>
      <c r="I494">
        <v>-240969675</v>
      </c>
      <c r="J494">
        <v>-502882533</v>
      </c>
      <c r="K494">
        <v>136290951</v>
      </c>
      <c r="L494">
        <v>-95299346</v>
      </c>
      <c r="M494">
        <v>-37515828</v>
      </c>
      <c r="N494">
        <v>-168478827</v>
      </c>
      <c r="O494">
        <v>35847861</v>
      </c>
      <c r="P494">
        <v>168</v>
      </c>
      <c r="Q494" t="s">
        <v>1034</v>
      </c>
    </row>
    <row r="495" spans="1:17" x14ac:dyDescent="0.3">
      <c r="A495" t="s">
        <v>17</v>
      </c>
      <c r="B495" t="str">
        <f>"600592"</f>
        <v>600592</v>
      </c>
      <c r="C495" t="s">
        <v>1035</v>
      </c>
      <c r="D495" t="s">
        <v>78</v>
      </c>
      <c r="F495">
        <v>50101703</v>
      </c>
      <c r="G495">
        <v>-53105257</v>
      </c>
      <c r="H495">
        <v>10812372</v>
      </c>
      <c r="I495">
        <v>4328409</v>
      </c>
      <c r="J495">
        <v>-137377388</v>
      </c>
      <c r="K495">
        <v>-103704460</v>
      </c>
      <c r="L495">
        <v>-2852598</v>
      </c>
      <c r="M495">
        <v>45061103</v>
      </c>
      <c r="N495">
        <v>-86638936</v>
      </c>
      <c r="O495">
        <v>-177506375</v>
      </c>
      <c r="P495">
        <v>75</v>
      </c>
      <c r="Q495" t="s">
        <v>1036</v>
      </c>
    </row>
    <row r="496" spans="1:17" x14ac:dyDescent="0.3">
      <c r="A496" t="s">
        <v>17</v>
      </c>
      <c r="B496" t="str">
        <f>"600593"</f>
        <v>600593</v>
      </c>
      <c r="C496" t="s">
        <v>1037</v>
      </c>
      <c r="D496" t="s">
        <v>110</v>
      </c>
      <c r="F496">
        <v>24744099</v>
      </c>
      <c r="G496">
        <v>-153459300</v>
      </c>
      <c r="H496">
        <v>-356777064</v>
      </c>
      <c r="I496">
        <v>-98889161</v>
      </c>
      <c r="J496">
        <v>-47757950</v>
      </c>
      <c r="K496">
        <v>-12038259</v>
      </c>
      <c r="L496">
        <v>87501791</v>
      </c>
      <c r="M496">
        <v>55462961</v>
      </c>
      <c r="N496">
        <v>75430747</v>
      </c>
      <c r="O496">
        <v>-34817226</v>
      </c>
      <c r="P496">
        <v>123</v>
      </c>
      <c r="Q496" t="s">
        <v>1038</v>
      </c>
    </row>
    <row r="497" spans="1:17" x14ac:dyDescent="0.3">
      <c r="A497" t="s">
        <v>17</v>
      </c>
      <c r="B497" t="str">
        <f>"600594"</f>
        <v>600594</v>
      </c>
      <c r="C497" t="s">
        <v>1039</v>
      </c>
      <c r="D497" t="s">
        <v>113</v>
      </c>
      <c r="F497">
        <v>493064513</v>
      </c>
      <c r="G497">
        <v>-26351869</v>
      </c>
      <c r="H497">
        <v>172442701</v>
      </c>
      <c r="I497">
        <v>-97813386</v>
      </c>
      <c r="J497">
        <v>295375779</v>
      </c>
      <c r="K497">
        <v>48168757</v>
      </c>
      <c r="L497">
        <v>285761828</v>
      </c>
      <c r="M497">
        <v>337720265</v>
      </c>
      <c r="N497">
        <v>303853815</v>
      </c>
      <c r="O497">
        <v>78389095</v>
      </c>
      <c r="P497">
        <v>312</v>
      </c>
      <c r="Q497" t="s">
        <v>1040</v>
      </c>
    </row>
    <row r="498" spans="1:17" x14ac:dyDescent="0.3">
      <c r="A498" t="s">
        <v>17</v>
      </c>
      <c r="B498" t="str">
        <f>"600595"</f>
        <v>600595</v>
      </c>
      <c r="C498" t="s">
        <v>1041</v>
      </c>
      <c r="D498" t="s">
        <v>234</v>
      </c>
      <c r="F498">
        <v>1265862451</v>
      </c>
      <c r="G498">
        <v>132532100</v>
      </c>
      <c r="H498">
        <v>344412501</v>
      </c>
      <c r="I498">
        <v>741835462</v>
      </c>
      <c r="J498">
        <v>379136462</v>
      </c>
      <c r="K498">
        <v>716506137</v>
      </c>
      <c r="L498">
        <v>746875527</v>
      </c>
      <c r="M498">
        <v>1185269862</v>
      </c>
      <c r="N498">
        <v>-204049717</v>
      </c>
      <c r="O498">
        <v>-270893740</v>
      </c>
      <c r="P498">
        <v>68</v>
      </c>
      <c r="Q498" t="s">
        <v>1042</v>
      </c>
    </row>
    <row r="499" spans="1:17" x14ac:dyDescent="0.3">
      <c r="A499" t="s">
        <v>17</v>
      </c>
      <c r="B499" t="str">
        <f>"600596"</f>
        <v>600596</v>
      </c>
      <c r="C499" t="s">
        <v>1043</v>
      </c>
      <c r="D499" t="s">
        <v>133</v>
      </c>
      <c r="F499">
        <v>2068345552</v>
      </c>
      <c r="G499">
        <v>377140207</v>
      </c>
      <c r="H499">
        <v>44680422</v>
      </c>
      <c r="I499">
        <v>507898644</v>
      </c>
      <c r="J499">
        <v>-410540453</v>
      </c>
      <c r="K499">
        <v>111657496</v>
      </c>
      <c r="L499">
        <v>-246917166</v>
      </c>
      <c r="M499">
        <v>-464957297</v>
      </c>
      <c r="N499">
        <v>608018483</v>
      </c>
      <c r="O499">
        <v>-94683972</v>
      </c>
      <c r="P499">
        <v>481</v>
      </c>
      <c r="Q499" t="s">
        <v>1044</v>
      </c>
    </row>
    <row r="500" spans="1:17" x14ac:dyDescent="0.3">
      <c r="A500" t="s">
        <v>17</v>
      </c>
      <c r="B500" t="str">
        <f>"600597"</f>
        <v>600597</v>
      </c>
      <c r="C500" t="s">
        <v>1045</v>
      </c>
      <c r="D500" t="s">
        <v>123</v>
      </c>
      <c r="F500">
        <v>105711968</v>
      </c>
      <c r="G500">
        <v>572760086</v>
      </c>
      <c r="H500">
        <v>665177625</v>
      </c>
      <c r="I500">
        <v>-171413196</v>
      </c>
      <c r="J500">
        <v>608462696</v>
      </c>
      <c r="K500">
        <v>1508519265</v>
      </c>
      <c r="L500">
        <v>-215350558</v>
      </c>
      <c r="M500">
        <v>-1426599320</v>
      </c>
      <c r="N500">
        <v>199258548</v>
      </c>
      <c r="O500">
        <v>227343336</v>
      </c>
      <c r="P500">
        <v>1247</v>
      </c>
      <c r="Q500" t="s">
        <v>1046</v>
      </c>
    </row>
    <row r="501" spans="1:17" x14ac:dyDescent="0.3">
      <c r="A501" t="s">
        <v>17</v>
      </c>
      <c r="B501" t="str">
        <f>"600598"</f>
        <v>600598</v>
      </c>
      <c r="C501" t="s">
        <v>1047</v>
      </c>
      <c r="D501" t="s">
        <v>205</v>
      </c>
      <c r="F501">
        <v>967487023</v>
      </c>
      <c r="G501">
        <v>855356831</v>
      </c>
      <c r="H501">
        <v>580651469</v>
      </c>
      <c r="I501">
        <v>1047455517</v>
      </c>
      <c r="J501">
        <v>462664347</v>
      </c>
      <c r="K501">
        <v>1380608547</v>
      </c>
      <c r="L501">
        <v>563467396</v>
      </c>
      <c r="M501">
        <v>1748701718</v>
      </c>
      <c r="N501">
        <v>1607670682</v>
      </c>
      <c r="O501">
        <v>1057837084</v>
      </c>
      <c r="P501">
        <v>1085</v>
      </c>
      <c r="Q501" t="s">
        <v>1048</v>
      </c>
    </row>
    <row r="502" spans="1:17" x14ac:dyDescent="0.3">
      <c r="A502" t="s">
        <v>17</v>
      </c>
      <c r="B502" t="str">
        <f>"600599"</f>
        <v>600599</v>
      </c>
      <c r="C502" t="s">
        <v>1049</v>
      </c>
      <c r="D502" t="s">
        <v>75</v>
      </c>
      <c r="F502">
        <v>319218745</v>
      </c>
      <c r="G502">
        <v>-222733384</v>
      </c>
      <c r="H502">
        <v>-128158418</v>
      </c>
      <c r="I502">
        <v>-225037421</v>
      </c>
      <c r="J502">
        <v>159282831</v>
      </c>
      <c r="K502">
        <v>-66709165</v>
      </c>
      <c r="L502">
        <v>-121002100</v>
      </c>
      <c r="M502">
        <v>-73433770</v>
      </c>
      <c r="N502">
        <v>-7104225</v>
      </c>
      <c r="O502">
        <v>-9213407</v>
      </c>
      <c r="P502">
        <v>54</v>
      </c>
      <c r="Q502" t="s">
        <v>1050</v>
      </c>
    </row>
    <row r="503" spans="1:17" x14ac:dyDescent="0.3">
      <c r="A503" t="s">
        <v>17</v>
      </c>
      <c r="B503" t="str">
        <f>"600600"</f>
        <v>600600</v>
      </c>
      <c r="C503" t="s">
        <v>1051</v>
      </c>
      <c r="D503" t="s">
        <v>123</v>
      </c>
      <c r="F503">
        <v>4441169097</v>
      </c>
      <c r="G503">
        <v>3678717519</v>
      </c>
      <c r="H503">
        <v>3109405461</v>
      </c>
      <c r="I503">
        <v>3288770768</v>
      </c>
      <c r="J503">
        <v>1343864454</v>
      </c>
      <c r="K503">
        <v>2141887115</v>
      </c>
      <c r="L503">
        <v>1303786479</v>
      </c>
      <c r="M503">
        <v>-252229378</v>
      </c>
      <c r="N503">
        <v>1376549603</v>
      </c>
      <c r="O503">
        <v>738224397</v>
      </c>
      <c r="P503">
        <v>2022</v>
      </c>
      <c r="Q503" t="s">
        <v>1052</v>
      </c>
    </row>
    <row r="504" spans="1:17" x14ac:dyDescent="0.3">
      <c r="A504" t="s">
        <v>17</v>
      </c>
      <c r="B504" t="str">
        <f>"600601"</f>
        <v>600601</v>
      </c>
      <c r="C504" t="s">
        <v>1053</v>
      </c>
      <c r="D504" t="s">
        <v>150</v>
      </c>
      <c r="F504">
        <v>-335885044</v>
      </c>
      <c r="G504">
        <v>-70568876</v>
      </c>
      <c r="H504">
        <v>247561758</v>
      </c>
      <c r="I504">
        <v>-187201763</v>
      </c>
      <c r="J504">
        <v>-555724018</v>
      </c>
      <c r="K504">
        <v>-344440442</v>
      </c>
      <c r="L504">
        <v>-47457301</v>
      </c>
      <c r="M504">
        <v>297774549</v>
      </c>
      <c r="N504">
        <v>422289653</v>
      </c>
      <c r="O504">
        <v>-456450225</v>
      </c>
      <c r="P504">
        <v>228</v>
      </c>
      <c r="Q504" t="s">
        <v>1054</v>
      </c>
    </row>
    <row r="505" spans="1:17" x14ac:dyDescent="0.3">
      <c r="A505" t="s">
        <v>17</v>
      </c>
      <c r="B505" t="str">
        <f>"600602"</f>
        <v>600602</v>
      </c>
      <c r="C505" t="s">
        <v>1055</v>
      </c>
      <c r="D505" t="s">
        <v>212</v>
      </c>
      <c r="F505">
        <v>46054373</v>
      </c>
      <c r="G505">
        <v>401198821</v>
      </c>
      <c r="H505">
        <v>281781660</v>
      </c>
      <c r="I505">
        <v>127209781</v>
      </c>
      <c r="J505">
        <v>-122695577</v>
      </c>
      <c r="K505">
        <v>479763587</v>
      </c>
      <c r="L505">
        <v>-69343967</v>
      </c>
      <c r="M505">
        <v>-92973585</v>
      </c>
      <c r="N505">
        <v>-68378185</v>
      </c>
      <c r="O505">
        <v>-115261935</v>
      </c>
      <c r="P505">
        <v>136</v>
      </c>
      <c r="Q505" t="s">
        <v>1056</v>
      </c>
    </row>
    <row r="506" spans="1:17" x14ac:dyDescent="0.3">
      <c r="A506" t="s">
        <v>17</v>
      </c>
      <c r="B506" t="str">
        <f>"600603"</f>
        <v>600603</v>
      </c>
      <c r="C506" t="s">
        <v>1057</v>
      </c>
      <c r="D506" t="s">
        <v>30</v>
      </c>
      <c r="F506">
        <v>1198163891</v>
      </c>
      <c r="G506">
        <v>1490810716</v>
      </c>
      <c r="H506">
        <v>1250063172</v>
      </c>
      <c r="I506">
        <v>325272991</v>
      </c>
      <c r="J506">
        <v>-118436538</v>
      </c>
      <c r="K506">
        <v>-26719205</v>
      </c>
      <c r="L506">
        <v>-57631502</v>
      </c>
      <c r="M506">
        <v>-10827441</v>
      </c>
      <c r="N506">
        <v>-39896015</v>
      </c>
      <c r="O506">
        <v>-7934770</v>
      </c>
      <c r="P506">
        <v>510</v>
      </c>
      <c r="Q506" t="s">
        <v>1058</v>
      </c>
    </row>
    <row r="507" spans="1:17" x14ac:dyDescent="0.3">
      <c r="A507" t="s">
        <v>17</v>
      </c>
      <c r="B507" t="str">
        <f>"600604"</f>
        <v>600604</v>
      </c>
      <c r="C507" t="s">
        <v>1059</v>
      </c>
      <c r="D507" t="s">
        <v>30</v>
      </c>
      <c r="F507">
        <v>-473392767</v>
      </c>
      <c r="G507">
        <v>-1553627990</v>
      </c>
      <c r="H507">
        <v>-329461597</v>
      </c>
      <c r="I507">
        <v>-3995871787</v>
      </c>
      <c r="J507">
        <v>-735529205</v>
      </c>
      <c r="K507">
        <v>-15275796</v>
      </c>
      <c r="L507">
        <v>-1281463212</v>
      </c>
      <c r="M507">
        <v>-620263992</v>
      </c>
      <c r="N507">
        <v>-299062315</v>
      </c>
      <c r="O507">
        <v>4126719</v>
      </c>
      <c r="P507">
        <v>138</v>
      </c>
      <c r="Q507" t="s">
        <v>1060</v>
      </c>
    </row>
    <row r="508" spans="1:17" x14ac:dyDescent="0.3">
      <c r="A508" t="s">
        <v>17</v>
      </c>
      <c r="B508" t="str">
        <f>"600605"</f>
        <v>600605</v>
      </c>
      <c r="C508" t="s">
        <v>1061</v>
      </c>
      <c r="D508" t="s">
        <v>120</v>
      </c>
      <c r="F508">
        <v>-26628693</v>
      </c>
      <c r="G508">
        <v>-614780610</v>
      </c>
      <c r="H508">
        <v>254672202</v>
      </c>
      <c r="I508">
        <v>459747675</v>
      </c>
      <c r="J508">
        <v>122128820</v>
      </c>
      <c r="K508">
        <v>20981147</v>
      </c>
      <c r="L508">
        <v>-137124443</v>
      </c>
      <c r="M508">
        <v>92866608</v>
      </c>
      <c r="N508">
        <v>-29233195</v>
      </c>
      <c r="O508">
        <v>74483864</v>
      </c>
      <c r="P508">
        <v>71</v>
      </c>
      <c r="Q508" t="s">
        <v>1062</v>
      </c>
    </row>
    <row r="509" spans="1:17" x14ac:dyDescent="0.3">
      <c r="A509" t="s">
        <v>17</v>
      </c>
      <c r="B509" t="str">
        <f>"600606"</f>
        <v>600606</v>
      </c>
      <c r="C509" t="s">
        <v>1063</v>
      </c>
      <c r="D509" t="s">
        <v>30</v>
      </c>
      <c r="F509">
        <v>56596693635</v>
      </c>
      <c r="G509">
        <v>35985884376</v>
      </c>
      <c r="H509">
        <v>11635935066</v>
      </c>
      <c r="I509">
        <v>34679607747</v>
      </c>
      <c r="J509">
        <v>56374999183</v>
      </c>
      <c r="K509">
        <v>-5619242059</v>
      </c>
      <c r="L509">
        <v>-25469346557</v>
      </c>
      <c r="M509">
        <v>28807270</v>
      </c>
      <c r="N509">
        <v>54522326</v>
      </c>
      <c r="O509">
        <v>-126048744</v>
      </c>
      <c r="P509">
        <v>1969</v>
      </c>
      <c r="Q509" t="s">
        <v>1064</v>
      </c>
    </row>
    <row r="510" spans="1:17" x14ac:dyDescent="0.3">
      <c r="A510" t="s">
        <v>17</v>
      </c>
      <c r="B510" t="str">
        <f>"600608"</f>
        <v>600608</v>
      </c>
      <c r="C510" t="s">
        <v>1065</v>
      </c>
      <c r="D510" t="s">
        <v>120</v>
      </c>
      <c r="F510">
        <v>5978675</v>
      </c>
      <c r="G510">
        <v>-8916058</v>
      </c>
      <c r="H510">
        <v>31505469</v>
      </c>
      <c r="I510">
        <v>-23119168</v>
      </c>
      <c r="J510">
        <v>-144001754</v>
      </c>
      <c r="K510">
        <v>-58905993</v>
      </c>
      <c r="L510">
        <v>96580646</v>
      </c>
      <c r="M510">
        <v>-9731496</v>
      </c>
      <c r="N510">
        <v>-19491573</v>
      </c>
      <c r="O510">
        <v>-15295125</v>
      </c>
      <c r="P510">
        <v>47</v>
      </c>
      <c r="Q510" t="s">
        <v>1066</v>
      </c>
    </row>
    <row r="511" spans="1:17" x14ac:dyDescent="0.3">
      <c r="A511" t="s">
        <v>17</v>
      </c>
      <c r="B511" t="str">
        <f>"600609"</f>
        <v>600609</v>
      </c>
      <c r="C511" t="s">
        <v>1067</v>
      </c>
      <c r="D511" t="s">
        <v>27</v>
      </c>
      <c r="F511">
        <v>359432502</v>
      </c>
      <c r="G511">
        <v>311356561</v>
      </c>
      <c r="H511">
        <v>581529953</v>
      </c>
      <c r="I511">
        <v>1615862106</v>
      </c>
      <c r="J511">
        <v>138472189</v>
      </c>
      <c r="K511">
        <v>-476336312</v>
      </c>
      <c r="L511">
        <v>-756033613</v>
      </c>
      <c r="M511">
        <v>158213355</v>
      </c>
      <c r="N511">
        <v>213713328</v>
      </c>
      <c r="O511">
        <v>-48168623</v>
      </c>
      <c r="P511">
        <v>128</v>
      </c>
      <c r="Q511" t="s">
        <v>1068</v>
      </c>
    </row>
    <row r="512" spans="1:17" x14ac:dyDescent="0.3">
      <c r="A512" t="s">
        <v>17</v>
      </c>
      <c r="B512" t="str">
        <f>"600610"</f>
        <v>600610</v>
      </c>
      <c r="C512" t="s">
        <v>1069</v>
      </c>
      <c r="D512" t="s">
        <v>133</v>
      </c>
      <c r="F512">
        <v>39160674</v>
      </c>
      <c r="G512">
        <v>-9892836</v>
      </c>
      <c r="H512">
        <v>62170138</v>
      </c>
      <c r="I512">
        <v>-7404421</v>
      </c>
      <c r="J512">
        <v>-106270228</v>
      </c>
      <c r="K512">
        <v>23601916</v>
      </c>
      <c r="L512">
        <v>-106431613</v>
      </c>
      <c r="M512">
        <v>-24808988</v>
      </c>
      <c r="N512">
        <v>-37479843</v>
      </c>
      <c r="O512">
        <v>-61454560</v>
      </c>
      <c r="P512">
        <v>91</v>
      </c>
      <c r="Q512" t="s">
        <v>1070</v>
      </c>
    </row>
    <row r="513" spans="1:17" x14ac:dyDescent="0.3">
      <c r="A513" t="s">
        <v>17</v>
      </c>
      <c r="B513" t="str">
        <f>"600611"</f>
        <v>600611</v>
      </c>
      <c r="C513" t="s">
        <v>1071</v>
      </c>
      <c r="D513" t="s">
        <v>22</v>
      </c>
      <c r="F513">
        <v>1180781353</v>
      </c>
      <c r="G513">
        <v>-768069179</v>
      </c>
      <c r="H513">
        <v>-741419280</v>
      </c>
      <c r="I513">
        <v>-111118207</v>
      </c>
      <c r="J513">
        <v>154588765</v>
      </c>
      <c r="K513">
        <v>984230453</v>
      </c>
      <c r="L513">
        <v>849160740</v>
      </c>
      <c r="M513">
        <v>258915404</v>
      </c>
      <c r="N513">
        <v>-57555061</v>
      </c>
      <c r="O513">
        <v>-682522240</v>
      </c>
      <c r="P513">
        <v>243</v>
      </c>
      <c r="Q513" t="s">
        <v>1072</v>
      </c>
    </row>
    <row r="514" spans="1:17" x14ac:dyDescent="0.3">
      <c r="A514" t="s">
        <v>17</v>
      </c>
      <c r="B514" t="str">
        <f>"600612"</f>
        <v>600612</v>
      </c>
      <c r="C514" t="s">
        <v>1073</v>
      </c>
      <c r="D514" t="s">
        <v>227</v>
      </c>
      <c r="F514">
        <v>2070382241</v>
      </c>
      <c r="G514">
        <v>2572705550</v>
      </c>
      <c r="H514">
        <v>-1280646016</v>
      </c>
      <c r="I514">
        <v>-422308480</v>
      </c>
      <c r="J514">
        <v>1216794015</v>
      </c>
      <c r="K514">
        <v>-1020016715</v>
      </c>
      <c r="L514">
        <v>924370247</v>
      </c>
      <c r="M514">
        <v>2485239086</v>
      </c>
      <c r="N514">
        <v>1421143222</v>
      </c>
      <c r="O514">
        <v>687039378</v>
      </c>
      <c r="P514">
        <v>45896</v>
      </c>
      <c r="Q514" t="s">
        <v>1074</v>
      </c>
    </row>
    <row r="515" spans="1:17" x14ac:dyDescent="0.3">
      <c r="A515" t="s">
        <v>17</v>
      </c>
      <c r="B515" t="str">
        <f>"600613"</f>
        <v>600613</v>
      </c>
      <c r="C515" t="s">
        <v>1075</v>
      </c>
      <c r="D515" t="s">
        <v>113</v>
      </c>
      <c r="F515">
        <v>98423049</v>
      </c>
      <c r="G515">
        <v>2866983</v>
      </c>
      <c r="H515">
        <v>51342265</v>
      </c>
      <c r="I515">
        <v>39253278</v>
      </c>
      <c r="J515">
        <v>-41175483</v>
      </c>
      <c r="K515">
        <v>-41949971</v>
      </c>
      <c r="L515">
        <v>-36035084</v>
      </c>
      <c r="M515">
        <v>-68934028</v>
      </c>
      <c r="N515">
        <v>19242961</v>
      </c>
      <c r="O515">
        <v>-12214586</v>
      </c>
      <c r="P515">
        <v>121</v>
      </c>
      <c r="Q515" t="s">
        <v>1076</v>
      </c>
    </row>
    <row r="516" spans="1:17" x14ac:dyDescent="0.3">
      <c r="A516" t="s">
        <v>17</v>
      </c>
      <c r="B516" t="str">
        <f>"600614"</f>
        <v>600614</v>
      </c>
      <c r="C516" t="s">
        <v>1077</v>
      </c>
      <c r="G516">
        <v>-9238465</v>
      </c>
      <c r="H516">
        <v>-7428686</v>
      </c>
      <c r="I516">
        <v>-172440973</v>
      </c>
      <c r="J516">
        <v>-206740193</v>
      </c>
      <c r="K516">
        <v>396068114</v>
      </c>
      <c r="L516">
        <v>-628034281</v>
      </c>
      <c r="M516">
        <v>-357431018</v>
      </c>
      <c r="N516">
        <v>54687287</v>
      </c>
      <c r="O516">
        <v>-164883259</v>
      </c>
      <c r="P516">
        <v>55</v>
      </c>
      <c r="Q516" t="s">
        <v>1078</v>
      </c>
    </row>
    <row r="517" spans="1:17" x14ac:dyDescent="0.3">
      <c r="A517" t="s">
        <v>17</v>
      </c>
      <c r="B517" t="str">
        <f>"600615"</f>
        <v>600615</v>
      </c>
      <c r="C517" t="s">
        <v>1079</v>
      </c>
      <c r="D517" t="s">
        <v>234</v>
      </c>
      <c r="F517">
        <v>-68937819</v>
      </c>
      <c r="G517">
        <v>-19057038</v>
      </c>
      <c r="H517">
        <v>-5676312</v>
      </c>
      <c r="I517">
        <v>-1541269</v>
      </c>
      <c r="J517">
        <v>41282837</v>
      </c>
      <c r="K517">
        <v>-4027381</v>
      </c>
      <c r="L517">
        <v>-24633430</v>
      </c>
      <c r="M517">
        <v>-27968388</v>
      </c>
      <c r="N517">
        <v>-2793332</v>
      </c>
      <c r="O517">
        <v>-9935098</v>
      </c>
      <c r="P517">
        <v>66</v>
      </c>
      <c r="Q517" t="s">
        <v>1080</v>
      </c>
    </row>
    <row r="518" spans="1:17" x14ac:dyDescent="0.3">
      <c r="A518" t="s">
        <v>17</v>
      </c>
      <c r="B518" t="str">
        <f>"600616"</f>
        <v>600616</v>
      </c>
      <c r="C518" t="s">
        <v>1081</v>
      </c>
      <c r="D518" t="s">
        <v>123</v>
      </c>
      <c r="F518">
        <v>52998669</v>
      </c>
      <c r="G518">
        <v>6850592</v>
      </c>
      <c r="H518">
        <v>66416179</v>
      </c>
      <c r="I518">
        <v>39792039</v>
      </c>
      <c r="J518">
        <v>64168721</v>
      </c>
      <c r="K518">
        <v>-4584984</v>
      </c>
      <c r="L518">
        <v>56790526</v>
      </c>
      <c r="M518">
        <v>53816196</v>
      </c>
      <c r="N518">
        <v>116637115</v>
      </c>
      <c r="O518">
        <v>67573591</v>
      </c>
      <c r="P518">
        <v>180</v>
      </c>
      <c r="Q518" t="s">
        <v>1082</v>
      </c>
    </row>
    <row r="519" spans="1:17" x14ac:dyDescent="0.3">
      <c r="A519" t="s">
        <v>17</v>
      </c>
      <c r="B519" t="str">
        <f>"600617"</f>
        <v>600617</v>
      </c>
      <c r="C519" t="s">
        <v>1083</v>
      </c>
      <c r="D519" t="s">
        <v>41</v>
      </c>
      <c r="F519">
        <v>1695928106</v>
      </c>
      <c r="G519">
        <v>-429664607</v>
      </c>
      <c r="H519">
        <v>-605222339</v>
      </c>
      <c r="I519">
        <v>-976688702</v>
      </c>
      <c r="J519">
        <v>-1513043740</v>
      </c>
      <c r="K519">
        <v>-2128275897</v>
      </c>
      <c r="L519">
        <v>-1112935481</v>
      </c>
      <c r="M519">
        <v>-1865059976</v>
      </c>
      <c r="N519">
        <v>-1781170226</v>
      </c>
      <c r="O519">
        <v>-6623036</v>
      </c>
      <c r="P519">
        <v>104</v>
      </c>
      <c r="Q519" t="s">
        <v>1084</v>
      </c>
    </row>
    <row r="520" spans="1:17" x14ac:dyDescent="0.3">
      <c r="A520" t="s">
        <v>17</v>
      </c>
      <c r="B520" t="str">
        <f>"600618"</f>
        <v>600618</v>
      </c>
      <c r="C520" t="s">
        <v>1085</v>
      </c>
      <c r="D520" t="s">
        <v>133</v>
      </c>
      <c r="F520">
        <v>123583986</v>
      </c>
      <c r="G520">
        <v>167690080</v>
      </c>
      <c r="H520">
        <v>697666250</v>
      </c>
      <c r="I520">
        <v>816039470</v>
      </c>
      <c r="J520">
        <v>906191574</v>
      </c>
      <c r="K520">
        <v>418941357</v>
      </c>
      <c r="L520">
        <v>556538546</v>
      </c>
      <c r="M520">
        <v>-433198715</v>
      </c>
      <c r="N520">
        <v>220129622</v>
      </c>
      <c r="O520">
        <v>284119529</v>
      </c>
      <c r="P520">
        <v>253</v>
      </c>
      <c r="Q520" t="s">
        <v>1086</v>
      </c>
    </row>
    <row r="521" spans="1:17" x14ac:dyDescent="0.3">
      <c r="A521" t="s">
        <v>17</v>
      </c>
      <c r="B521" t="str">
        <f>"600619"</f>
        <v>600619</v>
      </c>
      <c r="C521" t="s">
        <v>1087</v>
      </c>
      <c r="D521" t="s">
        <v>126</v>
      </c>
      <c r="F521">
        <v>-45937287</v>
      </c>
      <c r="G521">
        <v>67979773</v>
      </c>
      <c r="H521">
        <v>120915066</v>
      </c>
      <c r="I521">
        <v>583203951</v>
      </c>
      <c r="J521">
        <v>372607850</v>
      </c>
      <c r="K521">
        <v>434163226</v>
      </c>
      <c r="L521">
        <v>148311353</v>
      </c>
      <c r="M521">
        <v>143695408</v>
      </c>
      <c r="N521">
        <v>81756112</v>
      </c>
      <c r="O521">
        <v>72323766</v>
      </c>
      <c r="P521">
        <v>121</v>
      </c>
      <c r="Q521" t="s">
        <v>1088</v>
      </c>
    </row>
    <row r="522" spans="1:17" x14ac:dyDescent="0.3">
      <c r="A522" t="s">
        <v>17</v>
      </c>
      <c r="B522" t="str">
        <f>"600620"</f>
        <v>600620</v>
      </c>
      <c r="C522" t="s">
        <v>1089</v>
      </c>
      <c r="D522" t="s">
        <v>103</v>
      </c>
      <c r="F522">
        <v>-264370008</v>
      </c>
      <c r="G522">
        <v>-58315295</v>
      </c>
      <c r="H522">
        <v>-23389829</v>
      </c>
      <c r="I522">
        <v>-485660350</v>
      </c>
      <c r="J522">
        <v>-20702955</v>
      </c>
      <c r="K522">
        <v>-5924532</v>
      </c>
      <c r="L522">
        <v>-15866387</v>
      </c>
      <c r="M522">
        <v>91856314</v>
      </c>
      <c r="N522">
        <v>-31030892</v>
      </c>
      <c r="O522">
        <v>15007844</v>
      </c>
      <c r="P522">
        <v>66</v>
      </c>
      <c r="Q522" t="s">
        <v>1090</v>
      </c>
    </row>
    <row r="523" spans="1:17" x14ac:dyDescent="0.3">
      <c r="A523" t="s">
        <v>17</v>
      </c>
      <c r="B523" t="str">
        <f>"600621"</f>
        <v>600621</v>
      </c>
      <c r="C523" t="s">
        <v>1091</v>
      </c>
      <c r="D523" t="s">
        <v>75</v>
      </c>
      <c r="F523">
        <v>-843074099</v>
      </c>
      <c r="G523">
        <v>438334124</v>
      </c>
      <c r="H523">
        <v>859541806</v>
      </c>
      <c r="I523">
        <v>-1442034515</v>
      </c>
      <c r="J523">
        <v>-1380001712</v>
      </c>
      <c r="K523">
        <v>-484823374</v>
      </c>
      <c r="L523">
        <v>-25783167</v>
      </c>
      <c r="M523">
        <v>-15050067</v>
      </c>
      <c r="N523">
        <v>438079278</v>
      </c>
      <c r="O523">
        <v>-134894851</v>
      </c>
      <c r="P523">
        <v>594</v>
      </c>
      <c r="Q523" t="s">
        <v>1092</v>
      </c>
    </row>
    <row r="524" spans="1:17" x14ac:dyDescent="0.3">
      <c r="A524" t="s">
        <v>17</v>
      </c>
      <c r="B524" t="str">
        <f>"600622"</f>
        <v>600622</v>
      </c>
      <c r="C524" t="s">
        <v>1093</v>
      </c>
      <c r="D524" t="s">
        <v>30</v>
      </c>
      <c r="F524">
        <v>3462934865</v>
      </c>
      <c r="G524">
        <v>761667545</v>
      </c>
      <c r="H524">
        <v>-477444110</v>
      </c>
      <c r="I524">
        <v>1736571380</v>
      </c>
      <c r="J524">
        <v>1280829000</v>
      </c>
      <c r="K524">
        <v>1796420364</v>
      </c>
      <c r="L524">
        <v>721779962</v>
      </c>
      <c r="M524">
        <v>-1590306926</v>
      </c>
      <c r="N524">
        <v>550916908</v>
      </c>
      <c r="O524">
        <v>-460706869</v>
      </c>
      <c r="P524">
        <v>246</v>
      </c>
      <c r="Q524" t="s">
        <v>1094</v>
      </c>
    </row>
    <row r="525" spans="1:17" x14ac:dyDescent="0.3">
      <c r="A525" t="s">
        <v>17</v>
      </c>
      <c r="B525" t="str">
        <f>"600623"</f>
        <v>600623</v>
      </c>
      <c r="C525" t="s">
        <v>1095</v>
      </c>
      <c r="D525" t="s">
        <v>133</v>
      </c>
      <c r="F525">
        <v>1567420929</v>
      </c>
      <c r="G525">
        <v>-376681904</v>
      </c>
      <c r="H525">
        <v>-533879739</v>
      </c>
      <c r="I525">
        <v>1373594274</v>
      </c>
      <c r="J525">
        <v>2878280137</v>
      </c>
      <c r="K525">
        <v>2842572403</v>
      </c>
      <c r="L525">
        <v>2986662472</v>
      </c>
      <c r="M525">
        <v>83757037</v>
      </c>
      <c r="N525">
        <v>146856513</v>
      </c>
      <c r="O525">
        <v>-94072735</v>
      </c>
      <c r="P525">
        <v>241</v>
      </c>
      <c r="Q525" t="s">
        <v>1096</v>
      </c>
    </row>
    <row r="526" spans="1:17" x14ac:dyDescent="0.3">
      <c r="A526" t="s">
        <v>17</v>
      </c>
      <c r="B526" t="str">
        <f>"600624"</f>
        <v>600624</v>
      </c>
      <c r="C526" t="s">
        <v>1097</v>
      </c>
      <c r="D526" t="s">
        <v>113</v>
      </c>
      <c r="F526">
        <v>18988399</v>
      </c>
      <c r="G526">
        <v>39447980</v>
      </c>
      <c r="H526">
        <v>5700428</v>
      </c>
      <c r="I526">
        <v>110991642</v>
      </c>
      <c r="J526">
        <v>72134678</v>
      </c>
      <c r="K526">
        <v>-72697767</v>
      </c>
      <c r="L526">
        <v>-17751447</v>
      </c>
      <c r="M526">
        <v>-91542941</v>
      </c>
      <c r="N526">
        <v>-265554482</v>
      </c>
      <c r="O526">
        <v>189242020</v>
      </c>
      <c r="P526">
        <v>122</v>
      </c>
      <c r="Q526" t="s">
        <v>1098</v>
      </c>
    </row>
    <row r="527" spans="1:17" x14ac:dyDescent="0.3">
      <c r="A527" t="s">
        <v>17</v>
      </c>
      <c r="B527" t="str">
        <f>"600625"</f>
        <v>600625</v>
      </c>
      <c r="C527" t="s">
        <v>1099</v>
      </c>
      <c r="K527">
        <v>16776400.560000001</v>
      </c>
      <c r="L527">
        <v>7238804.5099999998</v>
      </c>
      <c r="M527">
        <v>-2278657.86</v>
      </c>
      <c r="N527">
        <v>642086.19999999995</v>
      </c>
      <c r="O527">
        <v>-144953.95000000001</v>
      </c>
      <c r="P527">
        <v>5</v>
      </c>
      <c r="Q527" t="s">
        <v>1100</v>
      </c>
    </row>
    <row r="528" spans="1:17" x14ac:dyDescent="0.3">
      <c r="A528" t="s">
        <v>17</v>
      </c>
      <c r="B528" t="str">
        <f>"600626"</f>
        <v>600626</v>
      </c>
      <c r="C528" t="s">
        <v>1101</v>
      </c>
      <c r="D528" t="s">
        <v>27</v>
      </c>
      <c r="F528">
        <v>-282459377</v>
      </c>
      <c r="G528">
        <v>-254689038</v>
      </c>
      <c r="H528">
        <v>-481038596</v>
      </c>
      <c r="I528">
        <v>-563239795</v>
      </c>
      <c r="J528">
        <v>15707105</v>
      </c>
      <c r="K528">
        <v>74985244</v>
      </c>
      <c r="L528">
        <v>-325155037</v>
      </c>
      <c r="M528">
        <v>-120862455</v>
      </c>
      <c r="N528">
        <v>-90105954</v>
      </c>
      <c r="O528">
        <v>34162274</v>
      </c>
      <c r="P528">
        <v>93</v>
      </c>
      <c r="Q528" t="s">
        <v>1102</v>
      </c>
    </row>
    <row r="529" spans="1:17" x14ac:dyDescent="0.3">
      <c r="A529" t="s">
        <v>17</v>
      </c>
      <c r="B529" t="str">
        <f>"600628"</f>
        <v>600628</v>
      </c>
      <c r="C529" t="s">
        <v>1103</v>
      </c>
      <c r="D529" t="s">
        <v>120</v>
      </c>
      <c r="F529">
        <v>181476955</v>
      </c>
      <c r="G529">
        <v>140873865</v>
      </c>
      <c r="H529">
        <v>-688567991</v>
      </c>
      <c r="I529">
        <v>313724643</v>
      </c>
      <c r="J529">
        <v>440527032</v>
      </c>
      <c r="K529">
        <v>446106297</v>
      </c>
      <c r="L529">
        <v>483432759</v>
      </c>
      <c r="M529">
        <v>461503781</v>
      </c>
      <c r="N529">
        <v>417014054</v>
      </c>
      <c r="O529">
        <v>415264092</v>
      </c>
      <c r="P529">
        <v>112</v>
      </c>
      <c r="Q529" t="s">
        <v>1104</v>
      </c>
    </row>
    <row r="530" spans="1:17" x14ac:dyDescent="0.3">
      <c r="A530" t="s">
        <v>17</v>
      </c>
      <c r="B530" t="str">
        <f>"600629"</f>
        <v>600629</v>
      </c>
      <c r="C530" t="s">
        <v>1105</v>
      </c>
      <c r="D530" t="s">
        <v>95</v>
      </c>
      <c r="F530">
        <v>621408685</v>
      </c>
      <c r="G530">
        <v>1081649468</v>
      </c>
      <c r="H530">
        <v>308481504</v>
      </c>
      <c r="I530">
        <v>255340420</v>
      </c>
      <c r="J530">
        <v>326151638</v>
      </c>
      <c r="K530">
        <v>128413580</v>
      </c>
      <c r="L530">
        <v>146318394</v>
      </c>
      <c r="M530">
        <v>-26299274</v>
      </c>
      <c r="N530">
        <v>-210598975</v>
      </c>
      <c r="O530">
        <v>-163644469</v>
      </c>
      <c r="P530">
        <v>151</v>
      </c>
      <c r="Q530" t="s">
        <v>1106</v>
      </c>
    </row>
    <row r="531" spans="1:17" x14ac:dyDescent="0.3">
      <c r="A531" t="s">
        <v>17</v>
      </c>
      <c r="B531" t="str">
        <f>"600630"</f>
        <v>600630</v>
      </c>
      <c r="C531" t="s">
        <v>1107</v>
      </c>
      <c r="D531" t="s">
        <v>227</v>
      </c>
      <c r="F531">
        <v>49196723</v>
      </c>
      <c r="G531">
        <v>72943062</v>
      </c>
      <c r="H531">
        <v>-227650504</v>
      </c>
      <c r="I531">
        <v>-126556120</v>
      </c>
      <c r="J531">
        <v>-61483445</v>
      </c>
      <c r="K531">
        <v>2957939</v>
      </c>
      <c r="L531">
        <v>-84201641</v>
      </c>
      <c r="M531">
        <v>85460045</v>
      </c>
      <c r="N531">
        <v>40749832</v>
      </c>
      <c r="O531">
        <v>132399800</v>
      </c>
      <c r="P531">
        <v>110</v>
      </c>
      <c r="Q531" t="s">
        <v>1108</v>
      </c>
    </row>
    <row r="532" spans="1:17" x14ac:dyDescent="0.3">
      <c r="A532" t="s">
        <v>17</v>
      </c>
      <c r="B532" t="str">
        <f>"600631"</f>
        <v>600631</v>
      </c>
      <c r="C532" t="s">
        <v>1109</v>
      </c>
      <c r="N532">
        <v>2547056774.9299998</v>
      </c>
      <c r="O532">
        <v>194047582.97</v>
      </c>
      <c r="P532">
        <v>18</v>
      </c>
      <c r="Q532" t="s">
        <v>1110</v>
      </c>
    </row>
    <row r="533" spans="1:17" x14ac:dyDescent="0.3">
      <c r="A533" t="s">
        <v>17</v>
      </c>
      <c r="B533" t="str">
        <f>"600633"</f>
        <v>600633</v>
      </c>
      <c r="C533" t="s">
        <v>1111</v>
      </c>
      <c r="D533" t="s">
        <v>89</v>
      </c>
      <c r="F533">
        <v>445618812</v>
      </c>
      <c r="G533">
        <v>739695963</v>
      </c>
      <c r="H533">
        <v>394518593</v>
      </c>
      <c r="I533">
        <v>-186895525</v>
      </c>
      <c r="J533">
        <v>-516886458</v>
      </c>
      <c r="K533">
        <v>63876971</v>
      </c>
      <c r="L533">
        <v>127602242</v>
      </c>
      <c r="M533">
        <v>491021580</v>
      </c>
      <c r="N533">
        <v>690371933</v>
      </c>
      <c r="O533">
        <v>245863977</v>
      </c>
      <c r="P533">
        <v>325</v>
      </c>
      <c r="Q533" t="s">
        <v>1112</v>
      </c>
    </row>
    <row r="534" spans="1:17" x14ac:dyDescent="0.3">
      <c r="A534" t="s">
        <v>17</v>
      </c>
      <c r="B534" t="str">
        <f>"600634"</f>
        <v>600634</v>
      </c>
      <c r="C534" t="s">
        <v>1113</v>
      </c>
      <c r="G534">
        <v>-67956498</v>
      </c>
      <c r="H534">
        <v>42765935</v>
      </c>
      <c r="I534">
        <v>-618019937</v>
      </c>
      <c r="J534">
        <v>434145076</v>
      </c>
      <c r="K534">
        <v>-455846287</v>
      </c>
      <c r="L534">
        <v>186945123</v>
      </c>
      <c r="M534">
        <v>-60943191</v>
      </c>
      <c r="N534">
        <v>24054477</v>
      </c>
      <c r="O534">
        <v>-42457550</v>
      </c>
      <c r="P534">
        <v>48</v>
      </c>
      <c r="Q534" t="s">
        <v>1114</v>
      </c>
    </row>
    <row r="535" spans="1:17" x14ac:dyDescent="0.3">
      <c r="A535" t="s">
        <v>17</v>
      </c>
      <c r="B535" t="str">
        <f>"600635"</f>
        <v>600635</v>
      </c>
      <c r="C535" t="s">
        <v>1115</v>
      </c>
      <c r="D535" t="s">
        <v>41</v>
      </c>
      <c r="F535">
        <v>29689205</v>
      </c>
      <c r="G535">
        <v>-418061667</v>
      </c>
      <c r="H535">
        <v>539045296</v>
      </c>
      <c r="I535">
        <v>-466980668</v>
      </c>
      <c r="J535">
        <v>-415020587</v>
      </c>
      <c r="K535">
        <v>51296990</v>
      </c>
      <c r="L535">
        <v>-262738778</v>
      </c>
      <c r="M535">
        <v>4087474</v>
      </c>
      <c r="N535">
        <v>47222905</v>
      </c>
      <c r="O535">
        <v>107417162</v>
      </c>
      <c r="P535">
        <v>180</v>
      </c>
      <c r="Q535" t="s">
        <v>1116</v>
      </c>
    </row>
    <row r="536" spans="1:17" x14ac:dyDescent="0.3">
      <c r="A536" t="s">
        <v>17</v>
      </c>
      <c r="B536" t="str">
        <f>"600636"</f>
        <v>600636</v>
      </c>
      <c r="C536" t="s">
        <v>1117</v>
      </c>
      <c r="D536" t="s">
        <v>110</v>
      </c>
      <c r="F536">
        <v>84643731</v>
      </c>
      <c r="G536">
        <v>164071459</v>
      </c>
      <c r="H536">
        <v>135492714</v>
      </c>
      <c r="I536">
        <v>76866850</v>
      </c>
      <c r="J536">
        <v>-492264425</v>
      </c>
      <c r="K536">
        <v>-385828264</v>
      </c>
      <c r="L536">
        <v>-311926443</v>
      </c>
      <c r="M536">
        <v>-251486104</v>
      </c>
      <c r="N536">
        <v>111442835</v>
      </c>
      <c r="O536">
        <v>-113359390</v>
      </c>
      <c r="P536">
        <v>136</v>
      </c>
      <c r="Q536" t="s">
        <v>1118</v>
      </c>
    </row>
    <row r="537" spans="1:17" x14ac:dyDescent="0.3">
      <c r="A537" t="s">
        <v>17</v>
      </c>
      <c r="B537" t="str">
        <f>"600637"</f>
        <v>600637</v>
      </c>
      <c r="C537" t="s">
        <v>1119</v>
      </c>
      <c r="D537" t="s">
        <v>89</v>
      </c>
      <c r="F537">
        <v>21325628</v>
      </c>
      <c r="G537">
        <v>1249530040</v>
      </c>
      <c r="H537">
        <v>1101734742</v>
      </c>
      <c r="I537">
        <v>1448397362</v>
      </c>
      <c r="J537">
        <v>1947036603</v>
      </c>
      <c r="K537">
        <v>1588777610</v>
      </c>
      <c r="L537">
        <v>435127591</v>
      </c>
      <c r="M537">
        <v>530701274</v>
      </c>
      <c r="N537">
        <v>178145112</v>
      </c>
      <c r="O537">
        <v>585340328</v>
      </c>
      <c r="P537">
        <v>442</v>
      </c>
      <c r="Q537" t="s">
        <v>1120</v>
      </c>
    </row>
    <row r="538" spans="1:17" x14ac:dyDescent="0.3">
      <c r="A538" t="s">
        <v>17</v>
      </c>
      <c r="B538" t="str">
        <f>"600638"</f>
        <v>600638</v>
      </c>
      <c r="C538" t="s">
        <v>1121</v>
      </c>
      <c r="D538" t="s">
        <v>30</v>
      </c>
      <c r="F538">
        <v>1600296879</v>
      </c>
      <c r="G538">
        <v>1329008741</v>
      </c>
      <c r="H538">
        <v>308585537</v>
      </c>
      <c r="I538">
        <v>-629730463</v>
      </c>
      <c r="J538">
        <v>-451318508</v>
      </c>
      <c r="K538">
        <v>569227987</v>
      </c>
      <c r="L538">
        <v>470315059</v>
      </c>
      <c r="M538">
        <v>308770427</v>
      </c>
      <c r="N538">
        <v>-362545688</v>
      </c>
      <c r="O538">
        <v>350377339</v>
      </c>
      <c r="P538">
        <v>106</v>
      </c>
      <c r="Q538" t="s">
        <v>1122</v>
      </c>
    </row>
    <row r="539" spans="1:17" x14ac:dyDescent="0.3">
      <c r="A539" t="s">
        <v>17</v>
      </c>
      <c r="B539" t="str">
        <f>"600639"</f>
        <v>600639</v>
      </c>
      <c r="C539" t="s">
        <v>1123</v>
      </c>
      <c r="D539" t="s">
        <v>30</v>
      </c>
      <c r="F539">
        <v>1069353367</v>
      </c>
      <c r="G539">
        <v>3254971570</v>
      </c>
      <c r="H539">
        <v>-1401122304</v>
      </c>
      <c r="I539">
        <v>-491048752</v>
      </c>
      <c r="J539">
        <v>-115832453</v>
      </c>
      <c r="K539">
        <v>1058492488</v>
      </c>
      <c r="L539">
        <v>-1884338612</v>
      </c>
      <c r="M539">
        <v>277920114</v>
      </c>
      <c r="N539">
        <v>198809820</v>
      </c>
      <c r="O539">
        <v>-62190785</v>
      </c>
      <c r="P539">
        <v>189</v>
      </c>
      <c r="Q539" t="s">
        <v>1124</v>
      </c>
    </row>
    <row r="540" spans="1:17" x14ac:dyDescent="0.3">
      <c r="A540" t="s">
        <v>17</v>
      </c>
      <c r="B540" t="str">
        <f>"600640"</f>
        <v>600640</v>
      </c>
      <c r="C540" t="s">
        <v>1125</v>
      </c>
      <c r="D540" t="s">
        <v>89</v>
      </c>
      <c r="F540">
        <v>-14507515</v>
      </c>
      <c r="G540">
        <v>-210054100</v>
      </c>
      <c r="H540">
        <v>-390365142</v>
      </c>
      <c r="I540">
        <v>536851186</v>
      </c>
      <c r="J540">
        <v>-177120575</v>
      </c>
      <c r="K540">
        <v>160271669</v>
      </c>
      <c r="L540">
        <v>78667569</v>
      </c>
      <c r="M540">
        <v>4878775</v>
      </c>
      <c r="N540">
        <v>128035204</v>
      </c>
      <c r="O540">
        <v>56962502</v>
      </c>
      <c r="P540">
        <v>163</v>
      </c>
      <c r="Q540" t="s">
        <v>1126</v>
      </c>
    </row>
    <row r="541" spans="1:17" x14ac:dyDescent="0.3">
      <c r="A541" t="s">
        <v>17</v>
      </c>
      <c r="B541" t="str">
        <f>"600641"</f>
        <v>600641</v>
      </c>
      <c r="C541" t="s">
        <v>1127</v>
      </c>
      <c r="D541" t="s">
        <v>30</v>
      </c>
      <c r="F541">
        <v>325227524</v>
      </c>
      <c r="G541">
        <v>482167244</v>
      </c>
      <c r="H541">
        <v>95855601</v>
      </c>
      <c r="I541">
        <v>496696558</v>
      </c>
      <c r="J541">
        <v>679614284</v>
      </c>
      <c r="K541">
        <v>2649702287</v>
      </c>
      <c r="L541">
        <v>1501563937</v>
      </c>
      <c r="M541">
        <v>623452612</v>
      </c>
      <c r="N541">
        <v>417456269</v>
      </c>
      <c r="O541">
        <v>69844399</v>
      </c>
      <c r="P541">
        <v>404</v>
      </c>
      <c r="Q541" t="s">
        <v>1128</v>
      </c>
    </row>
    <row r="542" spans="1:17" x14ac:dyDescent="0.3">
      <c r="A542" t="s">
        <v>17</v>
      </c>
      <c r="B542" t="str">
        <f>"600642"</f>
        <v>600642</v>
      </c>
      <c r="C542" t="s">
        <v>1129</v>
      </c>
      <c r="D542" t="s">
        <v>41</v>
      </c>
      <c r="F542">
        <v>-1857871134</v>
      </c>
      <c r="G542">
        <v>409622168</v>
      </c>
      <c r="H542">
        <v>1375631488</v>
      </c>
      <c r="I542">
        <v>-1530081102</v>
      </c>
      <c r="J542">
        <v>-441364066</v>
      </c>
      <c r="K542">
        <v>482607812</v>
      </c>
      <c r="L542">
        <v>93824972</v>
      </c>
      <c r="M542">
        <v>2109644030</v>
      </c>
      <c r="N542">
        <v>1622248842</v>
      </c>
      <c r="O542">
        <v>1490143995</v>
      </c>
      <c r="P542">
        <v>458</v>
      </c>
      <c r="Q542" t="s">
        <v>1130</v>
      </c>
    </row>
    <row r="543" spans="1:17" x14ac:dyDescent="0.3">
      <c r="A543" t="s">
        <v>17</v>
      </c>
      <c r="B543" t="str">
        <f>"600643"</f>
        <v>600643</v>
      </c>
      <c r="C543" t="s">
        <v>1131</v>
      </c>
      <c r="D543" t="s">
        <v>75</v>
      </c>
      <c r="F543">
        <v>-3438603087</v>
      </c>
      <c r="G543">
        <v>-526971169</v>
      </c>
      <c r="H543">
        <v>-1550378258</v>
      </c>
      <c r="I543">
        <v>-1579524507</v>
      </c>
      <c r="J543">
        <v>662514420</v>
      </c>
      <c r="K543">
        <v>-231051812</v>
      </c>
      <c r="L543">
        <v>577431170</v>
      </c>
      <c r="M543">
        <v>-865829301</v>
      </c>
      <c r="N543">
        <v>-781229386</v>
      </c>
      <c r="O543">
        <v>-929768872</v>
      </c>
      <c r="P543">
        <v>344</v>
      </c>
      <c r="Q543" t="s">
        <v>1132</v>
      </c>
    </row>
    <row r="544" spans="1:17" x14ac:dyDescent="0.3">
      <c r="A544" t="s">
        <v>17</v>
      </c>
      <c r="B544" t="str">
        <f>"600644"</f>
        <v>600644</v>
      </c>
      <c r="C544" t="s">
        <v>1133</v>
      </c>
      <c r="D544" t="s">
        <v>41</v>
      </c>
      <c r="F544">
        <v>161493051</v>
      </c>
      <c r="G544">
        <v>56842178</v>
      </c>
      <c r="H544">
        <v>-40819830</v>
      </c>
      <c r="I544">
        <v>-163401256</v>
      </c>
      <c r="J544">
        <v>-96951001</v>
      </c>
      <c r="K544">
        <v>206502561</v>
      </c>
      <c r="L544">
        <v>5882563</v>
      </c>
      <c r="M544">
        <v>-136312102</v>
      </c>
      <c r="N544">
        <v>15486770</v>
      </c>
      <c r="O544">
        <v>-94464899</v>
      </c>
      <c r="P544">
        <v>81</v>
      </c>
      <c r="Q544" t="s">
        <v>1134</v>
      </c>
    </row>
    <row r="545" spans="1:17" x14ac:dyDescent="0.3">
      <c r="A545" t="s">
        <v>17</v>
      </c>
      <c r="B545" t="str">
        <f>"600645"</f>
        <v>600645</v>
      </c>
      <c r="C545" t="s">
        <v>1135</v>
      </c>
      <c r="D545" t="s">
        <v>113</v>
      </c>
      <c r="F545">
        <v>205850348</v>
      </c>
      <c r="G545">
        <v>164207512</v>
      </c>
      <c r="H545">
        <v>127796054</v>
      </c>
      <c r="I545">
        <v>24513091</v>
      </c>
      <c r="J545">
        <v>-12214854</v>
      </c>
      <c r="K545">
        <v>-125520579</v>
      </c>
      <c r="L545">
        <v>-116690828</v>
      </c>
      <c r="M545">
        <v>161427770</v>
      </c>
      <c r="N545">
        <v>40532437</v>
      </c>
      <c r="O545">
        <v>14858321</v>
      </c>
      <c r="P545">
        <v>223</v>
      </c>
      <c r="Q545" t="s">
        <v>1136</v>
      </c>
    </row>
    <row r="546" spans="1:17" x14ac:dyDescent="0.3">
      <c r="A546" t="s">
        <v>17</v>
      </c>
      <c r="B546" t="str">
        <f>"600646"</f>
        <v>600646</v>
      </c>
      <c r="C546" t="s">
        <v>1137</v>
      </c>
      <c r="P546">
        <v>2</v>
      </c>
      <c r="Q546" t="s">
        <v>1138</v>
      </c>
    </row>
    <row r="547" spans="1:17" x14ac:dyDescent="0.3">
      <c r="A547" t="s">
        <v>17</v>
      </c>
      <c r="B547" t="str">
        <f>"600647"</f>
        <v>600647</v>
      </c>
      <c r="C547" t="s">
        <v>1139</v>
      </c>
      <c r="D547" t="s">
        <v>103</v>
      </c>
      <c r="F547">
        <v>70819572</v>
      </c>
      <c r="G547">
        <v>-20319726</v>
      </c>
      <c r="H547">
        <v>-6239003</v>
      </c>
      <c r="I547">
        <v>-5443328</v>
      </c>
      <c r="J547">
        <v>-15361639</v>
      </c>
      <c r="K547">
        <v>7460528</v>
      </c>
      <c r="L547">
        <v>11555418</v>
      </c>
      <c r="M547">
        <v>-36007989</v>
      </c>
      <c r="N547">
        <v>113865083</v>
      </c>
      <c r="O547">
        <v>44447120</v>
      </c>
      <c r="P547">
        <v>75</v>
      </c>
      <c r="Q547" t="s">
        <v>1140</v>
      </c>
    </row>
    <row r="548" spans="1:17" x14ac:dyDescent="0.3">
      <c r="A548" t="s">
        <v>17</v>
      </c>
      <c r="B548" t="str">
        <f>"600648"</f>
        <v>600648</v>
      </c>
      <c r="C548" t="s">
        <v>1141</v>
      </c>
      <c r="D548" t="s">
        <v>30</v>
      </c>
      <c r="F548">
        <v>3435916838</v>
      </c>
      <c r="G548">
        <v>3987737411</v>
      </c>
      <c r="H548">
        <v>-2473653473</v>
      </c>
      <c r="I548">
        <v>256869153</v>
      </c>
      <c r="J548">
        <v>2720942583</v>
      </c>
      <c r="K548">
        <v>-680147418</v>
      </c>
      <c r="L548">
        <v>-470896430</v>
      </c>
      <c r="M548">
        <v>159102397</v>
      </c>
      <c r="N548">
        <v>-652327105</v>
      </c>
      <c r="O548">
        <v>2250140600</v>
      </c>
      <c r="P548">
        <v>139</v>
      </c>
      <c r="Q548" t="s">
        <v>1142</v>
      </c>
    </row>
    <row r="549" spans="1:17" x14ac:dyDescent="0.3">
      <c r="A549" t="s">
        <v>17</v>
      </c>
      <c r="B549" t="str">
        <f>"600649"</f>
        <v>600649</v>
      </c>
      <c r="C549" t="s">
        <v>1143</v>
      </c>
      <c r="D549" t="s">
        <v>30</v>
      </c>
      <c r="F549">
        <v>-12888629893</v>
      </c>
      <c r="G549">
        <v>626773410</v>
      </c>
      <c r="H549">
        <v>-5860984356</v>
      </c>
      <c r="I549">
        <v>54396450</v>
      </c>
      <c r="J549">
        <v>-684557870</v>
      </c>
      <c r="K549">
        <v>415030466</v>
      </c>
      <c r="L549">
        <v>1388768594</v>
      </c>
      <c r="M549">
        <v>-335497169</v>
      </c>
      <c r="N549">
        <v>529534492</v>
      </c>
      <c r="O549">
        <v>-1079240150</v>
      </c>
      <c r="P549">
        <v>205</v>
      </c>
      <c r="Q549" t="s">
        <v>1144</v>
      </c>
    </row>
    <row r="550" spans="1:17" x14ac:dyDescent="0.3">
      <c r="A550" t="s">
        <v>17</v>
      </c>
      <c r="B550" t="str">
        <f>"600650"</f>
        <v>600650</v>
      </c>
      <c r="C550" t="s">
        <v>1145</v>
      </c>
      <c r="D550" t="s">
        <v>22</v>
      </c>
      <c r="F550">
        <v>-109051420</v>
      </c>
      <c r="G550">
        <v>210418080</v>
      </c>
      <c r="H550">
        <v>122415429</v>
      </c>
      <c r="I550">
        <v>-7758496</v>
      </c>
      <c r="J550">
        <v>111886249</v>
      </c>
      <c r="K550">
        <v>-2033166</v>
      </c>
      <c r="L550">
        <v>10491863</v>
      </c>
      <c r="M550">
        <v>23232099</v>
      </c>
      <c r="N550">
        <v>101261831</v>
      </c>
      <c r="O550">
        <v>164431345</v>
      </c>
      <c r="P550">
        <v>114</v>
      </c>
      <c r="Q550" t="s">
        <v>1146</v>
      </c>
    </row>
    <row r="551" spans="1:17" x14ac:dyDescent="0.3">
      <c r="A551" t="s">
        <v>17</v>
      </c>
      <c r="B551" t="str">
        <f>"600651"</f>
        <v>600651</v>
      </c>
      <c r="C551" t="s">
        <v>1147</v>
      </c>
      <c r="D551" t="s">
        <v>150</v>
      </c>
      <c r="F551">
        <v>-80604286</v>
      </c>
      <c r="G551">
        <v>-356940220</v>
      </c>
      <c r="H551">
        <v>-92915005</v>
      </c>
      <c r="I551">
        <v>281107979</v>
      </c>
      <c r="J551">
        <v>-1033145382</v>
      </c>
      <c r="K551">
        <v>-716441417</v>
      </c>
      <c r="L551">
        <v>-687996331</v>
      </c>
      <c r="M551">
        <v>-35576536</v>
      </c>
      <c r="N551">
        <v>-74657598</v>
      </c>
      <c r="O551">
        <v>-39420270</v>
      </c>
      <c r="P551">
        <v>112</v>
      </c>
      <c r="Q551" t="s">
        <v>1148</v>
      </c>
    </row>
    <row r="552" spans="1:17" x14ac:dyDescent="0.3">
      <c r="A552" t="s">
        <v>17</v>
      </c>
      <c r="B552" t="str">
        <f>"600652"</f>
        <v>600652</v>
      </c>
      <c r="C552" t="s">
        <v>1149</v>
      </c>
      <c r="D552" t="s">
        <v>89</v>
      </c>
      <c r="F552">
        <v>-51962653</v>
      </c>
      <c r="G552">
        <v>16257134</v>
      </c>
      <c r="H552">
        <v>44700334</v>
      </c>
      <c r="I552">
        <v>-64653029</v>
      </c>
      <c r="J552">
        <v>-7828670</v>
      </c>
      <c r="K552">
        <v>89025112</v>
      </c>
      <c r="L552">
        <v>282837744</v>
      </c>
      <c r="M552">
        <v>56768419</v>
      </c>
      <c r="N552">
        <v>-308289807</v>
      </c>
      <c r="O552">
        <v>55949687</v>
      </c>
      <c r="P552">
        <v>79</v>
      </c>
      <c r="Q552" t="s">
        <v>1150</v>
      </c>
    </row>
    <row r="553" spans="1:17" x14ac:dyDescent="0.3">
      <c r="A553" t="s">
        <v>17</v>
      </c>
      <c r="B553" t="str">
        <f>"600653"</f>
        <v>600653</v>
      </c>
      <c r="C553" t="s">
        <v>1151</v>
      </c>
      <c r="D553" t="s">
        <v>27</v>
      </c>
      <c r="F553">
        <v>333405083</v>
      </c>
      <c r="G553">
        <v>366807866</v>
      </c>
      <c r="H553">
        <v>-723043652</v>
      </c>
      <c r="I553">
        <v>188222446</v>
      </c>
      <c r="J553">
        <v>-576574206</v>
      </c>
      <c r="K553">
        <v>-752624605</v>
      </c>
      <c r="L553">
        <v>-93423946</v>
      </c>
      <c r="M553">
        <v>9170358</v>
      </c>
      <c r="N553">
        <v>-209406354</v>
      </c>
      <c r="O553">
        <v>-349511801</v>
      </c>
      <c r="P553">
        <v>93</v>
      </c>
      <c r="Q553" t="s">
        <v>1152</v>
      </c>
    </row>
    <row r="554" spans="1:17" x14ac:dyDescent="0.3">
      <c r="A554" t="s">
        <v>17</v>
      </c>
      <c r="B554" t="str">
        <f>"600654"</f>
        <v>600654</v>
      </c>
      <c r="C554" t="s">
        <v>1153</v>
      </c>
      <c r="D554" t="s">
        <v>212</v>
      </c>
      <c r="F554">
        <v>-126602445</v>
      </c>
      <c r="G554">
        <v>127497938</v>
      </c>
      <c r="H554">
        <v>139498854</v>
      </c>
      <c r="I554">
        <v>602684484</v>
      </c>
      <c r="J554">
        <v>-5051074</v>
      </c>
      <c r="K554">
        <v>-2059098481</v>
      </c>
      <c r="L554">
        <v>-1393942970</v>
      </c>
      <c r="M554">
        <v>-80937224</v>
      </c>
      <c r="N554">
        <v>-59665511</v>
      </c>
      <c r="O554">
        <v>-38343096</v>
      </c>
      <c r="P554">
        <v>76</v>
      </c>
      <c r="Q554" t="s">
        <v>1154</v>
      </c>
    </row>
    <row r="555" spans="1:17" x14ac:dyDescent="0.3">
      <c r="A555" t="s">
        <v>17</v>
      </c>
      <c r="B555" t="str">
        <f>"600655"</f>
        <v>600655</v>
      </c>
      <c r="C555" t="s">
        <v>1155</v>
      </c>
      <c r="D555" t="s">
        <v>120</v>
      </c>
      <c r="F555">
        <v>-7657796461</v>
      </c>
      <c r="G555">
        <v>-1824419006</v>
      </c>
      <c r="H555">
        <v>3019180326</v>
      </c>
      <c r="I555">
        <v>6651375914</v>
      </c>
      <c r="J555">
        <v>360298908</v>
      </c>
      <c r="K555">
        <v>-958748845</v>
      </c>
      <c r="L555">
        <v>-663852314</v>
      </c>
      <c r="M555">
        <v>14674769</v>
      </c>
      <c r="N555">
        <v>587915156</v>
      </c>
      <c r="O555">
        <v>1539359525</v>
      </c>
      <c r="P555">
        <v>409</v>
      </c>
      <c r="Q555" t="s">
        <v>1156</v>
      </c>
    </row>
    <row r="556" spans="1:17" x14ac:dyDescent="0.3">
      <c r="A556" t="s">
        <v>17</v>
      </c>
      <c r="B556" t="str">
        <f>"600656"</f>
        <v>600656</v>
      </c>
      <c r="C556" t="s">
        <v>1157</v>
      </c>
      <c r="L556">
        <v>31998.91</v>
      </c>
      <c r="M556">
        <v>-46389888.649999999</v>
      </c>
      <c r="N556">
        <v>127057931.25</v>
      </c>
      <c r="O556">
        <v>-13989190.119999999</v>
      </c>
      <c r="P556">
        <v>3</v>
      </c>
      <c r="Q556" t="s">
        <v>1158</v>
      </c>
    </row>
    <row r="557" spans="1:17" x14ac:dyDescent="0.3">
      <c r="A557" t="s">
        <v>17</v>
      </c>
      <c r="B557" t="str">
        <f>"600657"</f>
        <v>600657</v>
      </c>
      <c r="C557" t="s">
        <v>1159</v>
      </c>
      <c r="D557" t="s">
        <v>30</v>
      </c>
      <c r="F557">
        <v>2710709990</v>
      </c>
      <c r="G557">
        <v>7367669504</v>
      </c>
      <c r="H557">
        <v>8091132020</v>
      </c>
      <c r="I557">
        <v>7083405539</v>
      </c>
      <c r="J557">
        <v>14420805586</v>
      </c>
      <c r="K557">
        <v>-1443909019</v>
      </c>
      <c r="L557">
        <v>-4303570465</v>
      </c>
      <c r="M557">
        <v>-5424152169</v>
      </c>
      <c r="N557">
        <v>-3078735545</v>
      </c>
      <c r="O557">
        <v>-2167175094</v>
      </c>
      <c r="P557">
        <v>423</v>
      </c>
      <c r="Q557" t="s">
        <v>1160</v>
      </c>
    </row>
    <row r="558" spans="1:17" x14ac:dyDescent="0.3">
      <c r="A558" t="s">
        <v>17</v>
      </c>
      <c r="B558" t="str">
        <f>"600658"</f>
        <v>600658</v>
      </c>
      <c r="C558" t="s">
        <v>1161</v>
      </c>
      <c r="D558" t="s">
        <v>30</v>
      </c>
      <c r="F558">
        <v>2261098390</v>
      </c>
      <c r="G558">
        <v>927532550</v>
      </c>
      <c r="H558">
        <v>-2344736911</v>
      </c>
      <c r="I558">
        <v>-3865433730</v>
      </c>
      <c r="J558">
        <v>493696113</v>
      </c>
      <c r="K558">
        <v>-428360482</v>
      </c>
      <c r="L558">
        <v>574720140</v>
      </c>
      <c r="M558">
        <v>392629737</v>
      </c>
      <c r="N558">
        <v>80769484</v>
      </c>
      <c r="O558">
        <v>575731423</v>
      </c>
      <c r="P558">
        <v>136</v>
      </c>
      <c r="Q558" t="s">
        <v>1162</v>
      </c>
    </row>
    <row r="559" spans="1:17" x14ac:dyDescent="0.3">
      <c r="A559" t="s">
        <v>17</v>
      </c>
      <c r="B559" t="str">
        <f>"600660"</f>
        <v>600660</v>
      </c>
      <c r="C559" t="s">
        <v>1163</v>
      </c>
      <c r="D559" t="s">
        <v>27</v>
      </c>
      <c r="F559">
        <v>3486326140</v>
      </c>
      <c r="G559">
        <v>3538488156</v>
      </c>
      <c r="H559">
        <v>2388188459</v>
      </c>
      <c r="I559">
        <v>2279881766</v>
      </c>
      <c r="J559">
        <v>1290020811</v>
      </c>
      <c r="K559">
        <v>124469159</v>
      </c>
      <c r="L559">
        <v>-190837922</v>
      </c>
      <c r="M559">
        <v>426110961</v>
      </c>
      <c r="N559">
        <v>1189410077</v>
      </c>
      <c r="O559">
        <v>963838090</v>
      </c>
      <c r="P559">
        <v>13821</v>
      </c>
      <c r="Q559" t="s">
        <v>1164</v>
      </c>
    </row>
    <row r="560" spans="1:17" x14ac:dyDescent="0.3">
      <c r="A560" t="s">
        <v>17</v>
      </c>
      <c r="B560" t="str">
        <f>"600661"</f>
        <v>600661</v>
      </c>
      <c r="C560" t="s">
        <v>1165</v>
      </c>
      <c r="D560" t="s">
        <v>110</v>
      </c>
      <c r="F560">
        <v>-364902756</v>
      </c>
      <c r="G560">
        <v>-69344683</v>
      </c>
      <c r="H560">
        <v>-187845440</v>
      </c>
      <c r="I560">
        <v>-1095124</v>
      </c>
      <c r="J560">
        <v>285135977</v>
      </c>
      <c r="K560">
        <v>319384690</v>
      </c>
      <c r="L560">
        <v>186612023</v>
      </c>
      <c r="M560">
        <v>159429999</v>
      </c>
      <c r="N560">
        <v>50551528</v>
      </c>
      <c r="O560">
        <v>17357692</v>
      </c>
      <c r="P560">
        <v>147</v>
      </c>
      <c r="Q560" t="s">
        <v>1166</v>
      </c>
    </row>
    <row r="561" spans="1:17" x14ac:dyDescent="0.3">
      <c r="A561" t="s">
        <v>17</v>
      </c>
      <c r="B561" t="str">
        <f>"600662"</f>
        <v>600662</v>
      </c>
      <c r="C561" t="s">
        <v>1167</v>
      </c>
      <c r="D561" t="s">
        <v>22</v>
      </c>
      <c r="F561">
        <v>2030585852</v>
      </c>
      <c r="G561">
        <v>53527633</v>
      </c>
      <c r="H561">
        <v>204041312</v>
      </c>
      <c r="I561">
        <v>219830917</v>
      </c>
      <c r="J561">
        <v>318082102</v>
      </c>
      <c r="K561">
        <v>549588080</v>
      </c>
      <c r="L561">
        <v>24801398</v>
      </c>
      <c r="M561">
        <v>333227159</v>
      </c>
      <c r="N561">
        <v>444801964</v>
      </c>
      <c r="O561">
        <v>14351228</v>
      </c>
      <c r="P561">
        <v>131</v>
      </c>
      <c r="Q561" t="s">
        <v>1168</v>
      </c>
    </row>
    <row r="562" spans="1:17" x14ac:dyDescent="0.3">
      <c r="A562" t="s">
        <v>17</v>
      </c>
      <c r="B562" t="str">
        <f>"600663"</f>
        <v>600663</v>
      </c>
      <c r="C562" t="s">
        <v>1169</v>
      </c>
      <c r="D562" t="s">
        <v>30</v>
      </c>
      <c r="F562">
        <v>912807285</v>
      </c>
      <c r="G562">
        <v>-4745559688</v>
      </c>
      <c r="H562">
        <v>-8301043499</v>
      </c>
      <c r="I562">
        <v>1877039058</v>
      </c>
      <c r="J562">
        <v>-6806454786</v>
      </c>
      <c r="K562">
        <v>-1867025296</v>
      </c>
      <c r="L562">
        <v>2516016211</v>
      </c>
      <c r="M562">
        <v>-1161999644</v>
      </c>
      <c r="N562">
        <v>643822505</v>
      </c>
      <c r="O562">
        <v>1736316293</v>
      </c>
      <c r="P562">
        <v>701</v>
      </c>
      <c r="Q562" t="s">
        <v>1170</v>
      </c>
    </row>
    <row r="563" spans="1:17" x14ac:dyDescent="0.3">
      <c r="A563" t="s">
        <v>17</v>
      </c>
      <c r="B563" t="str">
        <f>"600664"</f>
        <v>600664</v>
      </c>
      <c r="C563" t="s">
        <v>1171</v>
      </c>
      <c r="D563" t="s">
        <v>113</v>
      </c>
      <c r="F563">
        <v>-61670785</v>
      </c>
      <c r="G563">
        <v>-831179324</v>
      </c>
      <c r="H563">
        <v>-321016223</v>
      </c>
      <c r="I563">
        <v>580167428</v>
      </c>
      <c r="J563">
        <v>50747923</v>
      </c>
      <c r="K563">
        <v>2674458418</v>
      </c>
      <c r="L563">
        <v>1375386402</v>
      </c>
      <c r="M563">
        <v>762301343</v>
      </c>
      <c r="N563">
        <v>-223876333</v>
      </c>
      <c r="O563">
        <v>393570514</v>
      </c>
      <c r="P563">
        <v>499</v>
      </c>
      <c r="Q563" t="s">
        <v>1172</v>
      </c>
    </row>
    <row r="564" spans="1:17" x14ac:dyDescent="0.3">
      <c r="A564" t="s">
        <v>17</v>
      </c>
      <c r="B564" t="str">
        <f>"600665"</f>
        <v>600665</v>
      </c>
      <c r="C564" t="s">
        <v>1173</v>
      </c>
      <c r="D564" t="s">
        <v>30</v>
      </c>
      <c r="F564">
        <v>661456880</v>
      </c>
      <c r="G564">
        <v>3869995921</v>
      </c>
      <c r="H564">
        <v>561563892</v>
      </c>
      <c r="I564">
        <v>860515746</v>
      </c>
      <c r="J564">
        <v>-168656567</v>
      </c>
      <c r="K564">
        <v>1361731455</v>
      </c>
      <c r="L564">
        <v>-1400857482</v>
      </c>
      <c r="M564">
        <v>-587386273</v>
      </c>
      <c r="N564">
        <v>-1399663995</v>
      </c>
      <c r="O564">
        <v>-254441735</v>
      </c>
      <c r="P564">
        <v>455</v>
      </c>
      <c r="Q564" t="s">
        <v>1174</v>
      </c>
    </row>
    <row r="565" spans="1:17" x14ac:dyDescent="0.3">
      <c r="A565" t="s">
        <v>17</v>
      </c>
      <c r="B565" t="str">
        <f>"600666"</f>
        <v>600666</v>
      </c>
      <c r="C565" t="s">
        <v>1175</v>
      </c>
      <c r="D565" t="s">
        <v>150</v>
      </c>
      <c r="F565">
        <v>23916987</v>
      </c>
      <c r="G565">
        <v>-39016288</v>
      </c>
      <c r="H565">
        <v>209802808</v>
      </c>
      <c r="I565">
        <v>-33694132</v>
      </c>
      <c r="J565">
        <v>200851678</v>
      </c>
      <c r="K565">
        <v>-527865761</v>
      </c>
      <c r="L565">
        <v>-402781397</v>
      </c>
      <c r="M565">
        <v>67079880</v>
      </c>
      <c r="N565">
        <v>-128074664</v>
      </c>
      <c r="O565">
        <v>33572429</v>
      </c>
      <c r="P565">
        <v>75</v>
      </c>
      <c r="Q565" t="s">
        <v>1176</v>
      </c>
    </row>
    <row r="566" spans="1:17" x14ac:dyDescent="0.3">
      <c r="A566" t="s">
        <v>17</v>
      </c>
      <c r="B566" t="str">
        <f>"600667"</f>
        <v>600667</v>
      </c>
      <c r="C566" t="s">
        <v>1177</v>
      </c>
      <c r="D566" t="s">
        <v>150</v>
      </c>
      <c r="F566">
        <v>1020289163</v>
      </c>
      <c r="G566">
        <v>1265170088</v>
      </c>
      <c r="H566">
        <v>474425253</v>
      </c>
      <c r="I566">
        <v>461408145</v>
      </c>
      <c r="J566">
        <v>-626040953</v>
      </c>
      <c r="K566">
        <v>-239250651</v>
      </c>
      <c r="L566">
        <v>448107504</v>
      </c>
      <c r="M566">
        <v>615272068</v>
      </c>
      <c r="N566">
        <v>422542939</v>
      </c>
      <c r="O566">
        <v>219343399</v>
      </c>
      <c r="P566">
        <v>445</v>
      </c>
      <c r="Q566" t="s">
        <v>1178</v>
      </c>
    </row>
    <row r="567" spans="1:17" x14ac:dyDescent="0.3">
      <c r="A567" t="s">
        <v>17</v>
      </c>
      <c r="B567" t="str">
        <f>"600668"</f>
        <v>600668</v>
      </c>
      <c r="C567" t="s">
        <v>1179</v>
      </c>
      <c r="D567" t="s">
        <v>103</v>
      </c>
      <c r="F567">
        <v>226682291</v>
      </c>
      <c r="G567">
        <v>56007639</v>
      </c>
      <c r="H567">
        <v>251565441</v>
      </c>
      <c r="I567">
        <v>571744348</v>
      </c>
      <c r="J567">
        <v>318728974</v>
      </c>
      <c r="K567">
        <v>332014388</v>
      </c>
      <c r="L567">
        <v>-2766864</v>
      </c>
      <c r="M567">
        <v>174374966</v>
      </c>
      <c r="N567">
        <v>-60584068</v>
      </c>
      <c r="O567">
        <v>-88024827</v>
      </c>
      <c r="P567">
        <v>343</v>
      </c>
      <c r="Q567" t="s">
        <v>1180</v>
      </c>
    </row>
    <row r="568" spans="1:17" x14ac:dyDescent="0.3">
      <c r="A568" t="s">
        <v>17</v>
      </c>
      <c r="B568" t="str">
        <f>"600669"</f>
        <v>600669</v>
      </c>
      <c r="C568" t="s">
        <v>1181</v>
      </c>
      <c r="K568">
        <v>67641659.030000001</v>
      </c>
      <c r="L568">
        <v>-74000353.799999997</v>
      </c>
      <c r="P568">
        <v>2</v>
      </c>
      <c r="Q568" t="s">
        <v>1182</v>
      </c>
    </row>
    <row r="569" spans="1:17" x14ac:dyDescent="0.3">
      <c r="A569" t="s">
        <v>17</v>
      </c>
      <c r="B569" t="str">
        <f>"600670"</f>
        <v>600670</v>
      </c>
      <c r="C569" t="s">
        <v>1183</v>
      </c>
      <c r="K569">
        <v>24053421.32</v>
      </c>
      <c r="L569">
        <v>-2120968.39</v>
      </c>
      <c r="N569">
        <v>2948.66</v>
      </c>
      <c r="P569">
        <v>2</v>
      </c>
      <c r="Q569" t="s">
        <v>1184</v>
      </c>
    </row>
    <row r="570" spans="1:17" x14ac:dyDescent="0.3">
      <c r="A570" t="s">
        <v>17</v>
      </c>
      <c r="B570" t="str">
        <f>"600671"</f>
        <v>600671</v>
      </c>
      <c r="C570" t="s">
        <v>1185</v>
      </c>
      <c r="D570" t="s">
        <v>113</v>
      </c>
      <c r="F570">
        <v>-30798541</v>
      </c>
      <c r="G570">
        <v>-18434710</v>
      </c>
      <c r="H570">
        <v>67944021</v>
      </c>
      <c r="I570">
        <v>50558979</v>
      </c>
      <c r="J570">
        <v>1178387</v>
      </c>
      <c r="K570">
        <v>-23451462</v>
      </c>
      <c r="L570">
        <v>-14334196</v>
      </c>
      <c r="M570">
        <v>-24667146</v>
      </c>
      <c r="N570">
        <v>10921189</v>
      </c>
      <c r="O570">
        <v>-20718328</v>
      </c>
      <c r="P570">
        <v>104</v>
      </c>
      <c r="Q570" t="s">
        <v>1186</v>
      </c>
    </row>
    <row r="571" spans="1:17" x14ac:dyDescent="0.3">
      <c r="A571" t="s">
        <v>17</v>
      </c>
      <c r="B571" t="str">
        <f>"600672"</f>
        <v>600672</v>
      </c>
      <c r="C571" t="s">
        <v>1187</v>
      </c>
      <c r="K571">
        <v>8763446.8000000007</v>
      </c>
      <c r="L571">
        <v>25160504.719999999</v>
      </c>
      <c r="M571">
        <v>-716.38</v>
      </c>
      <c r="N571">
        <v>-714.84</v>
      </c>
      <c r="P571">
        <v>2</v>
      </c>
      <c r="Q571" t="s">
        <v>1188</v>
      </c>
    </row>
    <row r="572" spans="1:17" x14ac:dyDescent="0.3">
      <c r="A572" t="s">
        <v>17</v>
      </c>
      <c r="B572" t="str">
        <f>"600673"</f>
        <v>600673</v>
      </c>
      <c r="C572" t="s">
        <v>1189</v>
      </c>
      <c r="D572" t="s">
        <v>113</v>
      </c>
      <c r="F572">
        <v>751835027</v>
      </c>
      <c r="G572">
        <v>-1098193853</v>
      </c>
      <c r="H572">
        <v>-36563512</v>
      </c>
      <c r="I572">
        <v>-167784395</v>
      </c>
      <c r="J572">
        <v>57621034</v>
      </c>
      <c r="K572">
        <v>340470624</v>
      </c>
      <c r="L572">
        <v>262230671</v>
      </c>
      <c r="M572">
        <v>-268212262</v>
      </c>
      <c r="N572">
        <v>-313457507</v>
      </c>
      <c r="O572">
        <v>159636164</v>
      </c>
      <c r="P572">
        <v>275</v>
      </c>
      <c r="Q572" t="s">
        <v>1190</v>
      </c>
    </row>
    <row r="573" spans="1:17" x14ac:dyDescent="0.3">
      <c r="A573" t="s">
        <v>17</v>
      </c>
      <c r="B573" t="str">
        <f>"600674"</f>
        <v>600674</v>
      </c>
      <c r="C573" t="s">
        <v>1191</v>
      </c>
      <c r="D573" t="s">
        <v>41</v>
      </c>
      <c r="F573">
        <v>-358355360</v>
      </c>
      <c r="G573">
        <v>-33520269</v>
      </c>
      <c r="H573">
        <v>219237145</v>
      </c>
      <c r="I573">
        <v>414568512</v>
      </c>
      <c r="J573">
        <v>482764727</v>
      </c>
      <c r="K573">
        <v>344138578</v>
      </c>
      <c r="L573">
        <v>562436025</v>
      </c>
      <c r="M573">
        <v>489337182</v>
      </c>
      <c r="N573">
        <v>657422081</v>
      </c>
      <c r="O573">
        <v>570042317</v>
      </c>
      <c r="P573">
        <v>1531</v>
      </c>
      <c r="Q573" t="s">
        <v>1192</v>
      </c>
    </row>
    <row r="574" spans="1:17" x14ac:dyDescent="0.3">
      <c r="A574" t="s">
        <v>17</v>
      </c>
      <c r="B574" t="str">
        <f>"600675"</f>
        <v>600675</v>
      </c>
      <c r="C574" t="s">
        <v>1193</v>
      </c>
      <c r="D574" t="s">
        <v>30</v>
      </c>
      <c r="F574">
        <v>2847411141</v>
      </c>
      <c r="G574">
        <v>2539009897</v>
      </c>
      <c r="H574">
        <v>-870546906</v>
      </c>
      <c r="I574">
        <v>8505756771</v>
      </c>
      <c r="J574">
        <v>5229997085</v>
      </c>
      <c r="K574">
        <v>8928622731</v>
      </c>
      <c r="L574">
        <v>4912676838</v>
      </c>
      <c r="M574">
        <v>-154800973</v>
      </c>
      <c r="N574">
        <v>-684777729</v>
      </c>
      <c r="O574">
        <v>1630133230</v>
      </c>
      <c r="P574">
        <v>186</v>
      </c>
      <c r="Q574" t="s">
        <v>1194</v>
      </c>
    </row>
    <row r="575" spans="1:17" x14ac:dyDescent="0.3">
      <c r="A575" t="s">
        <v>17</v>
      </c>
      <c r="B575" t="str">
        <f>"600676"</f>
        <v>600676</v>
      </c>
      <c r="C575" t="s">
        <v>1195</v>
      </c>
      <c r="D575" t="s">
        <v>103</v>
      </c>
      <c r="F575">
        <v>235588275</v>
      </c>
      <c r="G575">
        <v>364820411</v>
      </c>
      <c r="H575">
        <v>323822154</v>
      </c>
      <c r="I575">
        <v>60626704</v>
      </c>
      <c r="J575">
        <v>-49135435</v>
      </c>
      <c r="K575">
        <v>116907362</v>
      </c>
      <c r="L575">
        <v>201484349</v>
      </c>
      <c r="M575">
        <v>48472445</v>
      </c>
      <c r="N575">
        <v>48796289</v>
      </c>
      <c r="O575">
        <v>47681535</v>
      </c>
      <c r="P575">
        <v>88</v>
      </c>
      <c r="Q575" t="s">
        <v>1196</v>
      </c>
    </row>
    <row r="576" spans="1:17" x14ac:dyDescent="0.3">
      <c r="A576" t="s">
        <v>17</v>
      </c>
      <c r="B576" t="str">
        <f>"600677"</f>
        <v>600677</v>
      </c>
      <c r="C576" t="s">
        <v>1197</v>
      </c>
      <c r="H576">
        <v>805624513</v>
      </c>
      <c r="I576">
        <v>-29449482</v>
      </c>
      <c r="J576">
        <v>-977950002</v>
      </c>
      <c r="K576">
        <v>-1761671963</v>
      </c>
      <c r="L576">
        <v>14205161</v>
      </c>
      <c r="M576">
        <v>-402154004</v>
      </c>
      <c r="N576">
        <v>132972207</v>
      </c>
      <c r="O576">
        <v>-201660800</v>
      </c>
      <c r="P576">
        <v>77</v>
      </c>
      <c r="Q576" t="s">
        <v>1198</v>
      </c>
    </row>
    <row r="577" spans="1:17" x14ac:dyDescent="0.3">
      <c r="A577" t="s">
        <v>17</v>
      </c>
      <c r="B577" t="str">
        <f>"600678"</f>
        <v>600678</v>
      </c>
      <c r="C577" t="s">
        <v>1199</v>
      </c>
      <c r="D577" t="s">
        <v>350</v>
      </c>
      <c r="F577">
        <v>58905187</v>
      </c>
      <c r="G577">
        <v>89339465</v>
      </c>
      <c r="H577">
        <v>95857628</v>
      </c>
      <c r="I577">
        <v>6766914</v>
      </c>
      <c r="J577">
        <v>3479796</v>
      </c>
      <c r="K577">
        <v>-2540789</v>
      </c>
      <c r="L577">
        <v>-56305432</v>
      </c>
      <c r="M577">
        <v>-50512863</v>
      </c>
      <c r="N577">
        <v>-184873758</v>
      </c>
      <c r="O577">
        <v>-216118932</v>
      </c>
      <c r="P577">
        <v>195</v>
      </c>
      <c r="Q577" t="s">
        <v>1200</v>
      </c>
    </row>
    <row r="578" spans="1:17" x14ac:dyDescent="0.3">
      <c r="A578" t="s">
        <v>17</v>
      </c>
      <c r="B578" t="str">
        <f>"600679"</f>
        <v>600679</v>
      </c>
      <c r="C578" t="s">
        <v>1201</v>
      </c>
      <c r="D578" t="s">
        <v>27</v>
      </c>
      <c r="F578">
        <v>20305337</v>
      </c>
      <c r="G578">
        <v>107127638</v>
      </c>
      <c r="H578">
        <v>21423423</v>
      </c>
      <c r="I578">
        <v>-38785452</v>
      </c>
      <c r="J578">
        <v>29344732</v>
      </c>
      <c r="K578">
        <v>15964942</v>
      </c>
      <c r="L578">
        <v>45850875</v>
      </c>
      <c r="M578">
        <v>76396655</v>
      </c>
      <c r="N578">
        <v>4563404</v>
      </c>
      <c r="O578">
        <v>-41614300</v>
      </c>
      <c r="P578">
        <v>77</v>
      </c>
      <c r="Q578" t="s">
        <v>1202</v>
      </c>
    </row>
    <row r="579" spans="1:17" x14ac:dyDescent="0.3">
      <c r="A579" t="s">
        <v>17</v>
      </c>
      <c r="B579" t="str">
        <f>"600680"</f>
        <v>600680</v>
      </c>
      <c r="C579" t="s">
        <v>1203</v>
      </c>
      <c r="H579">
        <v>150674994</v>
      </c>
      <c r="I579">
        <v>54708611</v>
      </c>
      <c r="J579">
        <v>-5540818</v>
      </c>
      <c r="K579">
        <v>-12194900</v>
      </c>
      <c r="L579">
        <v>-205298971.62</v>
      </c>
      <c r="M579">
        <v>-298951457.88</v>
      </c>
      <c r="N579">
        <v>-324902533.13999999</v>
      </c>
      <c r="O579">
        <v>-209467020.16</v>
      </c>
      <c r="P579">
        <v>20</v>
      </c>
      <c r="Q579" t="s">
        <v>1204</v>
      </c>
    </row>
    <row r="580" spans="1:17" x14ac:dyDescent="0.3">
      <c r="A580" t="s">
        <v>17</v>
      </c>
      <c r="B580" t="str">
        <f>"600681"</f>
        <v>600681</v>
      </c>
      <c r="C580" t="s">
        <v>1205</v>
      </c>
      <c r="D580" t="s">
        <v>41</v>
      </c>
      <c r="F580">
        <v>905507810</v>
      </c>
      <c r="G580">
        <v>680476330</v>
      </c>
      <c r="H580">
        <v>1016529609</v>
      </c>
      <c r="I580">
        <v>661102343</v>
      </c>
      <c r="J580">
        <v>-142991308</v>
      </c>
      <c r="K580">
        <v>-173641971</v>
      </c>
      <c r="L580">
        <v>-27834709</v>
      </c>
      <c r="M580">
        <v>-3478463</v>
      </c>
      <c r="N580">
        <v>-7815632</v>
      </c>
      <c r="O580">
        <v>7415985</v>
      </c>
      <c r="P580">
        <v>472</v>
      </c>
      <c r="Q580" t="s">
        <v>1206</v>
      </c>
    </row>
    <row r="581" spans="1:17" x14ac:dyDescent="0.3">
      <c r="A581" t="s">
        <v>17</v>
      </c>
      <c r="B581" t="str">
        <f>"600682"</f>
        <v>600682</v>
      </c>
      <c r="C581" t="s">
        <v>1207</v>
      </c>
      <c r="D581" t="s">
        <v>113</v>
      </c>
      <c r="F581">
        <v>1611180364</v>
      </c>
      <c r="G581">
        <v>1734134806</v>
      </c>
      <c r="H581">
        <v>1074741794</v>
      </c>
      <c r="I581">
        <v>826158658</v>
      </c>
      <c r="J581">
        <v>-241632241</v>
      </c>
      <c r="K581">
        <v>2009389810</v>
      </c>
      <c r="L581">
        <v>1952236408</v>
      </c>
      <c r="M581">
        <v>1211287896</v>
      </c>
      <c r="N581">
        <v>236309982</v>
      </c>
      <c r="O581">
        <v>153829502</v>
      </c>
      <c r="P581">
        <v>237</v>
      </c>
      <c r="Q581" t="s">
        <v>1208</v>
      </c>
    </row>
    <row r="582" spans="1:17" x14ac:dyDescent="0.3">
      <c r="A582" t="s">
        <v>17</v>
      </c>
      <c r="B582" t="str">
        <f>"600683"</f>
        <v>600683</v>
      </c>
      <c r="C582" t="s">
        <v>1209</v>
      </c>
      <c r="D582" t="s">
        <v>30</v>
      </c>
      <c r="F582">
        <v>7531498357</v>
      </c>
      <c r="G582">
        <v>9858210862</v>
      </c>
      <c r="H582">
        <v>-7259872806</v>
      </c>
      <c r="I582">
        <v>168059789</v>
      </c>
      <c r="J582">
        <v>-176390866</v>
      </c>
      <c r="K582">
        <v>5048078290</v>
      </c>
      <c r="L582">
        <v>3490668270</v>
      </c>
      <c r="M582">
        <v>164181548</v>
      </c>
      <c r="N582">
        <v>-7838890109</v>
      </c>
      <c r="O582">
        <v>-718897506</v>
      </c>
      <c r="P582">
        <v>224</v>
      </c>
      <c r="Q582" t="s">
        <v>1210</v>
      </c>
    </row>
    <row r="583" spans="1:17" x14ac:dyDescent="0.3">
      <c r="A583" t="s">
        <v>17</v>
      </c>
      <c r="B583" t="str">
        <f>"600684"</f>
        <v>600684</v>
      </c>
      <c r="C583" t="s">
        <v>1211</v>
      </c>
      <c r="D583" t="s">
        <v>30</v>
      </c>
      <c r="F583">
        <v>-746655601</v>
      </c>
      <c r="G583">
        <v>670052730</v>
      </c>
      <c r="H583">
        <v>-124255954</v>
      </c>
      <c r="I583">
        <v>458708805</v>
      </c>
      <c r="J583">
        <v>773506365</v>
      </c>
      <c r="K583">
        <v>1124551716</v>
      </c>
      <c r="L583">
        <v>377527752</v>
      </c>
      <c r="M583">
        <v>-1098703966</v>
      </c>
      <c r="N583">
        <v>237967278</v>
      </c>
      <c r="O583">
        <v>400127149</v>
      </c>
      <c r="P583">
        <v>124</v>
      </c>
      <c r="Q583" t="s">
        <v>1212</v>
      </c>
    </row>
    <row r="584" spans="1:17" x14ac:dyDescent="0.3">
      <c r="A584" t="s">
        <v>17</v>
      </c>
      <c r="B584" t="str">
        <f>"600685"</f>
        <v>600685</v>
      </c>
      <c r="C584" t="s">
        <v>1213</v>
      </c>
      <c r="D584" t="s">
        <v>92</v>
      </c>
      <c r="F584">
        <v>4074609730</v>
      </c>
      <c r="G584">
        <v>-1474549054</v>
      </c>
      <c r="H584">
        <v>2866009266</v>
      </c>
      <c r="I584">
        <v>-2329530298</v>
      </c>
      <c r="J584">
        <v>-1474617476</v>
      </c>
      <c r="K584">
        <v>-4561025370</v>
      </c>
      <c r="L584">
        <v>-1913339436</v>
      </c>
      <c r="M584">
        <v>422114078</v>
      </c>
      <c r="N584">
        <v>-420088728</v>
      </c>
      <c r="O584">
        <v>-335159265</v>
      </c>
      <c r="P584">
        <v>263</v>
      </c>
      <c r="Q584" t="s">
        <v>1214</v>
      </c>
    </row>
    <row r="585" spans="1:17" x14ac:dyDescent="0.3">
      <c r="A585" t="s">
        <v>17</v>
      </c>
      <c r="B585" t="str">
        <f>"600686"</f>
        <v>600686</v>
      </c>
      <c r="C585" t="s">
        <v>1215</v>
      </c>
      <c r="D585" t="s">
        <v>27</v>
      </c>
      <c r="F585">
        <v>1658004903</v>
      </c>
      <c r="G585">
        <v>-629603772</v>
      </c>
      <c r="H585">
        <v>836514291</v>
      </c>
      <c r="I585">
        <v>-452158041</v>
      </c>
      <c r="J585">
        <v>-976389364</v>
      </c>
      <c r="K585">
        <v>-2069627890</v>
      </c>
      <c r="L585">
        <v>680165193</v>
      </c>
      <c r="M585">
        <v>-103908039</v>
      </c>
      <c r="N585">
        <v>470326868</v>
      </c>
      <c r="O585">
        <v>543722133</v>
      </c>
      <c r="P585">
        <v>177</v>
      </c>
      <c r="Q585" t="s">
        <v>1216</v>
      </c>
    </row>
    <row r="586" spans="1:17" x14ac:dyDescent="0.3">
      <c r="A586" t="s">
        <v>17</v>
      </c>
      <c r="B586" t="str">
        <f>"600687"</f>
        <v>600687</v>
      </c>
      <c r="C586" t="s">
        <v>1217</v>
      </c>
      <c r="H586">
        <v>-17674980</v>
      </c>
      <c r="I586">
        <v>-214190330</v>
      </c>
      <c r="J586">
        <v>-1657667682</v>
      </c>
      <c r="K586">
        <v>-1581517032</v>
      </c>
      <c r="L586">
        <v>-547892884</v>
      </c>
      <c r="M586">
        <v>-1512640322</v>
      </c>
      <c r="N586">
        <v>-913483729</v>
      </c>
      <c r="O586">
        <v>-56068690</v>
      </c>
      <c r="P586">
        <v>58</v>
      </c>
      <c r="Q586" t="s">
        <v>1218</v>
      </c>
    </row>
    <row r="587" spans="1:17" x14ac:dyDescent="0.3">
      <c r="A587" t="s">
        <v>17</v>
      </c>
      <c r="B587" t="str">
        <f>"600688"</f>
        <v>600688</v>
      </c>
      <c r="C587" t="s">
        <v>1219</v>
      </c>
      <c r="D587" t="s">
        <v>70</v>
      </c>
      <c r="F587">
        <v>891280000</v>
      </c>
      <c r="G587">
        <v>-30127000</v>
      </c>
      <c r="H587">
        <v>3758301000</v>
      </c>
      <c r="I587">
        <v>5718216000</v>
      </c>
      <c r="J587">
        <v>5884826000</v>
      </c>
      <c r="K587">
        <v>6321371000</v>
      </c>
      <c r="L587">
        <v>4464995000</v>
      </c>
      <c r="M587">
        <v>2975113000</v>
      </c>
      <c r="N587">
        <v>4756713000</v>
      </c>
      <c r="O587">
        <v>-5843133000</v>
      </c>
      <c r="P587">
        <v>585</v>
      </c>
      <c r="Q587" t="s">
        <v>1220</v>
      </c>
    </row>
    <row r="588" spans="1:17" x14ac:dyDescent="0.3">
      <c r="A588" t="s">
        <v>17</v>
      </c>
      <c r="B588" t="str">
        <f>"600689"</f>
        <v>600689</v>
      </c>
      <c r="C588" t="s">
        <v>1221</v>
      </c>
      <c r="D588" t="s">
        <v>227</v>
      </c>
      <c r="F588">
        <v>-19428612</v>
      </c>
      <c r="G588">
        <v>32967213</v>
      </c>
      <c r="H588">
        <v>-25678830</v>
      </c>
      <c r="I588">
        <v>9433712</v>
      </c>
      <c r="J588">
        <v>30500310</v>
      </c>
      <c r="K588">
        <v>188339080</v>
      </c>
      <c r="L588">
        <v>-1449265</v>
      </c>
      <c r="M588">
        <v>-17668028</v>
      </c>
      <c r="N588">
        <v>-162556987</v>
      </c>
      <c r="O588">
        <v>-214811056</v>
      </c>
      <c r="P588">
        <v>74</v>
      </c>
      <c r="Q588" t="s">
        <v>1222</v>
      </c>
    </row>
    <row r="589" spans="1:17" x14ac:dyDescent="0.3">
      <c r="A589" t="s">
        <v>17</v>
      </c>
      <c r="B589" t="str">
        <f>"600690"</f>
        <v>600690</v>
      </c>
      <c r="C589" t="s">
        <v>1223</v>
      </c>
      <c r="D589" t="s">
        <v>126</v>
      </c>
      <c r="F589">
        <v>16047042691</v>
      </c>
      <c r="G589">
        <v>10149663731</v>
      </c>
      <c r="H589">
        <v>9149664861</v>
      </c>
      <c r="I589">
        <v>12648460390</v>
      </c>
      <c r="J589">
        <v>12310697546</v>
      </c>
      <c r="K589">
        <v>5717647521</v>
      </c>
      <c r="L589">
        <v>3099068065</v>
      </c>
      <c r="M589">
        <v>5097836415</v>
      </c>
      <c r="N589">
        <v>5119538267</v>
      </c>
      <c r="O589">
        <v>4295320504</v>
      </c>
      <c r="P589">
        <v>41093</v>
      </c>
      <c r="Q589" t="s">
        <v>1224</v>
      </c>
    </row>
    <row r="590" spans="1:17" x14ac:dyDescent="0.3">
      <c r="A590" t="s">
        <v>17</v>
      </c>
      <c r="B590" t="str">
        <f>"600691"</f>
        <v>600691</v>
      </c>
      <c r="C590" t="s">
        <v>1225</v>
      </c>
      <c r="D590" t="s">
        <v>133</v>
      </c>
      <c r="F590">
        <v>604097436</v>
      </c>
      <c r="G590">
        <v>2055039886</v>
      </c>
      <c r="H590">
        <v>-1187749664</v>
      </c>
      <c r="I590">
        <v>319610401</v>
      </c>
      <c r="J590">
        <v>595282629</v>
      </c>
      <c r="K590">
        <v>-347241107</v>
      </c>
      <c r="L590">
        <v>-3165911771</v>
      </c>
      <c r="M590">
        <v>-1840437933</v>
      </c>
      <c r="N590">
        <v>-1688714629</v>
      </c>
      <c r="O590">
        <v>-1396205216</v>
      </c>
      <c r="P590">
        <v>130</v>
      </c>
      <c r="Q590" t="s">
        <v>1226</v>
      </c>
    </row>
    <row r="591" spans="1:17" x14ac:dyDescent="0.3">
      <c r="A591" t="s">
        <v>17</v>
      </c>
      <c r="B591" t="str">
        <f>"600692"</f>
        <v>600692</v>
      </c>
      <c r="C591" t="s">
        <v>1227</v>
      </c>
      <c r="D591" t="s">
        <v>30</v>
      </c>
      <c r="F591">
        <v>-235486223</v>
      </c>
      <c r="G591">
        <v>690513488</v>
      </c>
      <c r="H591">
        <v>-50244122</v>
      </c>
      <c r="I591">
        <v>-305696081</v>
      </c>
      <c r="J591">
        <v>-235799964</v>
      </c>
      <c r="K591">
        <v>194195431</v>
      </c>
      <c r="L591">
        <v>632553107</v>
      </c>
      <c r="M591">
        <v>-548092738</v>
      </c>
      <c r="N591">
        <v>236473269</v>
      </c>
      <c r="O591">
        <v>19128242</v>
      </c>
      <c r="P591">
        <v>76</v>
      </c>
      <c r="Q591" t="s">
        <v>1228</v>
      </c>
    </row>
    <row r="592" spans="1:17" x14ac:dyDescent="0.3">
      <c r="A592" t="s">
        <v>17</v>
      </c>
      <c r="B592" t="str">
        <f>"600693"</f>
        <v>600693</v>
      </c>
      <c r="C592" t="s">
        <v>1229</v>
      </c>
      <c r="D592" t="s">
        <v>120</v>
      </c>
      <c r="F592">
        <v>-806283050</v>
      </c>
      <c r="G592">
        <v>-730882934</v>
      </c>
      <c r="H592">
        <v>-701312324</v>
      </c>
      <c r="I592">
        <v>-917678694</v>
      </c>
      <c r="J592">
        <v>-346547795</v>
      </c>
      <c r="K592">
        <v>-326439012</v>
      </c>
      <c r="L592">
        <v>-407554114</v>
      </c>
      <c r="M592">
        <v>-436907189</v>
      </c>
      <c r="N592">
        <v>-762992341</v>
      </c>
      <c r="O592">
        <v>97723665</v>
      </c>
      <c r="P592">
        <v>103</v>
      </c>
      <c r="Q592" t="s">
        <v>1230</v>
      </c>
    </row>
    <row r="593" spans="1:17" x14ac:dyDescent="0.3">
      <c r="A593" t="s">
        <v>17</v>
      </c>
      <c r="B593" t="str">
        <f>"600694"</f>
        <v>600694</v>
      </c>
      <c r="C593" t="s">
        <v>1231</v>
      </c>
      <c r="D593" t="s">
        <v>120</v>
      </c>
      <c r="F593">
        <v>605595834</v>
      </c>
      <c r="G593">
        <v>-162880387</v>
      </c>
      <c r="H593">
        <v>862132033</v>
      </c>
      <c r="I593">
        <v>20670562</v>
      </c>
      <c r="J593">
        <v>85929407</v>
      </c>
      <c r="K593">
        <v>1724447450</v>
      </c>
      <c r="L593">
        <v>455479114</v>
      </c>
      <c r="M593">
        <v>685260611</v>
      </c>
      <c r="N593">
        <v>1558399791</v>
      </c>
      <c r="O593">
        <v>1999665697</v>
      </c>
      <c r="P593">
        <v>543</v>
      </c>
      <c r="Q593" t="s">
        <v>1232</v>
      </c>
    </row>
    <row r="594" spans="1:17" x14ac:dyDescent="0.3">
      <c r="A594" t="s">
        <v>17</v>
      </c>
      <c r="B594" t="str">
        <f>"600695"</f>
        <v>600695</v>
      </c>
      <c r="C594" t="s">
        <v>1233</v>
      </c>
      <c r="D594" t="s">
        <v>75</v>
      </c>
      <c r="F594">
        <v>17722745</v>
      </c>
      <c r="G594">
        <v>74760347</v>
      </c>
      <c r="H594">
        <v>-9325442</v>
      </c>
      <c r="I594">
        <v>-3949607</v>
      </c>
      <c r="J594">
        <v>26387337</v>
      </c>
      <c r="K594">
        <v>49337076</v>
      </c>
      <c r="L594">
        <v>-118221534</v>
      </c>
      <c r="M594">
        <v>-110248297</v>
      </c>
      <c r="N594">
        <v>-37552387</v>
      </c>
      <c r="O594">
        <v>-120390880</v>
      </c>
      <c r="P594">
        <v>74</v>
      </c>
      <c r="Q594" t="s">
        <v>1234</v>
      </c>
    </row>
    <row r="595" spans="1:17" x14ac:dyDescent="0.3">
      <c r="A595" t="s">
        <v>17</v>
      </c>
      <c r="B595" t="str">
        <f>"600696"</f>
        <v>600696</v>
      </c>
      <c r="C595" t="s">
        <v>1235</v>
      </c>
      <c r="D595" t="s">
        <v>103</v>
      </c>
      <c r="F595">
        <v>227479663</v>
      </c>
      <c r="G595">
        <v>56145105</v>
      </c>
      <c r="H595">
        <v>-26579866</v>
      </c>
      <c r="I595">
        <v>381812376</v>
      </c>
      <c r="J595">
        <v>-461049588</v>
      </c>
      <c r="K595">
        <v>-139192544</v>
      </c>
      <c r="L595">
        <v>-164650125</v>
      </c>
      <c r="M595">
        <v>-130524581</v>
      </c>
      <c r="N595">
        <v>28870300</v>
      </c>
      <c r="O595">
        <v>-5703039</v>
      </c>
      <c r="P595">
        <v>95</v>
      </c>
      <c r="Q595" t="s">
        <v>1236</v>
      </c>
    </row>
    <row r="596" spans="1:17" x14ac:dyDescent="0.3">
      <c r="A596" t="s">
        <v>17</v>
      </c>
      <c r="B596" t="str">
        <f>"600697"</f>
        <v>600697</v>
      </c>
      <c r="C596" t="s">
        <v>1237</v>
      </c>
      <c r="D596" t="s">
        <v>120</v>
      </c>
      <c r="F596">
        <v>895352947</v>
      </c>
      <c r="G596">
        <v>928079877</v>
      </c>
      <c r="H596">
        <v>363649885</v>
      </c>
      <c r="I596">
        <v>-8914199</v>
      </c>
      <c r="J596">
        <v>-273714712</v>
      </c>
      <c r="K596">
        <v>-561840580</v>
      </c>
      <c r="L596">
        <v>-1157371068</v>
      </c>
      <c r="M596">
        <v>-1595757012</v>
      </c>
      <c r="N596">
        <v>-600987464</v>
      </c>
      <c r="O596">
        <v>-398306998</v>
      </c>
      <c r="P596">
        <v>275</v>
      </c>
      <c r="Q596" t="s">
        <v>1238</v>
      </c>
    </row>
    <row r="597" spans="1:17" x14ac:dyDescent="0.3">
      <c r="A597" t="s">
        <v>17</v>
      </c>
      <c r="B597" t="str">
        <f>"600698"</f>
        <v>600698</v>
      </c>
      <c r="C597" t="s">
        <v>1239</v>
      </c>
      <c r="D597" t="s">
        <v>27</v>
      </c>
      <c r="F597">
        <v>21842078</v>
      </c>
      <c r="G597">
        <v>747378</v>
      </c>
      <c r="H597">
        <v>-1516350</v>
      </c>
      <c r="I597">
        <v>-28174045</v>
      </c>
      <c r="J597">
        <v>-23911598</v>
      </c>
      <c r="K597">
        <v>-19018483</v>
      </c>
      <c r="L597">
        <v>-82341062</v>
      </c>
      <c r="M597">
        <v>34011645</v>
      </c>
      <c r="N597">
        <v>-21538820</v>
      </c>
      <c r="O597">
        <v>182583664</v>
      </c>
      <c r="P597">
        <v>93</v>
      </c>
      <c r="Q597" t="s">
        <v>1240</v>
      </c>
    </row>
    <row r="598" spans="1:17" x14ac:dyDescent="0.3">
      <c r="A598" t="s">
        <v>17</v>
      </c>
      <c r="B598" t="str">
        <f>"600699"</f>
        <v>600699</v>
      </c>
      <c r="C598" t="s">
        <v>1241</v>
      </c>
      <c r="D598" t="s">
        <v>27</v>
      </c>
      <c r="F598">
        <v>-922150577</v>
      </c>
      <c r="G598">
        <v>-105368821</v>
      </c>
      <c r="H598">
        <v>-44798148</v>
      </c>
      <c r="I598">
        <v>-405506642</v>
      </c>
      <c r="J598">
        <v>-1176789030</v>
      </c>
      <c r="K598">
        <v>-1331267292</v>
      </c>
      <c r="L598">
        <v>-250192233</v>
      </c>
      <c r="M598">
        <v>-4839923</v>
      </c>
      <c r="N598">
        <v>75709783</v>
      </c>
      <c r="O598">
        <v>66124159</v>
      </c>
      <c r="P598">
        <v>958</v>
      </c>
      <c r="Q598" t="s">
        <v>1242</v>
      </c>
    </row>
    <row r="599" spans="1:17" x14ac:dyDescent="0.3">
      <c r="A599" t="s">
        <v>17</v>
      </c>
      <c r="B599" t="str">
        <f>"600700"</f>
        <v>600700</v>
      </c>
      <c r="C599" t="s">
        <v>1243</v>
      </c>
      <c r="K599">
        <v>-857824.89</v>
      </c>
      <c r="L599">
        <v>-832230.69</v>
      </c>
      <c r="M599">
        <v>-271469.31</v>
      </c>
      <c r="N599">
        <v>11303.49</v>
      </c>
      <c r="O599">
        <v>-281373.95</v>
      </c>
      <c r="P599">
        <v>5</v>
      </c>
      <c r="Q599" t="s">
        <v>1244</v>
      </c>
    </row>
    <row r="600" spans="1:17" x14ac:dyDescent="0.3">
      <c r="A600" t="s">
        <v>17</v>
      </c>
      <c r="B600" t="str">
        <f>"600701"</f>
        <v>600701</v>
      </c>
      <c r="C600" t="s">
        <v>1245</v>
      </c>
      <c r="G600">
        <v>18482082</v>
      </c>
      <c r="H600">
        <v>230570824</v>
      </c>
      <c r="I600">
        <v>-91418186</v>
      </c>
      <c r="J600">
        <v>-1787669737</v>
      </c>
      <c r="K600">
        <v>-422882746</v>
      </c>
      <c r="L600">
        <v>-40603490</v>
      </c>
      <c r="M600">
        <v>-145716448</v>
      </c>
      <c r="N600">
        <v>-203240869</v>
      </c>
      <c r="O600">
        <v>-9967283</v>
      </c>
      <c r="P600">
        <v>55</v>
      </c>
      <c r="Q600" t="s">
        <v>1246</v>
      </c>
    </row>
    <row r="601" spans="1:17" x14ac:dyDescent="0.3">
      <c r="A601" t="s">
        <v>17</v>
      </c>
      <c r="B601" t="str">
        <f>"600702"</f>
        <v>600702</v>
      </c>
      <c r="C601" t="s">
        <v>1247</v>
      </c>
      <c r="D601" t="s">
        <v>123</v>
      </c>
      <c r="F601">
        <v>2023332818</v>
      </c>
      <c r="G601">
        <v>758056176</v>
      </c>
      <c r="H601">
        <v>488971895</v>
      </c>
      <c r="I601">
        <v>220513986</v>
      </c>
      <c r="J601">
        <v>276701791</v>
      </c>
      <c r="K601">
        <v>188846279</v>
      </c>
      <c r="L601">
        <v>86729911</v>
      </c>
      <c r="M601">
        <v>-196495378</v>
      </c>
      <c r="N601">
        <v>61512795</v>
      </c>
      <c r="O601">
        <v>333140665</v>
      </c>
      <c r="P601">
        <v>1463</v>
      </c>
      <c r="Q601" t="s">
        <v>1248</v>
      </c>
    </row>
    <row r="602" spans="1:17" x14ac:dyDescent="0.3">
      <c r="A602" t="s">
        <v>17</v>
      </c>
      <c r="B602" t="str">
        <f>"600703"</f>
        <v>600703</v>
      </c>
      <c r="C602" t="s">
        <v>1249</v>
      </c>
      <c r="D602" t="s">
        <v>150</v>
      </c>
      <c r="F602">
        <v>-6844078217</v>
      </c>
      <c r="G602">
        <v>-2265317550</v>
      </c>
      <c r="H602">
        <v>-207915913</v>
      </c>
      <c r="I602">
        <v>-1946524327</v>
      </c>
      <c r="J602">
        <v>-801355018</v>
      </c>
      <c r="K602">
        <v>651063833</v>
      </c>
      <c r="L602">
        <v>-413475738</v>
      </c>
      <c r="M602">
        <v>-1374106844</v>
      </c>
      <c r="N602">
        <v>-185180880</v>
      </c>
      <c r="O602">
        <v>-999959588</v>
      </c>
      <c r="P602">
        <v>2761</v>
      </c>
      <c r="Q602" t="s">
        <v>1250</v>
      </c>
    </row>
    <row r="603" spans="1:17" x14ac:dyDescent="0.3">
      <c r="A603" t="s">
        <v>17</v>
      </c>
      <c r="B603" t="str">
        <f>"600704"</f>
        <v>600704</v>
      </c>
      <c r="C603" t="s">
        <v>1251</v>
      </c>
      <c r="D603" t="s">
        <v>22</v>
      </c>
      <c r="F603">
        <v>1338600462</v>
      </c>
      <c r="G603">
        <v>252897888</v>
      </c>
      <c r="H603">
        <v>3220310234</v>
      </c>
      <c r="I603">
        <v>4253265158</v>
      </c>
      <c r="J603">
        <v>-10262346937</v>
      </c>
      <c r="K603">
        <v>-1738363832</v>
      </c>
      <c r="L603">
        <v>3388335827</v>
      </c>
      <c r="M603">
        <v>-1364054884</v>
      </c>
      <c r="N603">
        <v>-2360157008</v>
      </c>
      <c r="O603">
        <v>-945787107</v>
      </c>
      <c r="P603">
        <v>749</v>
      </c>
      <c r="Q603" t="s">
        <v>1252</v>
      </c>
    </row>
    <row r="604" spans="1:17" x14ac:dyDescent="0.3">
      <c r="A604" t="s">
        <v>17</v>
      </c>
      <c r="B604" t="str">
        <f>"600705"</f>
        <v>600705</v>
      </c>
      <c r="C604" t="s">
        <v>1253</v>
      </c>
      <c r="D604" t="s">
        <v>75</v>
      </c>
      <c r="F604">
        <v>54528076856</v>
      </c>
      <c r="G604">
        <v>19421613050</v>
      </c>
      <c r="H604">
        <v>196593001</v>
      </c>
      <c r="I604">
        <v>-40089096215</v>
      </c>
      <c r="J604">
        <v>24294286390</v>
      </c>
      <c r="K604">
        <v>-13106451005</v>
      </c>
      <c r="L604">
        <v>18095005110</v>
      </c>
      <c r="M604">
        <v>2228465675</v>
      </c>
      <c r="N604">
        <v>201349358</v>
      </c>
      <c r="O604">
        <v>3151497245</v>
      </c>
      <c r="P604">
        <v>440</v>
      </c>
      <c r="Q604" t="s">
        <v>1254</v>
      </c>
    </row>
    <row r="605" spans="1:17" x14ac:dyDescent="0.3">
      <c r="A605" t="s">
        <v>17</v>
      </c>
      <c r="B605" t="str">
        <f>"600706"</f>
        <v>600706</v>
      </c>
      <c r="C605" t="s">
        <v>1255</v>
      </c>
      <c r="D605" t="s">
        <v>110</v>
      </c>
      <c r="F605">
        <v>-76168047</v>
      </c>
      <c r="G605">
        <v>-234595255</v>
      </c>
      <c r="H605">
        <v>-357445857</v>
      </c>
      <c r="I605">
        <v>57351364</v>
      </c>
      <c r="J605">
        <v>26836770</v>
      </c>
      <c r="K605">
        <v>133286802</v>
      </c>
      <c r="L605">
        <v>89505794</v>
      </c>
      <c r="M605">
        <v>-83923239</v>
      </c>
      <c r="N605">
        <v>-132935517</v>
      </c>
      <c r="O605">
        <v>18693450</v>
      </c>
      <c r="P605">
        <v>122</v>
      </c>
      <c r="Q605" t="s">
        <v>1256</v>
      </c>
    </row>
    <row r="606" spans="1:17" x14ac:dyDescent="0.3">
      <c r="A606" t="s">
        <v>17</v>
      </c>
      <c r="B606" t="str">
        <f>"600707"</f>
        <v>600707</v>
      </c>
      <c r="C606" t="s">
        <v>1257</v>
      </c>
      <c r="D606" t="s">
        <v>150</v>
      </c>
      <c r="F606">
        <v>3223510672</v>
      </c>
      <c r="G606">
        <v>825118158</v>
      </c>
      <c r="H606">
        <v>-2109902571</v>
      </c>
      <c r="I606">
        <v>-7889964085</v>
      </c>
      <c r="J606">
        <v>-1883938744</v>
      </c>
      <c r="K606">
        <v>-247733570</v>
      </c>
      <c r="L606">
        <v>-574623437</v>
      </c>
      <c r="M606">
        <v>-404538115</v>
      </c>
      <c r="N606">
        <v>-54843778</v>
      </c>
      <c r="O606">
        <v>-934147744</v>
      </c>
      <c r="P606">
        <v>251</v>
      </c>
      <c r="Q606" t="s">
        <v>1258</v>
      </c>
    </row>
    <row r="607" spans="1:17" x14ac:dyDescent="0.3">
      <c r="A607" t="s">
        <v>17</v>
      </c>
      <c r="B607" t="str">
        <f>"600708"</f>
        <v>600708</v>
      </c>
      <c r="C607" t="s">
        <v>1259</v>
      </c>
      <c r="D607" t="s">
        <v>30</v>
      </c>
      <c r="F607">
        <v>5982099680</v>
      </c>
      <c r="G607">
        <v>3365678657</v>
      </c>
      <c r="H607">
        <v>-4860753579</v>
      </c>
      <c r="I607">
        <v>-8784076957</v>
      </c>
      <c r="J607">
        <v>1633411497</v>
      </c>
      <c r="K607">
        <v>9012781555</v>
      </c>
      <c r="L607">
        <v>36736982</v>
      </c>
      <c r="M607">
        <v>-186100884</v>
      </c>
      <c r="N607">
        <v>387439247</v>
      </c>
      <c r="O607">
        <v>308234813</v>
      </c>
      <c r="P607">
        <v>677</v>
      </c>
      <c r="Q607" t="s">
        <v>1260</v>
      </c>
    </row>
    <row r="608" spans="1:17" x14ac:dyDescent="0.3">
      <c r="A608" t="s">
        <v>17</v>
      </c>
      <c r="B608" t="str">
        <f>"600709"</f>
        <v>600709</v>
      </c>
      <c r="C608" t="s">
        <v>1261</v>
      </c>
      <c r="K608">
        <v>-686860.97</v>
      </c>
      <c r="L608">
        <v>4321768.99</v>
      </c>
      <c r="M608">
        <v>1977738.4</v>
      </c>
      <c r="N608">
        <v>2169625.63</v>
      </c>
      <c r="P608">
        <v>4</v>
      </c>
      <c r="Q608" t="s">
        <v>1262</v>
      </c>
    </row>
    <row r="609" spans="1:17" x14ac:dyDescent="0.3">
      <c r="A609" t="s">
        <v>17</v>
      </c>
      <c r="B609" t="str">
        <f>"600710"</f>
        <v>600710</v>
      </c>
      <c r="C609" t="s">
        <v>1263</v>
      </c>
      <c r="D609" t="s">
        <v>120</v>
      </c>
      <c r="F609">
        <v>5415700081</v>
      </c>
      <c r="G609">
        <v>3424401507</v>
      </c>
      <c r="H609">
        <v>2647785771</v>
      </c>
      <c r="I609">
        <v>1411390334</v>
      </c>
      <c r="J609">
        <v>1435192111</v>
      </c>
      <c r="K609">
        <v>-3453267305</v>
      </c>
      <c r="L609">
        <v>-21403718</v>
      </c>
      <c r="M609">
        <v>-28982266</v>
      </c>
      <c r="N609">
        <v>-144301320</v>
      </c>
      <c r="O609">
        <v>-120190289</v>
      </c>
      <c r="P609">
        <v>166</v>
      </c>
      <c r="Q609" t="s">
        <v>1264</v>
      </c>
    </row>
    <row r="610" spans="1:17" x14ac:dyDescent="0.3">
      <c r="A610" t="s">
        <v>17</v>
      </c>
      <c r="B610" t="str">
        <f>"600711"</f>
        <v>600711</v>
      </c>
      <c r="C610" t="s">
        <v>1265</v>
      </c>
      <c r="D610" t="s">
        <v>234</v>
      </c>
      <c r="F610">
        <v>174801942</v>
      </c>
      <c r="G610">
        <v>-548355341</v>
      </c>
      <c r="H610">
        <v>97455928</v>
      </c>
      <c r="I610">
        <v>534709319</v>
      </c>
      <c r="J610">
        <v>785835655</v>
      </c>
      <c r="K610">
        <v>37502370</v>
      </c>
      <c r="L610">
        <v>-1031915386</v>
      </c>
      <c r="M610">
        <v>-647703612</v>
      </c>
      <c r="N610">
        <v>161458494</v>
      </c>
      <c r="O610">
        <v>6072596</v>
      </c>
      <c r="P610">
        <v>378</v>
      </c>
      <c r="Q610" t="s">
        <v>1266</v>
      </c>
    </row>
    <row r="611" spans="1:17" x14ac:dyDescent="0.3">
      <c r="A611" t="s">
        <v>17</v>
      </c>
      <c r="B611" t="str">
        <f>"600712"</f>
        <v>600712</v>
      </c>
      <c r="C611" t="s">
        <v>1267</v>
      </c>
      <c r="D611" t="s">
        <v>120</v>
      </c>
      <c r="F611">
        <v>827014</v>
      </c>
      <c r="G611">
        <v>-7559641</v>
      </c>
      <c r="H611">
        <v>29533627</v>
      </c>
      <c r="I611">
        <v>-59460186</v>
      </c>
      <c r="J611">
        <v>-163585577</v>
      </c>
      <c r="K611">
        <v>122981375</v>
      </c>
      <c r="L611">
        <v>4577068</v>
      </c>
      <c r="M611">
        <v>-244999428</v>
      </c>
      <c r="N611">
        <v>52093835</v>
      </c>
      <c r="O611">
        <v>-100548035</v>
      </c>
      <c r="P611">
        <v>87</v>
      </c>
      <c r="Q611" t="s">
        <v>1268</v>
      </c>
    </row>
    <row r="612" spans="1:17" x14ac:dyDescent="0.3">
      <c r="A612" t="s">
        <v>17</v>
      </c>
      <c r="B612" t="str">
        <f>"600713"</f>
        <v>600713</v>
      </c>
      <c r="C612" t="s">
        <v>1269</v>
      </c>
      <c r="D612" t="s">
        <v>113</v>
      </c>
      <c r="F612">
        <v>426683042</v>
      </c>
      <c r="G612">
        <v>-1360478249</v>
      </c>
      <c r="H612">
        <v>782805144</v>
      </c>
      <c r="I612">
        <v>-575022510</v>
      </c>
      <c r="J612">
        <v>-45796553</v>
      </c>
      <c r="K612">
        <v>-430943843</v>
      </c>
      <c r="L612">
        <v>-466002995</v>
      </c>
      <c r="M612">
        <v>-450351623</v>
      </c>
      <c r="N612">
        <v>-202816656</v>
      </c>
      <c r="O612">
        <v>50337362</v>
      </c>
      <c r="P612">
        <v>188</v>
      </c>
      <c r="Q612" t="s">
        <v>1270</v>
      </c>
    </row>
    <row r="613" spans="1:17" x14ac:dyDescent="0.3">
      <c r="A613" t="s">
        <v>17</v>
      </c>
      <c r="B613" t="str">
        <f>"600714"</f>
        <v>600714</v>
      </c>
      <c r="C613" t="s">
        <v>1271</v>
      </c>
      <c r="D613" t="s">
        <v>133</v>
      </c>
      <c r="F613">
        <v>65462640</v>
      </c>
      <c r="G613">
        <v>-12258281</v>
      </c>
      <c r="H613">
        <v>12514130</v>
      </c>
      <c r="I613">
        <v>-109942197</v>
      </c>
      <c r="J613">
        <v>-18797750</v>
      </c>
      <c r="K613">
        <v>-73872775</v>
      </c>
      <c r="L613">
        <v>204279966</v>
      </c>
      <c r="M613">
        <v>-136011828</v>
      </c>
      <c r="N613">
        <v>80825869</v>
      </c>
      <c r="O613">
        <v>63640032</v>
      </c>
      <c r="P613">
        <v>68</v>
      </c>
      <c r="Q613" t="s">
        <v>1272</v>
      </c>
    </row>
    <row r="614" spans="1:17" x14ac:dyDescent="0.3">
      <c r="A614" t="s">
        <v>17</v>
      </c>
      <c r="B614" t="str">
        <f>"600715"</f>
        <v>600715</v>
      </c>
      <c r="C614" t="s">
        <v>1273</v>
      </c>
      <c r="D614" t="s">
        <v>89</v>
      </c>
      <c r="F614">
        <v>125637905</v>
      </c>
      <c r="G614">
        <v>-350223116</v>
      </c>
      <c r="H614">
        <v>-478069509</v>
      </c>
      <c r="I614">
        <v>-802963246</v>
      </c>
      <c r="J614">
        <v>-225305716</v>
      </c>
      <c r="K614">
        <v>-524132420</v>
      </c>
      <c r="L614">
        <v>161053588</v>
      </c>
      <c r="M614">
        <v>14678873</v>
      </c>
      <c r="N614">
        <v>-27973487</v>
      </c>
      <c r="O614">
        <v>-48621317</v>
      </c>
      <c r="P614">
        <v>127</v>
      </c>
      <c r="Q614" t="s">
        <v>1274</v>
      </c>
    </row>
    <row r="615" spans="1:17" x14ac:dyDescent="0.3">
      <c r="A615" t="s">
        <v>17</v>
      </c>
      <c r="B615" t="str">
        <f>"600716"</f>
        <v>600716</v>
      </c>
      <c r="C615" t="s">
        <v>1275</v>
      </c>
      <c r="D615" t="s">
        <v>30</v>
      </c>
      <c r="F615">
        <v>-125251444</v>
      </c>
      <c r="G615">
        <v>915875658</v>
      </c>
      <c r="H615">
        <v>489606134</v>
      </c>
      <c r="I615">
        <v>1201350852</v>
      </c>
      <c r="J615">
        <v>208400108</v>
      </c>
      <c r="K615">
        <v>713163363</v>
      </c>
      <c r="L615">
        <v>405753035</v>
      </c>
      <c r="M615">
        <v>324955798</v>
      </c>
      <c r="N615">
        <v>-417559111</v>
      </c>
      <c r="O615">
        <v>6732681</v>
      </c>
      <c r="P615">
        <v>95</v>
      </c>
      <c r="Q615" t="s">
        <v>1276</v>
      </c>
    </row>
    <row r="616" spans="1:17" x14ac:dyDescent="0.3">
      <c r="A616" t="s">
        <v>17</v>
      </c>
      <c r="B616" t="str">
        <f>"600717"</f>
        <v>600717</v>
      </c>
      <c r="C616" t="s">
        <v>1277</v>
      </c>
      <c r="D616" t="s">
        <v>22</v>
      </c>
      <c r="F616">
        <v>1850820434</v>
      </c>
      <c r="G616">
        <v>1603221796</v>
      </c>
      <c r="H616">
        <v>1100307994</v>
      </c>
      <c r="I616">
        <v>1458865618</v>
      </c>
      <c r="J616">
        <v>1158789476</v>
      </c>
      <c r="K616">
        <v>1673905106</v>
      </c>
      <c r="L616">
        <v>848071481</v>
      </c>
      <c r="M616">
        <v>479388423</v>
      </c>
      <c r="N616">
        <v>-1496560169</v>
      </c>
      <c r="O616">
        <v>213421413</v>
      </c>
      <c r="P616">
        <v>262</v>
      </c>
      <c r="Q616" t="s">
        <v>1278</v>
      </c>
    </row>
    <row r="617" spans="1:17" x14ac:dyDescent="0.3">
      <c r="A617" t="s">
        <v>17</v>
      </c>
      <c r="B617" t="str">
        <f>"600718"</f>
        <v>600718</v>
      </c>
      <c r="C617" t="s">
        <v>1279</v>
      </c>
      <c r="D617" t="s">
        <v>212</v>
      </c>
      <c r="F617">
        <v>485097703</v>
      </c>
      <c r="G617">
        <v>228728944</v>
      </c>
      <c r="H617">
        <v>-38732349</v>
      </c>
      <c r="I617">
        <v>-243784861</v>
      </c>
      <c r="J617">
        <v>-202008592</v>
      </c>
      <c r="K617">
        <v>-387776776</v>
      </c>
      <c r="L617">
        <v>-198189975</v>
      </c>
      <c r="M617">
        <v>-379155688</v>
      </c>
      <c r="N617">
        <v>-147133318</v>
      </c>
      <c r="O617">
        <v>-62008233</v>
      </c>
      <c r="P617">
        <v>396</v>
      </c>
      <c r="Q617" t="s">
        <v>1280</v>
      </c>
    </row>
    <row r="618" spans="1:17" x14ac:dyDescent="0.3">
      <c r="A618" t="s">
        <v>17</v>
      </c>
      <c r="B618" t="str">
        <f>"600719"</f>
        <v>600719</v>
      </c>
      <c r="C618" t="s">
        <v>1281</v>
      </c>
      <c r="D618" t="s">
        <v>41</v>
      </c>
      <c r="F618">
        <v>-212157996</v>
      </c>
      <c r="G618">
        <v>-65328459</v>
      </c>
      <c r="H618">
        <v>-72363599</v>
      </c>
      <c r="I618">
        <v>-355426795</v>
      </c>
      <c r="J618">
        <v>-85927067</v>
      </c>
      <c r="K618">
        <v>-66139978</v>
      </c>
      <c r="L618">
        <v>-10756349</v>
      </c>
      <c r="M618">
        <v>299379810</v>
      </c>
      <c r="N618">
        <v>302829619</v>
      </c>
      <c r="O618">
        <v>53622206</v>
      </c>
      <c r="P618">
        <v>68</v>
      </c>
      <c r="Q618" t="s">
        <v>1282</v>
      </c>
    </row>
    <row r="619" spans="1:17" x14ac:dyDescent="0.3">
      <c r="A619" t="s">
        <v>17</v>
      </c>
      <c r="B619" t="str">
        <f>"600720"</f>
        <v>600720</v>
      </c>
      <c r="C619" t="s">
        <v>1283</v>
      </c>
      <c r="D619" t="s">
        <v>350</v>
      </c>
      <c r="F619">
        <v>175452091</v>
      </c>
      <c r="G619">
        <v>1132547031</v>
      </c>
      <c r="H619">
        <v>1287926006</v>
      </c>
      <c r="I619">
        <v>1057767397</v>
      </c>
      <c r="J619">
        <v>1200072484</v>
      </c>
      <c r="K619">
        <v>754870573</v>
      </c>
      <c r="L619">
        <v>509374010</v>
      </c>
      <c r="M619">
        <v>772869820</v>
      </c>
      <c r="N619">
        <v>433092146</v>
      </c>
      <c r="O619">
        <v>-191963743</v>
      </c>
      <c r="P619">
        <v>864</v>
      </c>
      <c r="Q619" t="s">
        <v>1284</v>
      </c>
    </row>
    <row r="620" spans="1:17" x14ac:dyDescent="0.3">
      <c r="A620" t="s">
        <v>17</v>
      </c>
      <c r="B620" t="str">
        <f>"600721"</f>
        <v>600721</v>
      </c>
      <c r="C620" t="s">
        <v>1285</v>
      </c>
      <c r="D620" t="s">
        <v>113</v>
      </c>
      <c r="F620">
        <v>28684194</v>
      </c>
      <c r="G620">
        <v>-26798826</v>
      </c>
      <c r="H620">
        <v>-32253018</v>
      </c>
      <c r="I620">
        <v>24603316</v>
      </c>
      <c r="J620">
        <v>-104792513</v>
      </c>
      <c r="K620">
        <v>-146163004</v>
      </c>
      <c r="L620">
        <v>343689434</v>
      </c>
      <c r="M620">
        <v>115856116</v>
      </c>
      <c r="N620">
        <v>-164799517</v>
      </c>
      <c r="O620">
        <v>178260508</v>
      </c>
      <c r="P620">
        <v>78</v>
      </c>
      <c r="Q620" t="s">
        <v>1286</v>
      </c>
    </row>
    <row r="621" spans="1:17" x14ac:dyDescent="0.3">
      <c r="A621" t="s">
        <v>17</v>
      </c>
      <c r="B621" t="str">
        <f>"600722"</f>
        <v>600722</v>
      </c>
      <c r="C621" t="s">
        <v>1287</v>
      </c>
      <c r="D621" t="s">
        <v>133</v>
      </c>
      <c r="F621">
        <v>141479809</v>
      </c>
      <c r="G621">
        <v>18113677</v>
      </c>
      <c r="H621">
        <v>137048842</v>
      </c>
      <c r="I621">
        <v>216489381</v>
      </c>
      <c r="J621">
        <v>-3703995</v>
      </c>
      <c r="K621">
        <v>-47115577</v>
      </c>
      <c r="L621">
        <v>58414900</v>
      </c>
      <c r="M621">
        <v>-312618004</v>
      </c>
      <c r="N621">
        <v>-295372452</v>
      </c>
      <c r="O621">
        <v>-767490672</v>
      </c>
      <c r="P621">
        <v>97</v>
      </c>
      <c r="Q621" t="s">
        <v>1288</v>
      </c>
    </row>
    <row r="622" spans="1:17" x14ac:dyDescent="0.3">
      <c r="A622" t="s">
        <v>17</v>
      </c>
      <c r="B622" t="str">
        <f>"600723"</f>
        <v>600723</v>
      </c>
      <c r="C622" t="s">
        <v>1289</v>
      </c>
      <c r="G622">
        <v>-140559934</v>
      </c>
      <c r="H622">
        <v>285211314</v>
      </c>
      <c r="I622">
        <v>438910773</v>
      </c>
      <c r="J622">
        <v>431869117</v>
      </c>
      <c r="K622">
        <v>363720181</v>
      </c>
      <c r="L622">
        <v>306420848</v>
      </c>
      <c r="M622">
        <v>502215903</v>
      </c>
      <c r="N622">
        <v>-273353399</v>
      </c>
      <c r="O622">
        <v>809894003</v>
      </c>
      <c r="P622">
        <v>180</v>
      </c>
      <c r="Q622" t="s">
        <v>1290</v>
      </c>
    </row>
    <row r="623" spans="1:17" x14ac:dyDescent="0.3">
      <c r="A623" t="s">
        <v>17</v>
      </c>
      <c r="B623" t="str">
        <f>"600724"</f>
        <v>600724</v>
      </c>
      <c r="C623" t="s">
        <v>1291</v>
      </c>
      <c r="D623" t="s">
        <v>350</v>
      </c>
      <c r="F623">
        <v>222614458</v>
      </c>
      <c r="G623">
        <v>680785675</v>
      </c>
      <c r="H623">
        <v>558420062</v>
      </c>
      <c r="I623">
        <v>1965898261</v>
      </c>
      <c r="J623">
        <v>2627222234</v>
      </c>
      <c r="K623">
        <v>1029664852</v>
      </c>
      <c r="L623">
        <v>600073395</v>
      </c>
      <c r="M623">
        <v>-539084770</v>
      </c>
      <c r="N623">
        <v>1581162410</v>
      </c>
      <c r="O623">
        <v>1336088349</v>
      </c>
      <c r="P623">
        <v>169</v>
      </c>
      <c r="Q623" t="s">
        <v>1292</v>
      </c>
    </row>
    <row r="624" spans="1:17" x14ac:dyDescent="0.3">
      <c r="A624" t="s">
        <v>17</v>
      </c>
      <c r="B624" t="str">
        <f>"600725"</f>
        <v>600725</v>
      </c>
      <c r="C624" t="s">
        <v>1293</v>
      </c>
      <c r="D624" t="s">
        <v>257</v>
      </c>
      <c r="F624">
        <v>18069600</v>
      </c>
      <c r="G624">
        <v>19798436</v>
      </c>
      <c r="H624">
        <v>-15728163</v>
      </c>
      <c r="I624">
        <v>-41684794</v>
      </c>
      <c r="J624">
        <v>-139906483</v>
      </c>
      <c r="K624">
        <v>-452036491</v>
      </c>
      <c r="L624">
        <v>-120777545</v>
      </c>
      <c r="M624">
        <v>-50577455</v>
      </c>
      <c r="N624">
        <v>300811235</v>
      </c>
      <c r="O624">
        <v>-1211345912</v>
      </c>
      <c r="P624">
        <v>69</v>
      </c>
      <c r="Q624" t="s">
        <v>1294</v>
      </c>
    </row>
    <row r="625" spans="1:17" x14ac:dyDescent="0.3">
      <c r="A625" t="s">
        <v>17</v>
      </c>
      <c r="B625" t="str">
        <f>"600726"</f>
        <v>600726</v>
      </c>
      <c r="C625" t="s">
        <v>1295</v>
      </c>
      <c r="D625" t="s">
        <v>41</v>
      </c>
      <c r="F625">
        <v>-1018907846</v>
      </c>
      <c r="G625">
        <v>833710559</v>
      </c>
      <c r="H625">
        <v>444205386</v>
      </c>
      <c r="I625">
        <v>1397844721</v>
      </c>
      <c r="J625">
        <v>-1075526033</v>
      </c>
      <c r="K625">
        <v>267584108</v>
      </c>
      <c r="L625">
        <v>1218159489</v>
      </c>
      <c r="M625">
        <v>1415690270</v>
      </c>
      <c r="N625">
        <v>968694115</v>
      </c>
      <c r="O625">
        <v>645900846</v>
      </c>
      <c r="P625">
        <v>110</v>
      </c>
      <c r="Q625" t="s">
        <v>1296</v>
      </c>
    </row>
    <row r="626" spans="1:17" x14ac:dyDescent="0.3">
      <c r="A626" t="s">
        <v>17</v>
      </c>
      <c r="B626" t="str">
        <f>"600727"</f>
        <v>600727</v>
      </c>
      <c r="C626" t="s">
        <v>1297</v>
      </c>
      <c r="D626" t="s">
        <v>133</v>
      </c>
      <c r="F626">
        <v>-227475840</v>
      </c>
      <c r="G626">
        <v>270966041</v>
      </c>
      <c r="H626">
        <v>181576359</v>
      </c>
      <c r="I626">
        <v>97467602</v>
      </c>
      <c r="J626">
        <v>131071082</v>
      </c>
      <c r="K626">
        <v>238843884</v>
      </c>
      <c r="L626">
        <v>-1368714</v>
      </c>
      <c r="M626">
        <v>139286088</v>
      </c>
      <c r="N626">
        <v>73944362</v>
      </c>
      <c r="O626">
        <v>74862720</v>
      </c>
      <c r="P626">
        <v>138</v>
      </c>
      <c r="Q626" t="s">
        <v>1298</v>
      </c>
    </row>
    <row r="627" spans="1:17" x14ac:dyDescent="0.3">
      <c r="A627" t="s">
        <v>17</v>
      </c>
      <c r="B627" t="str">
        <f>"600728"</f>
        <v>600728</v>
      </c>
      <c r="C627" t="s">
        <v>1299</v>
      </c>
      <c r="D627" t="s">
        <v>212</v>
      </c>
      <c r="F627">
        <v>121296463</v>
      </c>
      <c r="G627">
        <v>350125439</v>
      </c>
      <c r="H627">
        <v>-98000454</v>
      </c>
      <c r="I627">
        <v>124724180</v>
      </c>
      <c r="J627">
        <v>-257073174</v>
      </c>
      <c r="K627">
        <v>-250380260</v>
      </c>
      <c r="L627">
        <v>149973866</v>
      </c>
      <c r="M627">
        <v>-82558679</v>
      </c>
      <c r="N627">
        <v>-178195946</v>
      </c>
      <c r="O627">
        <v>6055900</v>
      </c>
      <c r="P627">
        <v>345</v>
      </c>
      <c r="Q627" t="s">
        <v>1300</v>
      </c>
    </row>
    <row r="628" spans="1:17" x14ac:dyDescent="0.3">
      <c r="A628" t="s">
        <v>17</v>
      </c>
      <c r="B628" t="str">
        <f>"600729"</f>
        <v>600729</v>
      </c>
      <c r="C628" t="s">
        <v>1301</v>
      </c>
      <c r="D628" t="s">
        <v>120</v>
      </c>
      <c r="F628">
        <v>1328583365</v>
      </c>
      <c r="G628">
        <v>1502764043</v>
      </c>
      <c r="H628">
        <v>514496629</v>
      </c>
      <c r="I628">
        <v>659057000</v>
      </c>
      <c r="J628">
        <v>1032512694</v>
      </c>
      <c r="K628">
        <v>92049111</v>
      </c>
      <c r="L628">
        <v>113713098</v>
      </c>
      <c r="M628">
        <v>-865072864</v>
      </c>
      <c r="N628">
        <v>92606270</v>
      </c>
      <c r="O628">
        <v>671136367</v>
      </c>
      <c r="P628">
        <v>539</v>
      </c>
      <c r="Q628" t="s">
        <v>1302</v>
      </c>
    </row>
    <row r="629" spans="1:17" x14ac:dyDescent="0.3">
      <c r="A629" t="s">
        <v>17</v>
      </c>
      <c r="B629" t="str">
        <f>"600730"</f>
        <v>600730</v>
      </c>
      <c r="C629" t="s">
        <v>1303</v>
      </c>
      <c r="D629" t="s">
        <v>110</v>
      </c>
      <c r="F629">
        <v>223030897</v>
      </c>
      <c r="G629">
        <v>-224052432</v>
      </c>
      <c r="H629">
        <v>-25652192</v>
      </c>
      <c r="I629">
        <v>18314890</v>
      </c>
      <c r="J629">
        <v>-253709805</v>
      </c>
      <c r="K629">
        <v>179194914</v>
      </c>
      <c r="L629">
        <v>-338111070</v>
      </c>
      <c r="M629">
        <v>-162099662</v>
      </c>
      <c r="N629">
        <v>635444285</v>
      </c>
      <c r="O629">
        <v>630973924</v>
      </c>
      <c r="P629">
        <v>99</v>
      </c>
      <c r="Q629" t="s">
        <v>1304</v>
      </c>
    </row>
    <row r="630" spans="1:17" x14ac:dyDescent="0.3">
      <c r="A630" t="s">
        <v>17</v>
      </c>
      <c r="B630" t="str">
        <f>"600731"</f>
        <v>600731</v>
      </c>
      <c r="C630" t="s">
        <v>1305</v>
      </c>
      <c r="D630" t="s">
        <v>133</v>
      </c>
      <c r="F630">
        <v>-56737041</v>
      </c>
      <c r="G630">
        <v>206462326</v>
      </c>
      <c r="H630">
        <v>130881465</v>
      </c>
      <c r="I630">
        <v>67253267</v>
      </c>
      <c r="J630">
        <v>114382638</v>
      </c>
      <c r="K630">
        <v>50626304</v>
      </c>
      <c r="L630">
        <v>-121797268</v>
      </c>
      <c r="M630">
        <v>9270692</v>
      </c>
      <c r="N630">
        <v>-31663165</v>
      </c>
      <c r="O630">
        <v>51436886</v>
      </c>
      <c r="P630">
        <v>244</v>
      </c>
      <c r="Q630" t="s">
        <v>1306</v>
      </c>
    </row>
    <row r="631" spans="1:17" x14ac:dyDescent="0.3">
      <c r="A631" t="s">
        <v>17</v>
      </c>
      <c r="B631" t="str">
        <f>"600732"</f>
        <v>600732</v>
      </c>
      <c r="C631" t="s">
        <v>1307</v>
      </c>
      <c r="D631" t="s">
        <v>188</v>
      </c>
      <c r="F631">
        <v>-436295372</v>
      </c>
      <c r="G631">
        <v>-2331365792</v>
      </c>
      <c r="H631">
        <v>-1342188664</v>
      </c>
      <c r="I631">
        <v>116252793</v>
      </c>
      <c r="J631">
        <v>-35924767</v>
      </c>
      <c r="K631">
        <v>150090745</v>
      </c>
      <c r="L631">
        <v>42717345</v>
      </c>
      <c r="M631">
        <v>-45052303</v>
      </c>
      <c r="N631">
        <v>-84158294</v>
      </c>
      <c r="O631">
        <v>33000072</v>
      </c>
      <c r="P631">
        <v>357</v>
      </c>
      <c r="Q631" t="s">
        <v>1308</v>
      </c>
    </row>
    <row r="632" spans="1:17" x14ac:dyDescent="0.3">
      <c r="A632" t="s">
        <v>17</v>
      </c>
      <c r="B632" t="str">
        <f>"600733"</f>
        <v>600733</v>
      </c>
      <c r="C632" t="s">
        <v>1309</v>
      </c>
      <c r="D632" t="s">
        <v>27</v>
      </c>
      <c r="F632">
        <v>2739794180</v>
      </c>
      <c r="G632">
        <v>-7673211274</v>
      </c>
      <c r="H632">
        <v>-8416097555</v>
      </c>
      <c r="I632">
        <v>-4976626812</v>
      </c>
      <c r="J632">
        <v>-5577325</v>
      </c>
      <c r="K632">
        <v>-84164615</v>
      </c>
      <c r="L632">
        <v>-21924988</v>
      </c>
      <c r="M632">
        <v>-89623467</v>
      </c>
      <c r="N632">
        <v>-11491536</v>
      </c>
      <c r="O632">
        <v>-77634552</v>
      </c>
      <c r="P632">
        <v>369</v>
      </c>
      <c r="Q632" t="s">
        <v>1310</v>
      </c>
    </row>
    <row r="633" spans="1:17" x14ac:dyDescent="0.3">
      <c r="A633" t="s">
        <v>17</v>
      </c>
      <c r="B633" t="str">
        <f>"600734"</f>
        <v>600734</v>
      </c>
      <c r="C633" t="s">
        <v>1311</v>
      </c>
      <c r="D633" t="s">
        <v>100</v>
      </c>
      <c r="F633">
        <v>-44314343</v>
      </c>
      <c r="G633">
        <v>-76955056</v>
      </c>
      <c r="H633">
        <v>-207865410</v>
      </c>
      <c r="I633">
        <v>-371032752</v>
      </c>
      <c r="J633">
        <v>-338266978</v>
      </c>
      <c r="K633">
        <v>94008588</v>
      </c>
      <c r="L633">
        <v>100143200</v>
      </c>
      <c r="M633">
        <v>-289990757</v>
      </c>
      <c r="N633">
        <v>-32958876</v>
      </c>
      <c r="O633">
        <v>-55784336</v>
      </c>
      <c r="P633">
        <v>175</v>
      </c>
      <c r="Q633" t="s">
        <v>1312</v>
      </c>
    </row>
    <row r="634" spans="1:17" x14ac:dyDescent="0.3">
      <c r="A634" t="s">
        <v>17</v>
      </c>
      <c r="B634" t="str">
        <f>"600735"</f>
        <v>600735</v>
      </c>
      <c r="C634" t="s">
        <v>1313</v>
      </c>
      <c r="D634" t="s">
        <v>227</v>
      </c>
      <c r="F634">
        <v>1654072</v>
      </c>
      <c r="G634">
        <v>93095773</v>
      </c>
      <c r="H634">
        <v>123192708</v>
      </c>
      <c r="I634">
        <v>87637619</v>
      </c>
      <c r="J634">
        <v>89317047</v>
      </c>
      <c r="K634">
        <v>124609149</v>
      </c>
      <c r="L634">
        <v>118405722</v>
      </c>
      <c r="M634">
        <v>79282530</v>
      </c>
      <c r="N634">
        <v>103569284</v>
      </c>
      <c r="O634">
        <v>90413930</v>
      </c>
      <c r="P634">
        <v>105</v>
      </c>
      <c r="Q634" t="s">
        <v>1314</v>
      </c>
    </row>
    <row r="635" spans="1:17" x14ac:dyDescent="0.3">
      <c r="A635" t="s">
        <v>17</v>
      </c>
      <c r="B635" t="str">
        <f>"600736"</f>
        <v>600736</v>
      </c>
      <c r="C635" t="s">
        <v>1315</v>
      </c>
      <c r="D635" t="s">
        <v>30</v>
      </c>
      <c r="F635">
        <v>-3414865910</v>
      </c>
      <c r="G635">
        <v>3762008161</v>
      </c>
      <c r="H635">
        <v>-3153552343</v>
      </c>
      <c r="I635">
        <v>-4307156449</v>
      </c>
      <c r="J635">
        <v>3828902567</v>
      </c>
      <c r="K635">
        <v>1626731514</v>
      </c>
      <c r="L635">
        <v>455008526</v>
      </c>
      <c r="M635">
        <v>247438709</v>
      </c>
      <c r="N635">
        <v>-1285395197</v>
      </c>
      <c r="O635">
        <v>-643857240</v>
      </c>
      <c r="P635">
        <v>142</v>
      </c>
      <c r="Q635" t="s">
        <v>1316</v>
      </c>
    </row>
    <row r="636" spans="1:17" x14ac:dyDescent="0.3">
      <c r="A636" t="s">
        <v>17</v>
      </c>
      <c r="B636" t="str">
        <f>"600737"</f>
        <v>600737</v>
      </c>
      <c r="C636" t="s">
        <v>1317</v>
      </c>
      <c r="D636" t="s">
        <v>205</v>
      </c>
      <c r="F636">
        <v>-316850629</v>
      </c>
      <c r="G636">
        <v>712398156</v>
      </c>
      <c r="H636">
        <v>729552608</v>
      </c>
      <c r="I636">
        <v>2018473352</v>
      </c>
      <c r="J636">
        <v>4853914931</v>
      </c>
      <c r="K636">
        <v>-2096705718</v>
      </c>
      <c r="L636">
        <v>388604393</v>
      </c>
      <c r="M636">
        <v>-2360562475</v>
      </c>
      <c r="N636">
        <v>800436047</v>
      </c>
      <c r="O636">
        <v>253127296</v>
      </c>
      <c r="P636">
        <v>515</v>
      </c>
      <c r="Q636" t="s">
        <v>1318</v>
      </c>
    </row>
    <row r="637" spans="1:17" x14ac:dyDescent="0.3">
      <c r="A637" t="s">
        <v>17</v>
      </c>
      <c r="B637" t="str">
        <f>"600738"</f>
        <v>600738</v>
      </c>
      <c r="C637" t="s">
        <v>1319</v>
      </c>
      <c r="D637" t="s">
        <v>120</v>
      </c>
      <c r="F637">
        <v>-93333609</v>
      </c>
      <c r="G637">
        <v>-121439666</v>
      </c>
      <c r="H637">
        <v>-100892183</v>
      </c>
      <c r="I637">
        <v>39903294</v>
      </c>
      <c r="J637">
        <v>190184598</v>
      </c>
      <c r="K637">
        <v>-4855609</v>
      </c>
      <c r="L637">
        <v>-166248965</v>
      </c>
      <c r="M637">
        <v>-156098383</v>
      </c>
      <c r="N637">
        <v>12428501</v>
      </c>
      <c r="O637">
        <v>113804332</v>
      </c>
      <c r="P637">
        <v>153</v>
      </c>
      <c r="Q637" t="s">
        <v>1320</v>
      </c>
    </row>
    <row r="638" spans="1:17" x14ac:dyDescent="0.3">
      <c r="A638" t="s">
        <v>17</v>
      </c>
      <c r="B638" t="str">
        <f>"600739"</f>
        <v>600739</v>
      </c>
      <c r="C638" t="s">
        <v>1321</v>
      </c>
      <c r="D638" t="s">
        <v>113</v>
      </c>
      <c r="F638">
        <v>-291184360</v>
      </c>
      <c r="G638">
        <v>445527961</v>
      </c>
      <c r="H638">
        <v>121782543</v>
      </c>
      <c r="I638">
        <v>-12374463</v>
      </c>
      <c r="J638">
        <v>-745865954</v>
      </c>
      <c r="K638">
        <v>336184400</v>
      </c>
      <c r="L638">
        <v>-104102266</v>
      </c>
      <c r="M638">
        <v>-805895533</v>
      </c>
      <c r="N638">
        <v>-857810072</v>
      </c>
      <c r="O638">
        <v>-982033323</v>
      </c>
      <c r="P638">
        <v>338</v>
      </c>
      <c r="Q638" t="s">
        <v>1322</v>
      </c>
    </row>
    <row r="639" spans="1:17" x14ac:dyDescent="0.3">
      <c r="A639" t="s">
        <v>17</v>
      </c>
      <c r="B639" t="str">
        <f>"600740"</f>
        <v>600740</v>
      </c>
      <c r="C639" t="s">
        <v>1323</v>
      </c>
      <c r="D639" t="s">
        <v>257</v>
      </c>
      <c r="F639">
        <v>574178602</v>
      </c>
      <c r="G639">
        <v>171203469</v>
      </c>
      <c r="H639">
        <v>-34958500</v>
      </c>
      <c r="I639">
        <v>499135703</v>
      </c>
      <c r="J639">
        <v>247763747</v>
      </c>
      <c r="K639">
        <v>908097079</v>
      </c>
      <c r="L639">
        <v>-1171402199</v>
      </c>
      <c r="M639">
        <v>-93979777</v>
      </c>
      <c r="N639">
        <v>-1174350607</v>
      </c>
      <c r="O639">
        <v>452351476</v>
      </c>
      <c r="P639">
        <v>331</v>
      </c>
      <c r="Q639" t="s">
        <v>1324</v>
      </c>
    </row>
    <row r="640" spans="1:17" x14ac:dyDescent="0.3">
      <c r="A640" t="s">
        <v>17</v>
      </c>
      <c r="B640" t="str">
        <f>"600741"</f>
        <v>600741</v>
      </c>
      <c r="C640" t="s">
        <v>1325</v>
      </c>
      <c r="D640" t="s">
        <v>27</v>
      </c>
      <c r="F640">
        <v>4765698101</v>
      </c>
      <c r="G640">
        <v>5708708878</v>
      </c>
      <c r="H640">
        <v>4532338766</v>
      </c>
      <c r="I640">
        <v>1913828214</v>
      </c>
      <c r="J640">
        <v>2745395953</v>
      </c>
      <c r="K640">
        <v>7250078520</v>
      </c>
      <c r="L640">
        <v>2770208361</v>
      </c>
      <c r="M640">
        <v>2939145386</v>
      </c>
      <c r="N640">
        <v>3351026676</v>
      </c>
      <c r="O640">
        <v>2496122914</v>
      </c>
      <c r="P640">
        <v>6373</v>
      </c>
      <c r="Q640" t="s">
        <v>1326</v>
      </c>
    </row>
    <row r="641" spans="1:17" x14ac:dyDescent="0.3">
      <c r="A641" t="s">
        <v>17</v>
      </c>
      <c r="B641" t="str">
        <f>"600742"</f>
        <v>600742</v>
      </c>
      <c r="C641" t="s">
        <v>1327</v>
      </c>
      <c r="D641" t="s">
        <v>27</v>
      </c>
      <c r="F641">
        <v>1622584647</v>
      </c>
      <c r="G641">
        <v>2482021022</v>
      </c>
      <c r="H641">
        <v>546491525</v>
      </c>
      <c r="I641">
        <v>-82721601</v>
      </c>
      <c r="J641">
        <v>-234807499</v>
      </c>
      <c r="K641">
        <v>563740845</v>
      </c>
      <c r="L641">
        <v>77044582</v>
      </c>
      <c r="M641">
        <v>-25762861</v>
      </c>
      <c r="N641">
        <v>-134612886</v>
      </c>
      <c r="O641">
        <v>-65606574</v>
      </c>
      <c r="P641">
        <v>417</v>
      </c>
      <c r="Q641" t="s">
        <v>1328</v>
      </c>
    </row>
    <row r="642" spans="1:17" x14ac:dyDescent="0.3">
      <c r="A642" t="s">
        <v>17</v>
      </c>
      <c r="B642" t="str">
        <f>"600743"</f>
        <v>600743</v>
      </c>
      <c r="C642" t="s">
        <v>1329</v>
      </c>
      <c r="D642" t="s">
        <v>30</v>
      </c>
      <c r="F642">
        <v>7316772044</v>
      </c>
      <c r="G642">
        <v>6275568095</v>
      </c>
      <c r="H642">
        <v>-4465618164</v>
      </c>
      <c r="I642">
        <v>-3360743326</v>
      </c>
      <c r="J642">
        <v>677885383</v>
      </c>
      <c r="K642">
        <v>2070121349</v>
      </c>
      <c r="L642">
        <v>-224587477</v>
      </c>
      <c r="M642">
        <v>-1505871919</v>
      </c>
      <c r="N642">
        <v>-912480862</v>
      </c>
      <c r="O642">
        <v>889942777</v>
      </c>
      <c r="P642">
        <v>603</v>
      </c>
      <c r="Q642" t="s">
        <v>1330</v>
      </c>
    </row>
    <row r="643" spans="1:17" x14ac:dyDescent="0.3">
      <c r="A643" t="s">
        <v>17</v>
      </c>
      <c r="B643" t="str">
        <f>"600744"</f>
        <v>600744</v>
      </c>
      <c r="C643" t="s">
        <v>1331</v>
      </c>
      <c r="D643" t="s">
        <v>41</v>
      </c>
      <c r="F643">
        <v>-1971110652</v>
      </c>
      <c r="G643">
        <v>1827694509</v>
      </c>
      <c r="H643">
        <v>539955286</v>
      </c>
      <c r="I643">
        <v>1527449429</v>
      </c>
      <c r="J643">
        <v>-57432177</v>
      </c>
      <c r="K643">
        <v>1154573033</v>
      </c>
      <c r="L643">
        <v>3059054588</v>
      </c>
      <c r="M643">
        <v>960671988</v>
      </c>
      <c r="N643">
        <v>386261136</v>
      </c>
      <c r="O643">
        <v>-355364543</v>
      </c>
      <c r="P643">
        <v>182</v>
      </c>
      <c r="Q643" t="s">
        <v>1332</v>
      </c>
    </row>
    <row r="644" spans="1:17" x14ac:dyDescent="0.3">
      <c r="A644" t="s">
        <v>17</v>
      </c>
      <c r="B644" t="str">
        <f>"600745"</f>
        <v>600745</v>
      </c>
      <c r="C644" t="s">
        <v>1333</v>
      </c>
      <c r="D644" t="s">
        <v>150</v>
      </c>
      <c r="F644">
        <v>-3311832182</v>
      </c>
      <c r="G644">
        <v>4392351889</v>
      </c>
      <c r="H644">
        <v>3698817198</v>
      </c>
      <c r="I644">
        <v>3096476652</v>
      </c>
      <c r="J644">
        <v>1206304666</v>
      </c>
      <c r="K644">
        <v>7282672</v>
      </c>
      <c r="L644">
        <v>-376757921</v>
      </c>
      <c r="M644">
        <v>-1058151565</v>
      </c>
      <c r="N644">
        <v>334397096</v>
      </c>
      <c r="O644">
        <v>204593305</v>
      </c>
      <c r="P644">
        <v>1618</v>
      </c>
      <c r="Q644" t="s">
        <v>1334</v>
      </c>
    </row>
    <row r="645" spans="1:17" x14ac:dyDescent="0.3">
      <c r="A645" t="s">
        <v>17</v>
      </c>
      <c r="B645" t="str">
        <f>"600746"</f>
        <v>600746</v>
      </c>
      <c r="C645" t="s">
        <v>1335</v>
      </c>
      <c r="D645" t="s">
        <v>133</v>
      </c>
      <c r="F645">
        <v>1873574899</v>
      </c>
      <c r="G645">
        <v>374006885</v>
      </c>
      <c r="H645">
        <v>-3659257</v>
      </c>
      <c r="I645">
        <v>-14734717</v>
      </c>
      <c r="J645">
        <v>13258087</v>
      </c>
      <c r="K645">
        <v>178623350</v>
      </c>
      <c r="L645">
        <v>15964054</v>
      </c>
      <c r="M645">
        <v>34378104</v>
      </c>
      <c r="N645">
        <v>64034596</v>
      </c>
      <c r="O645">
        <v>51640314</v>
      </c>
      <c r="P645">
        <v>230</v>
      </c>
      <c r="Q645" t="s">
        <v>1336</v>
      </c>
    </row>
    <row r="646" spans="1:17" x14ac:dyDescent="0.3">
      <c r="A646" t="s">
        <v>17</v>
      </c>
      <c r="B646" t="str">
        <f>"600747"</f>
        <v>600747</v>
      </c>
      <c r="C646" t="s">
        <v>1337</v>
      </c>
      <c r="H646">
        <v>-1510496</v>
      </c>
      <c r="I646">
        <v>-62707182</v>
      </c>
      <c r="J646">
        <v>3108017</v>
      </c>
      <c r="K646">
        <v>-143242429</v>
      </c>
      <c r="L646">
        <v>-243584109</v>
      </c>
      <c r="M646">
        <v>-800715336</v>
      </c>
      <c r="N646">
        <v>-153926430</v>
      </c>
      <c r="O646">
        <v>13172462</v>
      </c>
      <c r="P646">
        <v>21</v>
      </c>
      <c r="Q646" t="s">
        <v>1338</v>
      </c>
    </row>
    <row r="647" spans="1:17" x14ac:dyDescent="0.3">
      <c r="A647" t="s">
        <v>17</v>
      </c>
      <c r="B647" t="str">
        <f>"600748"</f>
        <v>600748</v>
      </c>
      <c r="C647" t="s">
        <v>1339</v>
      </c>
      <c r="D647" t="s">
        <v>30</v>
      </c>
      <c r="F647">
        <v>-2733968255</v>
      </c>
      <c r="G647">
        <v>798724440</v>
      </c>
      <c r="H647">
        <v>62179174</v>
      </c>
      <c r="I647">
        <v>2033179925</v>
      </c>
      <c r="J647">
        <v>601356163</v>
      </c>
      <c r="K647">
        <v>5645334319</v>
      </c>
      <c r="L647">
        <v>-1356207956</v>
      </c>
      <c r="M647">
        <v>-1926465576</v>
      </c>
      <c r="N647">
        <v>2319602774</v>
      </c>
      <c r="O647">
        <v>94817473</v>
      </c>
      <c r="P647">
        <v>188</v>
      </c>
      <c r="Q647" t="s">
        <v>1340</v>
      </c>
    </row>
    <row r="648" spans="1:17" x14ac:dyDescent="0.3">
      <c r="A648" t="s">
        <v>17</v>
      </c>
      <c r="B648" t="str">
        <f>"600749"</f>
        <v>600749</v>
      </c>
      <c r="C648" t="s">
        <v>1341</v>
      </c>
      <c r="D648" t="s">
        <v>110</v>
      </c>
      <c r="F648">
        <v>-21413462</v>
      </c>
      <c r="G648">
        <v>-52545989</v>
      </c>
      <c r="H648">
        <v>-27143709</v>
      </c>
      <c r="I648">
        <v>562780716</v>
      </c>
      <c r="J648">
        <v>-25005738</v>
      </c>
      <c r="K648">
        <v>-116215571</v>
      </c>
      <c r="L648">
        <v>-14984730</v>
      </c>
      <c r="M648">
        <v>-122011191</v>
      </c>
      <c r="N648">
        <v>-111241386</v>
      </c>
      <c r="O648">
        <v>-216384879</v>
      </c>
      <c r="P648">
        <v>106</v>
      </c>
      <c r="Q648" t="s">
        <v>1342</v>
      </c>
    </row>
    <row r="649" spans="1:17" x14ac:dyDescent="0.3">
      <c r="A649" t="s">
        <v>17</v>
      </c>
      <c r="B649" t="str">
        <f>"600750"</f>
        <v>600750</v>
      </c>
      <c r="C649" t="s">
        <v>1343</v>
      </c>
      <c r="D649" t="s">
        <v>113</v>
      </c>
      <c r="F649">
        <v>729791686</v>
      </c>
      <c r="G649">
        <v>570627381</v>
      </c>
      <c r="H649">
        <v>564921999</v>
      </c>
      <c r="I649">
        <v>365586757</v>
      </c>
      <c r="J649">
        <v>-55224504</v>
      </c>
      <c r="K649">
        <v>630258716</v>
      </c>
      <c r="L649">
        <v>456731497</v>
      </c>
      <c r="M649">
        <v>254620853</v>
      </c>
      <c r="N649">
        <v>89973955</v>
      </c>
      <c r="O649">
        <v>2028347</v>
      </c>
      <c r="P649">
        <v>817</v>
      </c>
      <c r="Q649" t="s">
        <v>1344</v>
      </c>
    </row>
    <row r="650" spans="1:17" x14ac:dyDescent="0.3">
      <c r="A650" t="s">
        <v>17</v>
      </c>
      <c r="B650" t="str">
        <f>"600751"</f>
        <v>600751</v>
      </c>
      <c r="C650" t="s">
        <v>1345</v>
      </c>
      <c r="D650" t="s">
        <v>150</v>
      </c>
      <c r="F650">
        <v>-3803619000</v>
      </c>
      <c r="G650">
        <v>17105283000</v>
      </c>
      <c r="H650">
        <v>2476304000</v>
      </c>
      <c r="I650">
        <v>1895832000</v>
      </c>
      <c r="J650">
        <v>-5726927000</v>
      </c>
      <c r="K650">
        <v>1579739000</v>
      </c>
      <c r="L650">
        <v>-44691029</v>
      </c>
      <c r="M650">
        <v>128113783</v>
      </c>
      <c r="N650">
        <v>131322945</v>
      </c>
      <c r="O650">
        <v>33551075</v>
      </c>
      <c r="P650">
        <v>226</v>
      </c>
      <c r="Q650" t="s">
        <v>1346</v>
      </c>
    </row>
    <row r="651" spans="1:17" x14ac:dyDescent="0.3">
      <c r="A651" t="s">
        <v>17</v>
      </c>
      <c r="B651" t="str">
        <f>"600752"</f>
        <v>600752</v>
      </c>
      <c r="C651" t="s">
        <v>1347</v>
      </c>
      <c r="K651">
        <v>2870.25</v>
      </c>
      <c r="L651">
        <v>4303.66</v>
      </c>
      <c r="M651">
        <v>-114</v>
      </c>
      <c r="N651">
        <v>-3538</v>
      </c>
      <c r="O651">
        <v>4255.43</v>
      </c>
      <c r="P651">
        <v>2</v>
      </c>
      <c r="Q651" t="s">
        <v>1348</v>
      </c>
    </row>
    <row r="652" spans="1:17" x14ac:dyDescent="0.3">
      <c r="A652" t="s">
        <v>17</v>
      </c>
      <c r="B652" t="str">
        <f>"600753"</f>
        <v>600753</v>
      </c>
      <c r="C652" t="s">
        <v>1349</v>
      </c>
      <c r="D652" t="s">
        <v>22</v>
      </c>
      <c r="F652">
        <v>-86099225</v>
      </c>
      <c r="G652">
        <v>93295360</v>
      </c>
      <c r="H652">
        <v>-127009811</v>
      </c>
      <c r="I652">
        <v>-98335396</v>
      </c>
      <c r="J652">
        <v>-891251</v>
      </c>
      <c r="K652">
        <v>-22082151</v>
      </c>
      <c r="L652">
        <v>201292945</v>
      </c>
      <c r="M652">
        <v>-468698</v>
      </c>
      <c r="N652">
        <v>389256</v>
      </c>
      <c r="O652">
        <v>42028</v>
      </c>
      <c r="P652">
        <v>91</v>
      </c>
      <c r="Q652" t="s">
        <v>1350</v>
      </c>
    </row>
    <row r="653" spans="1:17" x14ac:dyDescent="0.3">
      <c r="A653" t="s">
        <v>17</v>
      </c>
      <c r="B653" t="str">
        <f>"600754"</f>
        <v>600754</v>
      </c>
      <c r="C653" t="s">
        <v>1351</v>
      </c>
      <c r="D653" t="s">
        <v>110</v>
      </c>
      <c r="F653">
        <v>1531321943</v>
      </c>
      <c r="G653">
        <v>-536483658</v>
      </c>
      <c r="H653">
        <v>1604529519</v>
      </c>
      <c r="I653">
        <v>2621489890</v>
      </c>
      <c r="J653">
        <v>2470260723</v>
      </c>
      <c r="K653">
        <v>1384384376</v>
      </c>
      <c r="L653">
        <v>466674253</v>
      </c>
      <c r="M653">
        <v>180089687</v>
      </c>
      <c r="N653">
        <v>-163721883</v>
      </c>
      <c r="O653">
        <v>206887898</v>
      </c>
      <c r="P653">
        <v>670</v>
      </c>
      <c r="Q653" t="s">
        <v>1352</v>
      </c>
    </row>
    <row r="654" spans="1:17" x14ac:dyDescent="0.3">
      <c r="A654" t="s">
        <v>17</v>
      </c>
      <c r="B654" t="str">
        <f>"600755"</f>
        <v>600755</v>
      </c>
      <c r="C654" t="s">
        <v>1353</v>
      </c>
      <c r="D654" t="s">
        <v>22</v>
      </c>
      <c r="F654">
        <v>7538180523</v>
      </c>
      <c r="G654">
        <v>-2366207741</v>
      </c>
      <c r="H654">
        <v>-3836874522</v>
      </c>
      <c r="I654">
        <v>3632843293</v>
      </c>
      <c r="J654">
        <v>-8873675248</v>
      </c>
      <c r="K654">
        <v>1966172564</v>
      </c>
      <c r="L654">
        <v>2900103563</v>
      </c>
      <c r="M654">
        <v>-4170050689</v>
      </c>
      <c r="N654">
        <v>-923066774</v>
      </c>
      <c r="O654">
        <v>2035380194</v>
      </c>
      <c r="P654">
        <v>742</v>
      </c>
      <c r="Q654" t="s">
        <v>1354</v>
      </c>
    </row>
    <row r="655" spans="1:17" x14ac:dyDescent="0.3">
      <c r="A655" t="s">
        <v>17</v>
      </c>
      <c r="B655" t="str">
        <f>"600756"</f>
        <v>600756</v>
      </c>
      <c r="C655" t="s">
        <v>1355</v>
      </c>
      <c r="D655" t="s">
        <v>212</v>
      </c>
      <c r="F655">
        <v>29455850</v>
      </c>
      <c r="G655">
        <v>172970838</v>
      </c>
      <c r="H655">
        <v>20979906</v>
      </c>
      <c r="I655">
        <v>62442698</v>
      </c>
      <c r="J655">
        <v>-202790189</v>
      </c>
      <c r="K655">
        <v>-2448441</v>
      </c>
      <c r="L655">
        <v>83572623</v>
      </c>
      <c r="M655">
        <v>-14205557</v>
      </c>
      <c r="N655">
        <v>27270063</v>
      </c>
      <c r="O655">
        <v>-7136221</v>
      </c>
      <c r="P655">
        <v>265</v>
      </c>
      <c r="Q655" t="s">
        <v>1356</v>
      </c>
    </row>
    <row r="656" spans="1:17" x14ac:dyDescent="0.3">
      <c r="A656" t="s">
        <v>17</v>
      </c>
      <c r="B656" t="str">
        <f>"600757"</f>
        <v>600757</v>
      </c>
      <c r="C656" t="s">
        <v>1357</v>
      </c>
      <c r="D656" t="s">
        <v>89</v>
      </c>
      <c r="F656">
        <v>802988282</v>
      </c>
      <c r="G656">
        <v>513874635</v>
      </c>
      <c r="H656">
        <v>622639838</v>
      </c>
      <c r="I656">
        <v>449814019</v>
      </c>
      <c r="J656">
        <v>144018645</v>
      </c>
      <c r="K656">
        <v>602929502</v>
      </c>
      <c r="L656">
        <v>583013489</v>
      </c>
      <c r="M656">
        <v>502337161</v>
      </c>
      <c r="N656">
        <v>89193702</v>
      </c>
      <c r="O656">
        <v>164147977</v>
      </c>
      <c r="P656">
        <v>437</v>
      </c>
      <c r="Q656" t="s">
        <v>1358</v>
      </c>
    </row>
    <row r="657" spans="1:17" x14ac:dyDescent="0.3">
      <c r="A657" t="s">
        <v>17</v>
      </c>
      <c r="B657" t="str">
        <f>"600758"</f>
        <v>600758</v>
      </c>
      <c r="C657" t="s">
        <v>1359</v>
      </c>
      <c r="D657" t="s">
        <v>257</v>
      </c>
      <c r="F657">
        <v>781248839</v>
      </c>
      <c r="G657">
        <v>668532210</v>
      </c>
      <c r="H657">
        <v>652137187</v>
      </c>
      <c r="I657">
        <v>579634830</v>
      </c>
      <c r="J657">
        <v>1151347484</v>
      </c>
      <c r="K657">
        <v>568393543</v>
      </c>
      <c r="L657">
        <v>1700884261</v>
      </c>
      <c r="M657">
        <v>20325072</v>
      </c>
      <c r="N657">
        <v>-96089106</v>
      </c>
      <c r="O657">
        <v>71218769</v>
      </c>
      <c r="P657">
        <v>126</v>
      </c>
      <c r="Q657" t="s">
        <v>1360</v>
      </c>
    </row>
    <row r="658" spans="1:17" x14ac:dyDescent="0.3">
      <c r="A658" t="s">
        <v>17</v>
      </c>
      <c r="B658" t="str">
        <f>"600759"</f>
        <v>600759</v>
      </c>
      <c r="C658" t="s">
        <v>1361</v>
      </c>
      <c r="D658" t="s">
        <v>70</v>
      </c>
      <c r="F658">
        <v>468503102</v>
      </c>
      <c r="G658">
        <v>465613514</v>
      </c>
      <c r="H658">
        <v>425586516</v>
      </c>
      <c r="I658">
        <v>755839110</v>
      </c>
      <c r="J658">
        <v>-181557226</v>
      </c>
      <c r="K658">
        <v>93805389</v>
      </c>
      <c r="L658">
        <v>-105922972</v>
      </c>
      <c r="M658">
        <v>-61797100</v>
      </c>
      <c r="N658">
        <v>436989117</v>
      </c>
      <c r="O658">
        <v>-790728574</v>
      </c>
      <c r="P658">
        <v>125</v>
      </c>
      <c r="Q658" t="s">
        <v>1362</v>
      </c>
    </row>
    <row r="659" spans="1:17" x14ac:dyDescent="0.3">
      <c r="A659" t="s">
        <v>17</v>
      </c>
      <c r="B659" t="str">
        <f>"600760"</f>
        <v>600760</v>
      </c>
      <c r="C659" t="s">
        <v>1363</v>
      </c>
      <c r="D659" t="s">
        <v>92</v>
      </c>
      <c r="F659">
        <v>9158762644</v>
      </c>
      <c r="G659">
        <v>5578649366</v>
      </c>
      <c r="H659">
        <v>-1706654429</v>
      </c>
      <c r="I659">
        <v>-376029839</v>
      </c>
      <c r="J659">
        <v>2894625194</v>
      </c>
      <c r="K659">
        <v>167678176</v>
      </c>
      <c r="L659">
        <v>161088638</v>
      </c>
      <c r="M659">
        <v>92398672</v>
      </c>
      <c r="N659">
        <v>200937587</v>
      </c>
      <c r="O659">
        <v>162314319</v>
      </c>
      <c r="P659">
        <v>828</v>
      </c>
      <c r="Q659" t="s">
        <v>1364</v>
      </c>
    </row>
    <row r="660" spans="1:17" x14ac:dyDescent="0.3">
      <c r="A660" t="s">
        <v>17</v>
      </c>
      <c r="B660" t="str">
        <f>"600761"</f>
        <v>600761</v>
      </c>
      <c r="C660" t="s">
        <v>1365</v>
      </c>
      <c r="D660" t="s">
        <v>78</v>
      </c>
      <c r="F660">
        <v>140820446</v>
      </c>
      <c r="G660">
        <v>724578858</v>
      </c>
      <c r="H660">
        <v>644523486</v>
      </c>
      <c r="I660">
        <v>460891235</v>
      </c>
      <c r="J660">
        <v>752048111</v>
      </c>
      <c r="K660">
        <v>766060827</v>
      </c>
      <c r="L660">
        <v>426576988</v>
      </c>
      <c r="M660">
        <v>461249596</v>
      </c>
      <c r="N660">
        <v>491225849</v>
      </c>
      <c r="O660">
        <v>80844210</v>
      </c>
      <c r="P660">
        <v>443</v>
      </c>
      <c r="Q660" t="s">
        <v>1366</v>
      </c>
    </row>
    <row r="661" spans="1:17" x14ac:dyDescent="0.3">
      <c r="A661" t="s">
        <v>17</v>
      </c>
      <c r="B661" t="str">
        <f>"600763"</f>
        <v>600763</v>
      </c>
      <c r="C661" t="s">
        <v>1367</v>
      </c>
      <c r="D661" t="s">
        <v>113</v>
      </c>
      <c r="F661">
        <v>572106015</v>
      </c>
      <c r="G661">
        <v>542698213</v>
      </c>
      <c r="H661">
        <v>522029802</v>
      </c>
      <c r="I661">
        <v>228899653</v>
      </c>
      <c r="J661">
        <v>278079786</v>
      </c>
      <c r="K661">
        <v>62594923</v>
      </c>
      <c r="L661">
        <v>94589830</v>
      </c>
      <c r="M661">
        <v>26502174</v>
      </c>
      <c r="N661">
        <v>87723267</v>
      </c>
      <c r="O661">
        <v>77221212</v>
      </c>
      <c r="P661">
        <v>38190</v>
      </c>
      <c r="Q661" t="s">
        <v>1368</v>
      </c>
    </row>
    <row r="662" spans="1:17" x14ac:dyDescent="0.3">
      <c r="A662" t="s">
        <v>17</v>
      </c>
      <c r="B662" t="str">
        <f>"600764"</f>
        <v>600764</v>
      </c>
      <c r="C662" t="s">
        <v>1369</v>
      </c>
      <c r="D662" t="s">
        <v>92</v>
      </c>
      <c r="F662">
        <v>385380437</v>
      </c>
      <c r="G662">
        <v>-24884440</v>
      </c>
      <c r="H662">
        <v>-76604103</v>
      </c>
      <c r="I662">
        <v>-164673073</v>
      </c>
      <c r="J662">
        <v>-131972764</v>
      </c>
      <c r="K662">
        <v>11164591</v>
      </c>
      <c r="L662">
        <v>79551736</v>
      </c>
      <c r="M662">
        <v>-62487852</v>
      </c>
      <c r="N662">
        <v>-87336909</v>
      </c>
      <c r="O662">
        <v>-11003585</v>
      </c>
      <c r="P662">
        <v>233</v>
      </c>
      <c r="Q662" t="s">
        <v>1370</v>
      </c>
    </row>
    <row r="663" spans="1:17" x14ac:dyDescent="0.3">
      <c r="A663" t="s">
        <v>17</v>
      </c>
      <c r="B663" t="str">
        <f>"600765"</f>
        <v>600765</v>
      </c>
      <c r="C663" t="s">
        <v>1371</v>
      </c>
      <c r="D663" t="s">
        <v>92</v>
      </c>
      <c r="F663">
        <v>899287891</v>
      </c>
      <c r="G663">
        <v>206428495</v>
      </c>
      <c r="H663">
        <v>521722141</v>
      </c>
      <c r="I663">
        <v>18837082</v>
      </c>
      <c r="J663">
        <v>391220385</v>
      </c>
      <c r="K663">
        <v>-542518941</v>
      </c>
      <c r="L663">
        <v>-13406825</v>
      </c>
      <c r="M663">
        <v>-593573069</v>
      </c>
      <c r="N663">
        <v>-833734188</v>
      </c>
      <c r="O663">
        <v>-936392859</v>
      </c>
      <c r="P663">
        <v>357</v>
      </c>
      <c r="Q663" t="s">
        <v>1372</v>
      </c>
    </row>
    <row r="664" spans="1:17" x14ac:dyDescent="0.3">
      <c r="A664" t="s">
        <v>17</v>
      </c>
      <c r="B664" t="str">
        <f>"600766"</f>
        <v>600766</v>
      </c>
      <c r="C664" t="s">
        <v>1373</v>
      </c>
      <c r="D664" t="s">
        <v>234</v>
      </c>
      <c r="F664">
        <v>6876121</v>
      </c>
      <c r="G664">
        <v>-5174467</v>
      </c>
      <c r="H664">
        <v>1674842</v>
      </c>
      <c r="I664">
        <v>1768427</v>
      </c>
      <c r="J664">
        <v>6333875</v>
      </c>
      <c r="K664">
        <v>5644483</v>
      </c>
      <c r="L664">
        <v>18347010</v>
      </c>
      <c r="M664">
        <v>28871231</v>
      </c>
      <c r="N664">
        <v>15977367</v>
      </c>
      <c r="O664">
        <v>42623439</v>
      </c>
      <c r="P664">
        <v>79</v>
      </c>
      <c r="Q664" t="s">
        <v>1374</v>
      </c>
    </row>
    <row r="665" spans="1:17" x14ac:dyDescent="0.3">
      <c r="A665" t="s">
        <v>17</v>
      </c>
      <c r="B665" t="str">
        <f>"600767"</f>
        <v>600767</v>
      </c>
      <c r="C665" t="s">
        <v>1375</v>
      </c>
      <c r="D665" t="s">
        <v>113</v>
      </c>
      <c r="F665">
        <v>2713884</v>
      </c>
      <c r="G665">
        <v>36332348</v>
      </c>
      <c r="H665">
        <v>-46733686</v>
      </c>
      <c r="I665">
        <v>-60516351</v>
      </c>
      <c r="J665">
        <v>245886467</v>
      </c>
      <c r="K665">
        <v>-29909872</v>
      </c>
      <c r="L665">
        <v>-16588335</v>
      </c>
      <c r="M665">
        <v>101126657</v>
      </c>
      <c r="N665">
        <v>-71711168</v>
      </c>
      <c r="O665">
        <v>-21922283</v>
      </c>
      <c r="P665">
        <v>62</v>
      </c>
      <c r="Q665" t="s">
        <v>1376</v>
      </c>
    </row>
    <row r="666" spans="1:17" x14ac:dyDescent="0.3">
      <c r="A666" t="s">
        <v>17</v>
      </c>
      <c r="B666" t="str">
        <f>"600768"</f>
        <v>600768</v>
      </c>
      <c r="C666" t="s">
        <v>1377</v>
      </c>
      <c r="D666" t="s">
        <v>234</v>
      </c>
      <c r="F666">
        <v>10262103</v>
      </c>
      <c r="G666">
        <v>24981954</v>
      </c>
      <c r="H666">
        <v>-17047368</v>
      </c>
      <c r="I666">
        <v>-26220199</v>
      </c>
      <c r="J666">
        <v>75820124</v>
      </c>
      <c r="K666">
        <v>116777933</v>
      </c>
      <c r="L666">
        <v>-72630322</v>
      </c>
      <c r="M666">
        <v>44946045</v>
      </c>
      <c r="N666">
        <v>-36717508</v>
      </c>
      <c r="O666">
        <v>-50870408</v>
      </c>
      <c r="P666">
        <v>88</v>
      </c>
      <c r="Q666" t="s">
        <v>1378</v>
      </c>
    </row>
    <row r="667" spans="1:17" x14ac:dyDescent="0.3">
      <c r="A667" t="s">
        <v>17</v>
      </c>
      <c r="B667" t="str">
        <f>"600769"</f>
        <v>600769</v>
      </c>
      <c r="C667" t="s">
        <v>1379</v>
      </c>
      <c r="D667" t="s">
        <v>33</v>
      </c>
      <c r="F667">
        <v>27161477</v>
      </c>
      <c r="G667">
        <v>14328682</v>
      </c>
      <c r="H667">
        <v>-3730757</v>
      </c>
      <c r="I667">
        <v>-3285307</v>
      </c>
      <c r="J667">
        <v>-40778246</v>
      </c>
      <c r="K667">
        <v>-2321765</v>
      </c>
      <c r="L667">
        <v>-10658478</v>
      </c>
      <c r="M667">
        <v>-2467762</v>
      </c>
      <c r="N667">
        <v>773607746</v>
      </c>
      <c r="O667">
        <v>-177811361</v>
      </c>
      <c r="P667">
        <v>64</v>
      </c>
      <c r="Q667" t="s">
        <v>1380</v>
      </c>
    </row>
    <row r="668" spans="1:17" x14ac:dyDescent="0.3">
      <c r="A668" t="s">
        <v>17</v>
      </c>
      <c r="B668" t="str">
        <f>"600770"</f>
        <v>600770</v>
      </c>
      <c r="C668" t="s">
        <v>1381</v>
      </c>
      <c r="D668" t="s">
        <v>103</v>
      </c>
      <c r="F668">
        <v>-55099085</v>
      </c>
      <c r="G668">
        <v>92517140</v>
      </c>
      <c r="H668">
        <v>97325811</v>
      </c>
      <c r="I668">
        <v>15947333</v>
      </c>
      <c r="J668">
        <v>144095328</v>
      </c>
      <c r="K668">
        <v>38582353</v>
      </c>
      <c r="L668">
        <v>117782409</v>
      </c>
      <c r="M668">
        <v>252589103</v>
      </c>
      <c r="N668">
        <v>440859221</v>
      </c>
      <c r="O668">
        <v>-257893381</v>
      </c>
      <c r="P668">
        <v>3055</v>
      </c>
      <c r="Q668" t="s">
        <v>1382</v>
      </c>
    </row>
    <row r="669" spans="1:17" x14ac:dyDescent="0.3">
      <c r="A669" t="s">
        <v>17</v>
      </c>
      <c r="B669" t="str">
        <f>"600771"</f>
        <v>600771</v>
      </c>
      <c r="C669" t="s">
        <v>1383</v>
      </c>
      <c r="D669" t="s">
        <v>113</v>
      </c>
      <c r="F669">
        <v>63174678</v>
      </c>
      <c r="G669">
        <v>-124112022</v>
      </c>
      <c r="H669">
        <v>-228161320</v>
      </c>
      <c r="I669">
        <v>-498409246</v>
      </c>
      <c r="J669">
        <v>-467465799</v>
      </c>
      <c r="K669">
        <v>-383418901</v>
      </c>
      <c r="L669">
        <v>-134194089</v>
      </c>
      <c r="M669">
        <v>27846074</v>
      </c>
      <c r="N669">
        <v>111106639</v>
      </c>
      <c r="O669">
        <v>62988151</v>
      </c>
      <c r="P669">
        <v>477</v>
      </c>
      <c r="Q669" t="s">
        <v>1384</v>
      </c>
    </row>
    <row r="670" spans="1:17" x14ac:dyDescent="0.3">
      <c r="A670" t="s">
        <v>17</v>
      </c>
      <c r="B670" t="str">
        <f>"600773"</f>
        <v>600773</v>
      </c>
      <c r="C670" t="s">
        <v>1385</v>
      </c>
      <c r="D670" t="s">
        <v>30</v>
      </c>
      <c r="F670">
        <v>-292406829</v>
      </c>
      <c r="G670">
        <v>528845843</v>
      </c>
      <c r="H670">
        <v>134647689</v>
      </c>
      <c r="I670">
        <v>-1221762568</v>
      </c>
      <c r="J670">
        <v>174595932</v>
      </c>
      <c r="K670">
        <v>-98274388</v>
      </c>
      <c r="L670">
        <v>1197021176</v>
      </c>
      <c r="M670">
        <v>2171775550</v>
      </c>
      <c r="N670">
        <v>-57797208</v>
      </c>
      <c r="O670">
        <v>-473697267</v>
      </c>
      <c r="P670">
        <v>143</v>
      </c>
      <c r="Q670" t="s">
        <v>1386</v>
      </c>
    </row>
    <row r="671" spans="1:17" x14ac:dyDescent="0.3">
      <c r="A671" t="s">
        <v>17</v>
      </c>
      <c r="B671" t="str">
        <f>"600774"</f>
        <v>600774</v>
      </c>
      <c r="C671" t="s">
        <v>1387</v>
      </c>
      <c r="D671" t="s">
        <v>120</v>
      </c>
      <c r="F671">
        <v>221854984</v>
      </c>
      <c r="G671">
        <v>53469464</v>
      </c>
      <c r="H671">
        <v>1760587</v>
      </c>
      <c r="I671">
        <v>35260480</v>
      </c>
      <c r="J671">
        <v>22581809</v>
      </c>
      <c r="K671">
        <v>44397909</v>
      </c>
      <c r="L671">
        <v>-8385546</v>
      </c>
      <c r="M671">
        <v>41416949</v>
      </c>
      <c r="N671">
        <v>46967890</v>
      </c>
      <c r="O671">
        <v>45674679</v>
      </c>
      <c r="P671">
        <v>84</v>
      </c>
      <c r="Q671" t="s">
        <v>1388</v>
      </c>
    </row>
    <row r="672" spans="1:17" x14ac:dyDescent="0.3">
      <c r="A672" t="s">
        <v>17</v>
      </c>
      <c r="B672" t="str">
        <f>"600775"</f>
        <v>600775</v>
      </c>
      <c r="C672" t="s">
        <v>1389</v>
      </c>
      <c r="D672" t="s">
        <v>100</v>
      </c>
      <c r="F672">
        <v>158582613</v>
      </c>
      <c r="G672">
        <v>464236328</v>
      </c>
      <c r="H672">
        <v>-534719417</v>
      </c>
      <c r="I672">
        <v>-45726214</v>
      </c>
      <c r="J672">
        <v>66457653</v>
      </c>
      <c r="K672">
        <v>-49707650</v>
      </c>
      <c r="L672">
        <v>-71900280</v>
      </c>
      <c r="M672">
        <v>-135771261</v>
      </c>
      <c r="N672">
        <v>-258988755</v>
      </c>
      <c r="O672">
        <v>-212943056</v>
      </c>
      <c r="P672">
        <v>179</v>
      </c>
      <c r="Q672" t="s">
        <v>1390</v>
      </c>
    </row>
    <row r="673" spans="1:17" x14ac:dyDescent="0.3">
      <c r="A673" t="s">
        <v>17</v>
      </c>
      <c r="B673" t="str">
        <f>"600776"</f>
        <v>600776</v>
      </c>
      <c r="C673" t="s">
        <v>1391</v>
      </c>
      <c r="D673" t="s">
        <v>100</v>
      </c>
      <c r="F673">
        <v>79275388</v>
      </c>
      <c r="G673">
        <v>-27449789</v>
      </c>
      <c r="H673">
        <v>-3486376</v>
      </c>
      <c r="I673">
        <v>-73889447</v>
      </c>
      <c r="J673">
        <v>-112847325</v>
      </c>
      <c r="K673">
        <v>-145183026</v>
      </c>
      <c r="L673">
        <v>-94409571</v>
      </c>
      <c r="M673">
        <v>32747141</v>
      </c>
      <c r="N673">
        <v>-121008884</v>
      </c>
      <c r="O673">
        <v>-70776567</v>
      </c>
      <c r="P673">
        <v>284</v>
      </c>
      <c r="Q673" t="s">
        <v>1392</v>
      </c>
    </row>
    <row r="674" spans="1:17" x14ac:dyDescent="0.3">
      <c r="A674" t="s">
        <v>17</v>
      </c>
      <c r="B674" t="str">
        <f>"600777"</f>
        <v>600777</v>
      </c>
      <c r="C674" t="s">
        <v>1393</v>
      </c>
      <c r="D674" t="s">
        <v>70</v>
      </c>
      <c r="F674">
        <v>-1456677490</v>
      </c>
      <c r="G674">
        <v>828612774</v>
      </c>
      <c r="H674">
        <v>-912862199</v>
      </c>
      <c r="I674">
        <v>-2319285858</v>
      </c>
      <c r="J674">
        <v>-1796609741</v>
      </c>
      <c r="K674">
        <v>234751461</v>
      </c>
      <c r="L674">
        <v>866623374</v>
      </c>
      <c r="M674">
        <v>46813893</v>
      </c>
      <c r="N674">
        <v>-205703987</v>
      </c>
      <c r="O674">
        <v>200769207</v>
      </c>
      <c r="P674">
        <v>212</v>
      </c>
      <c r="Q674" t="s">
        <v>1394</v>
      </c>
    </row>
    <row r="675" spans="1:17" x14ac:dyDescent="0.3">
      <c r="A675" t="s">
        <v>17</v>
      </c>
      <c r="B675" t="str">
        <f>"600778"</f>
        <v>600778</v>
      </c>
      <c r="C675" t="s">
        <v>1395</v>
      </c>
      <c r="D675" t="s">
        <v>120</v>
      </c>
      <c r="F675">
        <v>178065855</v>
      </c>
      <c r="G675">
        <v>176646602</v>
      </c>
      <c r="H675">
        <v>391577569</v>
      </c>
      <c r="I675">
        <v>37667201</v>
      </c>
      <c r="J675">
        <v>689237546</v>
      </c>
      <c r="K675">
        <v>51407271</v>
      </c>
      <c r="L675">
        <v>-144489881</v>
      </c>
      <c r="M675">
        <v>352766386</v>
      </c>
      <c r="N675">
        <v>320480055</v>
      </c>
      <c r="O675">
        <v>-808139764</v>
      </c>
      <c r="P675">
        <v>82</v>
      </c>
      <c r="Q675" t="s">
        <v>1396</v>
      </c>
    </row>
    <row r="676" spans="1:17" x14ac:dyDescent="0.3">
      <c r="A676" t="s">
        <v>17</v>
      </c>
      <c r="B676" t="str">
        <f>"600779"</f>
        <v>600779</v>
      </c>
      <c r="C676" t="s">
        <v>1397</v>
      </c>
      <c r="D676" t="s">
        <v>123</v>
      </c>
      <c r="F676">
        <v>1090793661</v>
      </c>
      <c r="G676">
        <v>627434889</v>
      </c>
      <c r="H676">
        <v>653103652</v>
      </c>
      <c r="I676">
        <v>299323735</v>
      </c>
      <c r="J676">
        <v>525422275</v>
      </c>
      <c r="K676">
        <v>397341957</v>
      </c>
      <c r="L676">
        <v>255912731</v>
      </c>
      <c r="M676">
        <v>-128693342</v>
      </c>
      <c r="N676">
        <v>-523310510</v>
      </c>
      <c r="O676">
        <v>-150038393</v>
      </c>
      <c r="P676">
        <v>2794</v>
      </c>
      <c r="Q676" t="s">
        <v>1398</v>
      </c>
    </row>
    <row r="677" spans="1:17" x14ac:dyDescent="0.3">
      <c r="A677" t="s">
        <v>17</v>
      </c>
      <c r="B677" t="str">
        <f>"600780"</f>
        <v>600780</v>
      </c>
      <c r="C677" t="s">
        <v>1399</v>
      </c>
      <c r="D677" t="s">
        <v>41</v>
      </c>
      <c r="F677">
        <v>346893310</v>
      </c>
      <c r="G677">
        <v>390465892</v>
      </c>
      <c r="H677">
        <v>337819301</v>
      </c>
      <c r="I677">
        <v>-7979519</v>
      </c>
      <c r="J677">
        <v>-311316336</v>
      </c>
      <c r="K677">
        <v>-342777902</v>
      </c>
      <c r="L677">
        <v>256636973</v>
      </c>
      <c r="M677">
        <v>442548060</v>
      </c>
      <c r="N677">
        <v>234374842</v>
      </c>
      <c r="O677">
        <v>65860814</v>
      </c>
      <c r="P677">
        <v>108</v>
      </c>
      <c r="Q677" t="s">
        <v>1400</v>
      </c>
    </row>
    <row r="678" spans="1:17" x14ac:dyDescent="0.3">
      <c r="A678" t="s">
        <v>17</v>
      </c>
      <c r="B678" t="str">
        <f>"600781"</f>
        <v>600781</v>
      </c>
      <c r="C678" t="s">
        <v>1401</v>
      </c>
      <c r="D678" t="s">
        <v>113</v>
      </c>
      <c r="G678">
        <v>148348</v>
      </c>
      <c r="H678">
        <v>-163330609</v>
      </c>
      <c r="I678">
        <v>394174451</v>
      </c>
      <c r="J678">
        <v>-358249245</v>
      </c>
      <c r="K678">
        <v>-58840126</v>
      </c>
      <c r="L678">
        <v>-9642998</v>
      </c>
      <c r="M678">
        <v>-85732913</v>
      </c>
      <c r="N678">
        <v>22338321</v>
      </c>
      <c r="O678">
        <v>-43360925</v>
      </c>
      <c r="P678">
        <v>194</v>
      </c>
      <c r="Q678" t="s">
        <v>1402</v>
      </c>
    </row>
    <row r="679" spans="1:17" x14ac:dyDescent="0.3">
      <c r="A679" t="s">
        <v>17</v>
      </c>
      <c r="B679" t="str">
        <f>"600782"</f>
        <v>600782</v>
      </c>
      <c r="C679" t="s">
        <v>1403</v>
      </c>
      <c r="D679" t="s">
        <v>38</v>
      </c>
      <c r="F679">
        <v>3588532385</v>
      </c>
      <c r="G679">
        <v>2611267166</v>
      </c>
      <c r="H679">
        <v>6066153080</v>
      </c>
      <c r="I679">
        <v>1494154259</v>
      </c>
      <c r="J679">
        <v>7744356542</v>
      </c>
      <c r="K679">
        <v>1085771640</v>
      </c>
      <c r="L679">
        <v>1832743624</v>
      </c>
      <c r="M679">
        <v>2848380947</v>
      </c>
      <c r="N679">
        <v>-373943592</v>
      </c>
      <c r="O679">
        <v>159431553</v>
      </c>
      <c r="P679">
        <v>1414</v>
      </c>
      <c r="Q679" t="s">
        <v>1404</v>
      </c>
    </row>
    <row r="680" spans="1:17" x14ac:dyDescent="0.3">
      <c r="A680" t="s">
        <v>17</v>
      </c>
      <c r="B680" t="str">
        <f>"600783"</f>
        <v>600783</v>
      </c>
      <c r="C680" t="s">
        <v>1405</v>
      </c>
      <c r="D680" t="s">
        <v>103</v>
      </c>
      <c r="F680">
        <v>-74667191</v>
      </c>
      <c r="G680">
        <v>-111222690</v>
      </c>
      <c r="H680">
        <v>-148677271</v>
      </c>
      <c r="I680">
        <v>-142933326</v>
      </c>
      <c r="J680">
        <v>-205362304</v>
      </c>
      <c r="K680">
        <v>-114964810</v>
      </c>
      <c r="L680">
        <v>-134790802</v>
      </c>
      <c r="M680">
        <v>-157877046</v>
      </c>
      <c r="N680">
        <v>-118418977</v>
      </c>
      <c r="O680">
        <v>-42923951</v>
      </c>
      <c r="P680">
        <v>124</v>
      </c>
      <c r="Q680" t="s">
        <v>1406</v>
      </c>
    </row>
    <row r="681" spans="1:17" x14ac:dyDescent="0.3">
      <c r="A681" t="s">
        <v>17</v>
      </c>
      <c r="B681" t="str">
        <f>"600784"</f>
        <v>600784</v>
      </c>
      <c r="C681" t="s">
        <v>1407</v>
      </c>
      <c r="D681" t="s">
        <v>103</v>
      </c>
      <c r="F681">
        <v>228641980</v>
      </c>
      <c r="G681">
        <v>119924928</v>
      </c>
      <c r="H681">
        <v>-88033323</v>
      </c>
      <c r="I681">
        <v>525389120</v>
      </c>
      <c r="J681">
        <v>90187364</v>
      </c>
      <c r="K681">
        <v>448767461</v>
      </c>
      <c r="L681">
        <v>79853168</v>
      </c>
      <c r="M681">
        <v>-100499675</v>
      </c>
      <c r="N681">
        <v>-644272677</v>
      </c>
      <c r="O681">
        <v>-534106711</v>
      </c>
      <c r="P681">
        <v>75</v>
      </c>
      <c r="Q681" t="s">
        <v>1408</v>
      </c>
    </row>
    <row r="682" spans="1:17" x14ac:dyDescent="0.3">
      <c r="A682" t="s">
        <v>17</v>
      </c>
      <c r="B682" t="str">
        <f>"600785"</f>
        <v>600785</v>
      </c>
      <c r="C682" t="s">
        <v>1409</v>
      </c>
      <c r="D682" t="s">
        <v>120</v>
      </c>
      <c r="F682">
        <v>457235639</v>
      </c>
      <c r="G682">
        <v>65938922</v>
      </c>
      <c r="H682">
        <v>-458966869</v>
      </c>
      <c r="I682">
        <v>-422719049</v>
      </c>
      <c r="J682">
        <v>267149364</v>
      </c>
      <c r="K682">
        <v>-61511119</v>
      </c>
      <c r="L682">
        <v>-96646587</v>
      </c>
      <c r="M682">
        <v>-173641081</v>
      </c>
      <c r="N682">
        <v>-198259423</v>
      </c>
      <c r="O682">
        <v>-403066884</v>
      </c>
      <c r="P682">
        <v>99</v>
      </c>
      <c r="Q682" t="s">
        <v>1410</v>
      </c>
    </row>
    <row r="683" spans="1:17" x14ac:dyDescent="0.3">
      <c r="A683" t="s">
        <v>17</v>
      </c>
      <c r="B683" t="str">
        <f>"600787"</f>
        <v>600787</v>
      </c>
      <c r="C683" t="s">
        <v>1411</v>
      </c>
      <c r="D683" t="s">
        <v>22</v>
      </c>
      <c r="F683">
        <v>946004400</v>
      </c>
      <c r="G683">
        <v>393244396</v>
      </c>
      <c r="H683">
        <v>352371602</v>
      </c>
      <c r="I683">
        <v>487035400</v>
      </c>
      <c r="J683">
        <v>4248547763</v>
      </c>
      <c r="K683">
        <v>-4447000356</v>
      </c>
      <c r="L683">
        <v>-495706838</v>
      </c>
      <c r="M683">
        <v>879227645</v>
      </c>
      <c r="N683">
        <v>-613201797</v>
      </c>
      <c r="O683">
        <v>-75569457</v>
      </c>
      <c r="P683">
        <v>165</v>
      </c>
      <c r="Q683" t="s">
        <v>1412</v>
      </c>
    </row>
    <row r="684" spans="1:17" x14ac:dyDescent="0.3">
      <c r="A684" t="s">
        <v>17</v>
      </c>
      <c r="B684" t="str">
        <f>"600788"</f>
        <v>600788</v>
      </c>
      <c r="C684" t="s">
        <v>1413</v>
      </c>
      <c r="K684">
        <v>142522.75</v>
      </c>
      <c r="P684">
        <v>5</v>
      </c>
      <c r="Q684" t="s">
        <v>1414</v>
      </c>
    </row>
    <row r="685" spans="1:17" x14ac:dyDescent="0.3">
      <c r="A685" t="s">
        <v>17</v>
      </c>
      <c r="B685" t="str">
        <f>"600789"</f>
        <v>600789</v>
      </c>
      <c r="C685" t="s">
        <v>1415</v>
      </c>
      <c r="D685" t="s">
        <v>113</v>
      </c>
      <c r="F685">
        <v>-336193537</v>
      </c>
      <c r="G685">
        <v>-251263508</v>
      </c>
      <c r="H685">
        <v>-224292129</v>
      </c>
      <c r="I685">
        <v>-348208499</v>
      </c>
      <c r="J685">
        <v>-498915463</v>
      </c>
      <c r="K685">
        <v>-74620285</v>
      </c>
      <c r="L685">
        <v>-84323720</v>
      </c>
      <c r="M685">
        <v>-6282124</v>
      </c>
      <c r="N685">
        <v>26644971</v>
      </c>
      <c r="O685">
        <v>-166081732</v>
      </c>
      <c r="P685">
        <v>245</v>
      </c>
      <c r="Q685" t="s">
        <v>1416</v>
      </c>
    </row>
    <row r="686" spans="1:17" x14ac:dyDescent="0.3">
      <c r="A686" t="s">
        <v>17</v>
      </c>
      <c r="B686" t="str">
        <f>"600790"</f>
        <v>600790</v>
      </c>
      <c r="C686" t="s">
        <v>1417</v>
      </c>
      <c r="D686" t="s">
        <v>120</v>
      </c>
      <c r="F686">
        <v>119454404</v>
      </c>
      <c r="G686">
        <v>-163477950</v>
      </c>
      <c r="H686">
        <v>-237707357</v>
      </c>
      <c r="I686">
        <v>1502241407</v>
      </c>
      <c r="J686">
        <v>-151857969</v>
      </c>
      <c r="K686">
        <v>300553211</v>
      </c>
      <c r="L686">
        <v>-250032075</v>
      </c>
      <c r="M686">
        <v>-300675042</v>
      </c>
      <c r="N686">
        <v>728607325</v>
      </c>
      <c r="O686">
        <v>879049484</v>
      </c>
      <c r="P686">
        <v>184</v>
      </c>
      <c r="Q686" t="s">
        <v>1418</v>
      </c>
    </row>
    <row r="687" spans="1:17" x14ac:dyDescent="0.3">
      <c r="A687" t="s">
        <v>17</v>
      </c>
      <c r="B687" t="str">
        <f>"600791"</f>
        <v>600791</v>
      </c>
      <c r="C687" t="s">
        <v>1419</v>
      </c>
      <c r="D687" t="s">
        <v>30</v>
      </c>
      <c r="F687">
        <v>2185027936</v>
      </c>
      <c r="G687">
        <v>-519987574</v>
      </c>
      <c r="H687">
        <v>-5333543019</v>
      </c>
      <c r="I687">
        <v>-461520275</v>
      </c>
      <c r="J687">
        <v>-1011525020</v>
      </c>
      <c r="K687">
        <v>-66681185</v>
      </c>
      <c r="L687">
        <v>-229768882</v>
      </c>
      <c r="M687">
        <v>492896290</v>
      </c>
      <c r="N687">
        <v>1402912034</v>
      </c>
      <c r="O687">
        <v>-769201642</v>
      </c>
      <c r="P687">
        <v>105</v>
      </c>
      <c r="Q687" t="s">
        <v>1420</v>
      </c>
    </row>
    <row r="688" spans="1:17" x14ac:dyDescent="0.3">
      <c r="A688" t="s">
        <v>17</v>
      </c>
      <c r="B688" t="str">
        <f>"600792"</f>
        <v>600792</v>
      </c>
      <c r="C688" t="s">
        <v>1421</v>
      </c>
      <c r="D688" t="s">
        <v>257</v>
      </c>
      <c r="F688">
        <v>-27533385</v>
      </c>
      <c r="G688">
        <v>12580552</v>
      </c>
      <c r="H688">
        <v>-291442445</v>
      </c>
      <c r="I688">
        <v>472510543</v>
      </c>
      <c r="J688">
        <v>384673748</v>
      </c>
      <c r="K688">
        <v>619847034</v>
      </c>
      <c r="L688">
        <v>600499454</v>
      </c>
      <c r="M688">
        <v>256577425</v>
      </c>
      <c r="N688">
        <v>-22267717</v>
      </c>
      <c r="O688">
        <v>-330545358</v>
      </c>
      <c r="P688">
        <v>97</v>
      </c>
      <c r="Q688" t="s">
        <v>1422</v>
      </c>
    </row>
    <row r="689" spans="1:17" x14ac:dyDescent="0.3">
      <c r="A689" t="s">
        <v>17</v>
      </c>
      <c r="B689" t="str">
        <f>"600793"</f>
        <v>600793</v>
      </c>
      <c r="C689" t="s">
        <v>1423</v>
      </c>
      <c r="D689" t="s">
        <v>161</v>
      </c>
      <c r="F689">
        <v>223107082</v>
      </c>
      <c r="G689">
        <v>153108115</v>
      </c>
      <c r="H689">
        <v>-11975517</v>
      </c>
      <c r="I689">
        <v>180364457</v>
      </c>
      <c r="J689">
        <v>-177396754</v>
      </c>
      <c r="K689">
        <v>-53977883</v>
      </c>
      <c r="L689">
        <v>-335586466</v>
      </c>
      <c r="M689">
        <v>-722367271</v>
      </c>
      <c r="N689">
        <v>-398962716</v>
      </c>
      <c r="O689">
        <v>-127716782</v>
      </c>
      <c r="P689">
        <v>109</v>
      </c>
      <c r="Q689" t="s">
        <v>1424</v>
      </c>
    </row>
    <row r="690" spans="1:17" x14ac:dyDescent="0.3">
      <c r="A690" t="s">
        <v>17</v>
      </c>
      <c r="B690" t="str">
        <f>"600794"</f>
        <v>600794</v>
      </c>
      <c r="C690" t="s">
        <v>1425</v>
      </c>
      <c r="D690" t="s">
        <v>22</v>
      </c>
      <c r="F690">
        <v>512443441</v>
      </c>
      <c r="G690">
        <v>-182506626</v>
      </c>
      <c r="H690">
        <v>202756681</v>
      </c>
      <c r="I690">
        <v>-79263519</v>
      </c>
      <c r="J690">
        <v>7231930</v>
      </c>
      <c r="K690">
        <v>-126740674</v>
      </c>
      <c r="L690">
        <v>176667680</v>
      </c>
      <c r="M690">
        <v>-239054275</v>
      </c>
      <c r="N690">
        <v>-339240838</v>
      </c>
      <c r="O690">
        <v>232793649</v>
      </c>
      <c r="P690">
        <v>100</v>
      </c>
      <c r="Q690" t="s">
        <v>1426</v>
      </c>
    </row>
    <row r="691" spans="1:17" x14ac:dyDescent="0.3">
      <c r="A691" t="s">
        <v>17</v>
      </c>
      <c r="B691" t="str">
        <f>"600795"</f>
        <v>600795</v>
      </c>
      <c r="C691" t="s">
        <v>1427</v>
      </c>
      <c r="D691" t="s">
        <v>41</v>
      </c>
      <c r="F691">
        <v>3175006879</v>
      </c>
      <c r="G691">
        <v>22534199157</v>
      </c>
      <c r="H691">
        <v>22158405208</v>
      </c>
      <c r="I691">
        <v>10882065198</v>
      </c>
      <c r="J691">
        <v>5129078250</v>
      </c>
      <c r="K691">
        <v>4194956982</v>
      </c>
      <c r="L691">
        <v>4153004792</v>
      </c>
      <c r="M691">
        <v>-1117996182</v>
      </c>
      <c r="N691">
        <v>-4148056035</v>
      </c>
      <c r="O691">
        <v>-10720850267</v>
      </c>
      <c r="P691">
        <v>548</v>
      </c>
      <c r="Q691" t="s">
        <v>1428</v>
      </c>
    </row>
    <row r="692" spans="1:17" x14ac:dyDescent="0.3">
      <c r="A692" t="s">
        <v>17</v>
      </c>
      <c r="B692" t="str">
        <f>"600796"</f>
        <v>600796</v>
      </c>
      <c r="C692" t="s">
        <v>1429</v>
      </c>
      <c r="D692" t="s">
        <v>133</v>
      </c>
      <c r="F692">
        <v>-160726089</v>
      </c>
      <c r="G692">
        <v>-21876454</v>
      </c>
      <c r="H692">
        <v>10667557</v>
      </c>
      <c r="I692">
        <v>6158335</v>
      </c>
      <c r="J692">
        <v>25985963</v>
      </c>
      <c r="K692">
        <v>-5428655</v>
      </c>
      <c r="L692">
        <v>18134750</v>
      </c>
      <c r="M692">
        <v>27540346</v>
      </c>
      <c r="N692">
        <v>49755733</v>
      </c>
      <c r="O692">
        <v>51628794</v>
      </c>
      <c r="P692">
        <v>74</v>
      </c>
      <c r="Q692" t="s">
        <v>1430</v>
      </c>
    </row>
    <row r="693" spans="1:17" x14ac:dyDescent="0.3">
      <c r="A693" t="s">
        <v>17</v>
      </c>
      <c r="B693" t="str">
        <f>"600797"</f>
        <v>600797</v>
      </c>
      <c r="C693" t="s">
        <v>1431</v>
      </c>
      <c r="D693" t="s">
        <v>212</v>
      </c>
      <c r="F693">
        <v>61017770</v>
      </c>
      <c r="G693">
        <v>165100406</v>
      </c>
      <c r="H693">
        <v>229988168</v>
      </c>
      <c r="I693">
        <v>278838958</v>
      </c>
      <c r="J693">
        <v>-162516350</v>
      </c>
      <c r="K693">
        <v>-87789672</v>
      </c>
      <c r="L693">
        <v>865080</v>
      </c>
      <c r="M693">
        <v>14696119</v>
      </c>
      <c r="N693">
        <v>126512322</v>
      </c>
      <c r="O693">
        <v>-250833622</v>
      </c>
      <c r="P693">
        <v>221</v>
      </c>
      <c r="Q693" t="s">
        <v>1432</v>
      </c>
    </row>
    <row r="694" spans="1:17" x14ac:dyDescent="0.3">
      <c r="A694" t="s">
        <v>17</v>
      </c>
      <c r="B694" t="str">
        <f>"600798"</f>
        <v>600798</v>
      </c>
      <c r="C694" t="s">
        <v>1433</v>
      </c>
      <c r="D694" t="s">
        <v>22</v>
      </c>
      <c r="F694">
        <v>679211259</v>
      </c>
      <c r="G694">
        <v>367031412</v>
      </c>
      <c r="H694">
        <v>719304132</v>
      </c>
      <c r="I694">
        <v>632733442</v>
      </c>
      <c r="J694">
        <v>501129683</v>
      </c>
      <c r="K694">
        <v>269572225</v>
      </c>
      <c r="L694">
        <v>273630741</v>
      </c>
      <c r="M694">
        <v>480456842</v>
      </c>
      <c r="N694">
        <v>496924524</v>
      </c>
      <c r="O694">
        <v>164744251</v>
      </c>
      <c r="P694">
        <v>142</v>
      </c>
      <c r="Q694" t="s">
        <v>1434</v>
      </c>
    </row>
    <row r="695" spans="1:17" x14ac:dyDescent="0.3">
      <c r="A695" t="s">
        <v>17</v>
      </c>
      <c r="B695" t="str">
        <f>"600800"</f>
        <v>600800</v>
      </c>
      <c r="C695" t="s">
        <v>1435</v>
      </c>
      <c r="D695" t="s">
        <v>70</v>
      </c>
      <c r="F695">
        <v>266250987</v>
      </c>
      <c r="G695">
        <v>324022849</v>
      </c>
      <c r="H695">
        <v>-69865237</v>
      </c>
      <c r="I695">
        <v>55120370</v>
      </c>
      <c r="J695">
        <v>-72392629</v>
      </c>
      <c r="K695">
        <v>-57890159</v>
      </c>
      <c r="L695">
        <v>67299986</v>
      </c>
      <c r="M695">
        <v>1996992</v>
      </c>
      <c r="N695">
        <v>42334044</v>
      </c>
      <c r="O695">
        <v>-55194867</v>
      </c>
      <c r="P695">
        <v>147</v>
      </c>
      <c r="Q695" t="s">
        <v>1436</v>
      </c>
    </row>
    <row r="696" spans="1:17" x14ac:dyDescent="0.3">
      <c r="A696" t="s">
        <v>17</v>
      </c>
      <c r="B696" t="str">
        <f>"600801"</f>
        <v>600801</v>
      </c>
      <c r="C696" t="s">
        <v>1437</v>
      </c>
      <c r="D696" t="s">
        <v>350</v>
      </c>
      <c r="F696">
        <v>1408650975</v>
      </c>
      <c r="G696">
        <v>4868299589</v>
      </c>
      <c r="H696">
        <v>5658170681</v>
      </c>
      <c r="I696">
        <v>5983849842</v>
      </c>
      <c r="J696">
        <v>2810734238</v>
      </c>
      <c r="K696">
        <v>1920272642</v>
      </c>
      <c r="L696">
        <v>1165524435</v>
      </c>
      <c r="M696">
        <v>2090239279</v>
      </c>
      <c r="N696">
        <v>1396944933</v>
      </c>
      <c r="O696">
        <v>387705252</v>
      </c>
      <c r="P696">
        <v>1597</v>
      </c>
      <c r="Q696" t="s">
        <v>1438</v>
      </c>
    </row>
    <row r="697" spans="1:17" x14ac:dyDescent="0.3">
      <c r="A697" t="s">
        <v>17</v>
      </c>
      <c r="B697" t="str">
        <f>"600802"</f>
        <v>600802</v>
      </c>
      <c r="C697" t="s">
        <v>1439</v>
      </c>
      <c r="D697" t="s">
        <v>350</v>
      </c>
      <c r="F697">
        <v>125341637</v>
      </c>
      <c r="G697">
        <v>-213744577</v>
      </c>
      <c r="H697">
        <v>556023670</v>
      </c>
      <c r="I697">
        <v>934593201</v>
      </c>
      <c r="J697">
        <v>107145336</v>
      </c>
      <c r="K697">
        <v>112592375</v>
      </c>
      <c r="L697">
        <v>-95136009</v>
      </c>
      <c r="M697">
        <v>-35587510</v>
      </c>
      <c r="N697">
        <v>-325879189</v>
      </c>
      <c r="O697">
        <v>-403092161</v>
      </c>
      <c r="P697">
        <v>249</v>
      </c>
      <c r="Q697" t="s">
        <v>1440</v>
      </c>
    </row>
    <row r="698" spans="1:17" x14ac:dyDescent="0.3">
      <c r="A698" t="s">
        <v>17</v>
      </c>
      <c r="B698" t="str">
        <f>"600803"</f>
        <v>600803</v>
      </c>
      <c r="C698" t="s">
        <v>1441</v>
      </c>
      <c r="D698" t="s">
        <v>41</v>
      </c>
      <c r="F698">
        <v>5308970000</v>
      </c>
      <c r="G698">
        <v>5756170000</v>
      </c>
      <c r="H698">
        <v>821441027</v>
      </c>
      <c r="I698">
        <v>-117210337</v>
      </c>
      <c r="J698">
        <v>-83440108</v>
      </c>
      <c r="K698">
        <v>1145838</v>
      </c>
      <c r="L698">
        <v>894955659</v>
      </c>
      <c r="M698">
        <v>699936294</v>
      </c>
      <c r="N698">
        <v>399390965</v>
      </c>
      <c r="O698">
        <v>-138823004</v>
      </c>
      <c r="P698">
        <v>577</v>
      </c>
      <c r="Q698" t="s">
        <v>1442</v>
      </c>
    </row>
    <row r="699" spans="1:17" x14ac:dyDescent="0.3">
      <c r="A699" t="s">
        <v>17</v>
      </c>
      <c r="B699" t="str">
        <f>"600804"</f>
        <v>600804</v>
      </c>
      <c r="C699" t="s">
        <v>1443</v>
      </c>
      <c r="D699" t="s">
        <v>100</v>
      </c>
      <c r="F699">
        <v>1091179811</v>
      </c>
      <c r="G699">
        <v>-1032748422</v>
      </c>
      <c r="H699">
        <v>-1284583033</v>
      </c>
      <c r="I699">
        <v>-894161065</v>
      </c>
      <c r="J699">
        <v>41382402</v>
      </c>
      <c r="K699">
        <v>264564300</v>
      </c>
      <c r="L699">
        <v>932662161</v>
      </c>
      <c r="M699">
        <v>773717856</v>
      </c>
      <c r="N699">
        <v>778207528</v>
      </c>
      <c r="O699">
        <v>4071242</v>
      </c>
      <c r="P699">
        <v>459</v>
      </c>
      <c r="Q699" t="s">
        <v>1444</v>
      </c>
    </row>
    <row r="700" spans="1:17" x14ac:dyDescent="0.3">
      <c r="A700" t="s">
        <v>17</v>
      </c>
      <c r="B700" t="str">
        <f>"600805"</f>
        <v>600805</v>
      </c>
      <c r="C700" t="s">
        <v>1445</v>
      </c>
      <c r="D700" t="s">
        <v>103</v>
      </c>
      <c r="F700">
        <v>36662435</v>
      </c>
      <c r="G700">
        <v>-88118845</v>
      </c>
      <c r="H700">
        <v>-172453157</v>
      </c>
      <c r="I700">
        <v>121448640</v>
      </c>
      <c r="J700">
        <v>-158159540</v>
      </c>
      <c r="K700">
        <v>-83793581</v>
      </c>
      <c r="L700">
        <v>115180783</v>
      </c>
      <c r="M700">
        <v>-31155656</v>
      </c>
      <c r="N700">
        <v>259085581</v>
      </c>
      <c r="O700">
        <v>337531901</v>
      </c>
      <c r="P700">
        <v>106</v>
      </c>
      <c r="Q700" t="s">
        <v>1446</v>
      </c>
    </row>
    <row r="701" spans="1:17" x14ac:dyDescent="0.3">
      <c r="A701" t="s">
        <v>17</v>
      </c>
      <c r="B701" t="str">
        <f>"600806"</f>
        <v>600806</v>
      </c>
      <c r="C701" t="s">
        <v>1447</v>
      </c>
      <c r="J701">
        <v>-20134380</v>
      </c>
      <c r="K701">
        <v>322734225</v>
      </c>
      <c r="L701">
        <v>-225639153.99000001</v>
      </c>
      <c r="M701">
        <v>-175046011.25</v>
      </c>
      <c r="N701">
        <v>-144263519.81999999</v>
      </c>
      <c r="O701">
        <v>-94273673.560000002</v>
      </c>
      <c r="P701">
        <v>11</v>
      </c>
      <c r="Q701" t="s">
        <v>1448</v>
      </c>
    </row>
    <row r="702" spans="1:17" x14ac:dyDescent="0.3">
      <c r="A702" t="s">
        <v>17</v>
      </c>
      <c r="B702" t="str">
        <f>"600807"</f>
        <v>600807</v>
      </c>
      <c r="C702" t="s">
        <v>1449</v>
      </c>
      <c r="D702" t="s">
        <v>30</v>
      </c>
      <c r="F702">
        <v>-987713325</v>
      </c>
      <c r="G702">
        <v>576399337</v>
      </c>
      <c r="H702">
        <v>496434219</v>
      </c>
      <c r="I702">
        <v>1470990787</v>
      </c>
      <c r="J702">
        <v>-1962061084</v>
      </c>
      <c r="K702">
        <v>-1485252288</v>
      </c>
      <c r="L702">
        <v>-188568228</v>
      </c>
      <c r="M702">
        <v>-96958727</v>
      </c>
      <c r="N702">
        <v>-186713932</v>
      </c>
      <c r="O702">
        <v>-255327711</v>
      </c>
      <c r="P702">
        <v>111</v>
      </c>
      <c r="Q702" t="s">
        <v>1450</v>
      </c>
    </row>
    <row r="703" spans="1:17" x14ac:dyDescent="0.3">
      <c r="A703" t="s">
        <v>17</v>
      </c>
      <c r="B703" t="str">
        <f>"600808"</f>
        <v>600808</v>
      </c>
      <c r="C703" t="s">
        <v>1451</v>
      </c>
      <c r="D703" t="s">
        <v>38</v>
      </c>
      <c r="F703">
        <v>9375481856</v>
      </c>
      <c r="G703">
        <v>-3748793707</v>
      </c>
      <c r="H703">
        <v>3087144548</v>
      </c>
      <c r="I703">
        <v>11601409197</v>
      </c>
      <c r="J703">
        <v>3018500310</v>
      </c>
      <c r="K703">
        <v>2510190934</v>
      </c>
      <c r="L703">
        <v>3115082064</v>
      </c>
      <c r="M703">
        <v>1941923264</v>
      </c>
      <c r="N703">
        <v>-127468850</v>
      </c>
      <c r="O703">
        <v>668531810</v>
      </c>
      <c r="P703">
        <v>636</v>
      </c>
      <c r="Q703" t="s">
        <v>1452</v>
      </c>
    </row>
    <row r="704" spans="1:17" x14ac:dyDescent="0.3">
      <c r="A704" t="s">
        <v>17</v>
      </c>
      <c r="B704" t="str">
        <f>"600809"</f>
        <v>600809</v>
      </c>
      <c r="C704" t="s">
        <v>1453</v>
      </c>
      <c r="D704" t="s">
        <v>123</v>
      </c>
      <c r="F704">
        <v>7489176503</v>
      </c>
      <c r="G704">
        <v>1814415975</v>
      </c>
      <c r="H704">
        <v>2936289800</v>
      </c>
      <c r="I704">
        <v>891035169</v>
      </c>
      <c r="J704">
        <v>829701423</v>
      </c>
      <c r="K704">
        <v>479314424</v>
      </c>
      <c r="L704">
        <v>250962143</v>
      </c>
      <c r="M704">
        <v>118426121</v>
      </c>
      <c r="N704">
        <v>-788049757</v>
      </c>
      <c r="O704">
        <v>769929853</v>
      </c>
      <c r="P704">
        <v>3746</v>
      </c>
      <c r="Q704" t="s">
        <v>1454</v>
      </c>
    </row>
    <row r="705" spans="1:17" x14ac:dyDescent="0.3">
      <c r="A705" t="s">
        <v>17</v>
      </c>
      <c r="B705" t="str">
        <f>"600810"</f>
        <v>600810</v>
      </c>
      <c r="C705" t="s">
        <v>1455</v>
      </c>
      <c r="D705" t="s">
        <v>133</v>
      </c>
      <c r="F705">
        <v>-965052875</v>
      </c>
      <c r="G705">
        <v>-1517502929</v>
      </c>
      <c r="H705">
        <v>1179211033</v>
      </c>
      <c r="I705">
        <v>465649242</v>
      </c>
      <c r="J705">
        <v>256105588</v>
      </c>
      <c r="K705">
        <v>1108257651</v>
      </c>
      <c r="L705">
        <v>-384189168</v>
      </c>
      <c r="M705">
        <v>1227589856</v>
      </c>
      <c r="N705">
        <v>-264141549</v>
      </c>
      <c r="O705">
        <v>-383478629</v>
      </c>
      <c r="P705">
        <v>354</v>
      </c>
      <c r="Q705" t="s">
        <v>1456</v>
      </c>
    </row>
    <row r="706" spans="1:17" x14ac:dyDescent="0.3">
      <c r="A706" t="s">
        <v>17</v>
      </c>
      <c r="B706" t="str">
        <f>"600811"</f>
        <v>600811</v>
      </c>
      <c r="C706" t="s">
        <v>1457</v>
      </c>
      <c r="D706" t="s">
        <v>103</v>
      </c>
      <c r="F706">
        <v>403080352</v>
      </c>
      <c r="G706">
        <v>-153196443</v>
      </c>
      <c r="H706">
        <v>3096341887</v>
      </c>
      <c r="I706">
        <v>-84639046</v>
      </c>
      <c r="J706">
        <v>-2139713899</v>
      </c>
      <c r="K706">
        <v>-1714275409</v>
      </c>
      <c r="L706">
        <v>-771937516</v>
      </c>
      <c r="M706">
        <v>189967118</v>
      </c>
      <c r="N706">
        <v>1331044176</v>
      </c>
      <c r="O706">
        <v>-914031136</v>
      </c>
      <c r="P706">
        <v>205</v>
      </c>
      <c r="Q706" t="s">
        <v>1458</v>
      </c>
    </row>
    <row r="707" spans="1:17" x14ac:dyDescent="0.3">
      <c r="A707" t="s">
        <v>17</v>
      </c>
      <c r="B707" t="str">
        <f>"600812"</f>
        <v>600812</v>
      </c>
      <c r="C707" t="s">
        <v>1459</v>
      </c>
      <c r="D707" t="s">
        <v>113</v>
      </c>
      <c r="F707">
        <v>509289382</v>
      </c>
      <c r="G707">
        <v>-112864233</v>
      </c>
      <c r="H707">
        <v>153225715</v>
      </c>
      <c r="I707">
        <v>271849877</v>
      </c>
      <c r="J707">
        <v>-93993894</v>
      </c>
      <c r="K707">
        <v>-705496550</v>
      </c>
      <c r="L707">
        <v>-244277388</v>
      </c>
      <c r="M707">
        <v>-167603750</v>
      </c>
      <c r="N707">
        <v>-693702333</v>
      </c>
      <c r="O707">
        <v>-1127871300</v>
      </c>
      <c r="P707">
        <v>226</v>
      </c>
      <c r="Q707" t="s">
        <v>1460</v>
      </c>
    </row>
    <row r="708" spans="1:17" x14ac:dyDescent="0.3">
      <c r="A708" t="s">
        <v>17</v>
      </c>
      <c r="B708" t="str">
        <f>"600813"</f>
        <v>600813</v>
      </c>
      <c r="C708" t="s">
        <v>1461</v>
      </c>
      <c r="K708">
        <v>-18742793.859999999</v>
      </c>
      <c r="L708">
        <v>-180322595.5</v>
      </c>
      <c r="M708">
        <v>75448.649999999994</v>
      </c>
      <c r="N708">
        <v>-10074975.689999999</v>
      </c>
      <c r="O708">
        <v>-33020114.649999999</v>
      </c>
      <c r="P708">
        <v>2</v>
      </c>
      <c r="Q708" t="s">
        <v>1462</v>
      </c>
    </row>
    <row r="709" spans="1:17" x14ac:dyDescent="0.3">
      <c r="A709" t="s">
        <v>17</v>
      </c>
      <c r="B709" t="str">
        <f>"600814"</f>
        <v>600814</v>
      </c>
      <c r="C709" t="s">
        <v>1463</v>
      </c>
      <c r="D709" t="s">
        <v>120</v>
      </c>
      <c r="F709">
        <v>837687294</v>
      </c>
      <c r="G709">
        <v>560954127</v>
      </c>
      <c r="H709">
        <v>611055587</v>
      </c>
      <c r="I709">
        <v>375807336</v>
      </c>
      <c r="J709">
        <v>382128374</v>
      </c>
      <c r="K709">
        <v>444979614</v>
      </c>
      <c r="L709">
        <v>93193593</v>
      </c>
      <c r="M709">
        <v>71946599</v>
      </c>
      <c r="N709">
        <v>-41048968</v>
      </c>
      <c r="O709">
        <v>-19268497</v>
      </c>
      <c r="P709">
        <v>150</v>
      </c>
      <c r="Q709" t="s">
        <v>1464</v>
      </c>
    </row>
    <row r="710" spans="1:17" x14ac:dyDescent="0.3">
      <c r="A710" t="s">
        <v>17</v>
      </c>
      <c r="B710" t="str">
        <f>"600815"</f>
        <v>600815</v>
      </c>
      <c r="C710" t="s">
        <v>1465</v>
      </c>
      <c r="D710" t="s">
        <v>78</v>
      </c>
      <c r="F710">
        <v>-101852647</v>
      </c>
      <c r="G710">
        <v>-166769432</v>
      </c>
      <c r="H710">
        <v>-618812346</v>
      </c>
      <c r="I710">
        <v>457211620</v>
      </c>
      <c r="J710">
        <v>729928355</v>
      </c>
      <c r="K710">
        <v>124025982</v>
      </c>
      <c r="L710">
        <v>155383977</v>
      </c>
      <c r="M710">
        <v>-380431716</v>
      </c>
      <c r="N710">
        <v>140106017</v>
      </c>
      <c r="O710">
        <v>-1694246659</v>
      </c>
      <c r="P710">
        <v>67</v>
      </c>
      <c r="Q710" t="s">
        <v>1466</v>
      </c>
    </row>
    <row r="711" spans="1:17" x14ac:dyDescent="0.3">
      <c r="A711" t="s">
        <v>17</v>
      </c>
      <c r="B711" t="str">
        <f>"600816"</f>
        <v>600816</v>
      </c>
      <c r="C711" t="s">
        <v>1467</v>
      </c>
      <c r="D711" t="s">
        <v>75</v>
      </c>
      <c r="F711">
        <v>148316987</v>
      </c>
      <c r="G711">
        <v>476204317</v>
      </c>
      <c r="H711">
        <v>692695280</v>
      </c>
      <c r="I711">
        <v>-2552741955</v>
      </c>
      <c r="J711">
        <v>1716149808</v>
      </c>
      <c r="K711">
        <v>2987359466</v>
      </c>
      <c r="L711">
        <v>1795213862</v>
      </c>
      <c r="M711">
        <v>188695945</v>
      </c>
      <c r="N711">
        <v>374114075</v>
      </c>
      <c r="O711">
        <v>152575347</v>
      </c>
      <c r="P711">
        <v>6688</v>
      </c>
      <c r="Q711" t="s">
        <v>1468</v>
      </c>
    </row>
    <row r="712" spans="1:17" x14ac:dyDescent="0.3">
      <c r="A712" t="s">
        <v>17</v>
      </c>
      <c r="B712" t="str">
        <f>"600817"</f>
        <v>600817</v>
      </c>
      <c r="C712" t="s">
        <v>1469</v>
      </c>
      <c r="D712" t="s">
        <v>78</v>
      </c>
      <c r="F712">
        <v>49365659</v>
      </c>
      <c r="G712">
        <v>430563334</v>
      </c>
      <c r="H712">
        <v>35841708</v>
      </c>
      <c r="I712">
        <v>-22717926</v>
      </c>
      <c r="J712">
        <v>-1031008</v>
      </c>
      <c r="K712">
        <v>-93273522</v>
      </c>
      <c r="L712">
        <v>-119160315</v>
      </c>
      <c r="M712">
        <v>6124962</v>
      </c>
      <c r="N712">
        <v>-329965206</v>
      </c>
      <c r="O712">
        <v>-285173791</v>
      </c>
      <c r="P712">
        <v>102</v>
      </c>
      <c r="Q712" t="s">
        <v>1470</v>
      </c>
    </row>
    <row r="713" spans="1:17" x14ac:dyDescent="0.3">
      <c r="A713" t="s">
        <v>17</v>
      </c>
      <c r="B713" t="str">
        <f>"600818"</f>
        <v>600818</v>
      </c>
      <c r="C713" t="s">
        <v>1471</v>
      </c>
      <c r="D713" t="s">
        <v>27</v>
      </c>
      <c r="F713">
        <v>-57862299</v>
      </c>
      <c r="G713">
        <v>-7265012</v>
      </c>
      <c r="H713">
        <v>-55907543</v>
      </c>
      <c r="I713">
        <v>-18680020</v>
      </c>
      <c r="J713">
        <v>-59023054</v>
      </c>
      <c r="K713">
        <v>153282811</v>
      </c>
      <c r="L713">
        <v>53428759</v>
      </c>
      <c r="M713">
        <v>-6085874</v>
      </c>
      <c r="N713">
        <v>-5152906</v>
      </c>
      <c r="O713">
        <v>2958175</v>
      </c>
      <c r="P713">
        <v>82</v>
      </c>
      <c r="Q713" t="s">
        <v>1472</v>
      </c>
    </row>
    <row r="714" spans="1:17" x14ac:dyDescent="0.3">
      <c r="A714" t="s">
        <v>17</v>
      </c>
      <c r="B714" t="str">
        <f>"600819"</f>
        <v>600819</v>
      </c>
      <c r="C714" t="s">
        <v>1473</v>
      </c>
      <c r="D714" t="s">
        <v>350</v>
      </c>
      <c r="F714">
        <v>199938867</v>
      </c>
      <c r="G714">
        <v>292327802</v>
      </c>
      <c r="H714">
        <v>238262198</v>
      </c>
      <c r="I714">
        <v>18004345</v>
      </c>
      <c r="J714">
        <v>-119177855</v>
      </c>
      <c r="K714">
        <v>79222711</v>
      </c>
      <c r="L714">
        <v>136685473</v>
      </c>
      <c r="M714">
        <v>-273325707</v>
      </c>
      <c r="N714">
        <v>-296071050</v>
      </c>
      <c r="O714">
        <v>-206869725</v>
      </c>
      <c r="P714">
        <v>94</v>
      </c>
      <c r="Q714" t="s">
        <v>1474</v>
      </c>
    </row>
    <row r="715" spans="1:17" x14ac:dyDescent="0.3">
      <c r="A715" t="s">
        <v>17</v>
      </c>
      <c r="B715" t="str">
        <f>"600820"</f>
        <v>600820</v>
      </c>
      <c r="C715" t="s">
        <v>1475</v>
      </c>
      <c r="D715" t="s">
        <v>95</v>
      </c>
      <c r="F715">
        <v>1306848279</v>
      </c>
      <c r="G715">
        <v>2066541994</v>
      </c>
      <c r="H715">
        <v>3632844294</v>
      </c>
      <c r="I715">
        <v>380508892</v>
      </c>
      <c r="J715">
        <v>-333170143</v>
      </c>
      <c r="K715">
        <v>2005610855</v>
      </c>
      <c r="L715">
        <v>-69733880</v>
      </c>
      <c r="M715">
        <v>-5049929999</v>
      </c>
      <c r="N715">
        <v>-4254560760</v>
      </c>
      <c r="O715">
        <v>-1126927897</v>
      </c>
      <c r="P715">
        <v>685</v>
      </c>
      <c r="Q715" t="s">
        <v>1476</v>
      </c>
    </row>
    <row r="716" spans="1:17" x14ac:dyDescent="0.3">
      <c r="A716" t="s">
        <v>17</v>
      </c>
      <c r="B716" t="str">
        <f>"600821"</f>
        <v>600821</v>
      </c>
      <c r="C716" t="s">
        <v>1477</v>
      </c>
      <c r="D716" t="s">
        <v>120</v>
      </c>
      <c r="F716">
        <v>-3477567664</v>
      </c>
      <c r="G716">
        <v>-1356944327</v>
      </c>
      <c r="H716">
        <v>-133313973</v>
      </c>
      <c r="I716">
        <v>-7406847</v>
      </c>
      <c r="J716">
        <v>-124491223</v>
      </c>
      <c r="K716">
        <v>-136683514</v>
      </c>
      <c r="L716">
        <v>-64286278</v>
      </c>
      <c r="M716">
        <v>134403987</v>
      </c>
      <c r="N716">
        <v>-190851511</v>
      </c>
      <c r="O716">
        <v>10988337</v>
      </c>
      <c r="P716">
        <v>126</v>
      </c>
      <c r="Q716" t="s">
        <v>1478</v>
      </c>
    </row>
    <row r="717" spans="1:17" x14ac:dyDescent="0.3">
      <c r="A717" t="s">
        <v>17</v>
      </c>
      <c r="B717" t="str">
        <f>"600822"</f>
        <v>600822</v>
      </c>
      <c r="C717" t="s">
        <v>1479</v>
      </c>
      <c r="D717" t="s">
        <v>27</v>
      </c>
      <c r="F717">
        <v>-56566431</v>
      </c>
      <c r="G717">
        <v>203329414</v>
      </c>
      <c r="H717">
        <v>186606583</v>
      </c>
      <c r="I717">
        <v>-190447458</v>
      </c>
      <c r="J717">
        <v>52583491</v>
      </c>
      <c r="K717">
        <v>-223730657</v>
      </c>
      <c r="L717">
        <v>271079720</v>
      </c>
      <c r="M717">
        <v>427539417</v>
      </c>
      <c r="N717">
        <v>1191822406</v>
      </c>
      <c r="O717">
        <v>-1430308267</v>
      </c>
      <c r="P717">
        <v>75</v>
      </c>
      <c r="Q717" t="s">
        <v>1480</v>
      </c>
    </row>
    <row r="718" spans="1:17" x14ac:dyDescent="0.3">
      <c r="A718" t="s">
        <v>17</v>
      </c>
      <c r="B718" t="str">
        <f>"600823"</f>
        <v>600823</v>
      </c>
      <c r="C718" t="s">
        <v>1481</v>
      </c>
      <c r="D718" t="s">
        <v>30</v>
      </c>
      <c r="F718">
        <v>-17254374780</v>
      </c>
      <c r="G718">
        <v>3825496255</v>
      </c>
      <c r="H718">
        <v>3710602812</v>
      </c>
      <c r="I718">
        <v>-4344227406</v>
      </c>
      <c r="J718">
        <v>3932324480</v>
      </c>
      <c r="K718">
        <v>505530956</v>
      </c>
      <c r="L718">
        <v>-315599639</v>
      </c>
      <c r="M718">
        <v>-1623175406</v>
      </c>
      <c r="N718">
        <v>1525523565</v>
      </c>
      <c r="O718">
        <v>708107772</v>
      </c>
      <c r="P718">
        <v>1056</v>
      </c>
      <c r="Q718" t="s">
        <v>1482</v>
      </c>
    </row>
    <row r="719" spans="1:17" x14ac:dyDescent="0.3">
      <c r="A719" t="s">
        <v>17</v>
      </c>
      <c r="B719" t="str">
        <f>"600824"</f>
        <v>600824</v>
      </c>
      <c r="C719" t="s">
        <v>1483</v>
      </c>
      <c r="D719" t="s">
        <v>120</v>
      </c>
      <c r="F719">
        <v>253791945</v>
      </c>
      <c r="G719">
        <v>298518220</v>
      </c>
      <c r="H719">
        <v>93536454</v>
      </c>
      <c r="I719">
        <v>185413046</v>
      </c>
      <c r="J719">
        <v>313195265</v>
      </c>
      <c r="K719">
        <v>242876383</v>
      </c>
      <c r="L719">
        <v>241496782</v>
      </c>
      <c r="M719">
        <v>256678007</v>
      </c>
      <c r="N719">
        <v>119721464</v>
      </c>
      <c r="O719">
        <v>39041453</v>
      </c>
      <c r="P719">
        <v>81</v>
      </c>
      <c r="Q719" t="s">
        <v>1484</v>
      </c>
    </row>
    <row r="720" spans="1:17" x14ac:dyDescent="0.3">
      <c r="A720" t="s">
        <v>17</v>
      </c>
      <c r="B720" t="str">
        <f>"600825"</f>
        <v>600825</v>
      </c>
      <c r="C720" t="s">
        <v>1485</v>
      </c>
      <c r="D720" t="s">
        <v>89</v>
      </c>
      <c r="F720">
        <v>520115880</v>
      </c>
      <c r="G720">
        <v>360485006</v>
      </c>
      <c r="H720">
        <v>-887520065</v>
      </c>
      <c r="I720">
        <v>490400464</v>
      </c>
      <c r="J720">
        <v>164210794</v>
      </c>
      <c r="K720">
        <v>278662082</v>
      </c>
      <c r="L720">
        <v>242177946</v>
      </c>
      <c r="M720">
        <v>-37311747</v>
      </c>
      <c r="N720">
        <v>103583742</v>
      </c>
      <c r="O720">
        <v>-72894106</v>
      </c>
      <c r="P720">
        <v>84</v>
      </c>
      <c r="Q720" t="s">
        <v>1486</v>
      </c>
    </row>
    <row r="721" spans="1:17" x14ac:dyDescent="0.3">
      <c r="A721" t="s">
        <v>17</v>
      </c>
      <c r="B721" t="str">
        <f>"600826"</f>
        <v>600826</v>
      </c>
      <c r="C721" t="s">
        <v>1487</v>
      </c>
      <c r="D721" t="s">
        <v>110</v>
      </c>
      <c r="F721">
        <v>122898483</v>
      </c>
      <c r="G721">
        <v>-77250109</v>
      </c>
      <c r="H721">
        <v>-99549786</v>
      </c>
      <c r="I721">
        <v>-39765991</v>
      </c>
      <c r="J721">
        <v>91629865</v>
      </c>
      <c r="K721">
        <v>-275725694</v>
      </c>
      <c r="L721">
        <v>-76397741</v>
      </c>
      <c r="M721">
        <v>-16800620</v>
      </c>
      <c r="N721">
        <v>-13719828</v>
      </c>
      <c r="O721">
        <v>6565239</v>
      </c>
      <c r="P721">
        <v>145</v>
      </c>
      <c r="Q721" t="s">
        <v>1488</v>
      </c>
    </row>
    <row r="722" spans="1:17" x14ac:dyDescent="0.3">
      <c r="A722" t="s">
        <v>17</v>
      </c>
      <c r="B722" t="str">
        <f>"600827"</f>
        <v>600827</v>
      </c>
      <c r="C722" t="s">
        <v>1109</v>
      </c>
      <c r="D722" t="s">
        <v>120</v>
      </c>
      <c r="F722">
        <v>2212168412</v>
      </c>
      <c r="G722">
        <v>3346512462</v>
      </c>
      <c r="H722">
        <v>1251507405</v>
      </c>
      <c r="I722">
        <v>584936240</v>
      </c>
      <c r="J722">
        <v>944022809</v>
      </c>
      <c r="K722">
        <v>17413618</v>
      </c>
      <c r="L722">
        <v>332856425</v>
      </c>
      <c r="M722">
        <v>114494082</v>
      </c>
      <c r="N722">
        <v>2547056774</v>
      </c>
      <c r="O722">
        <v>194047583</v>
      </c>
      <c r="P722">
        <v>274</v>
      </c>
      <c r="Q722" t="s">
        <v>1489</v>
      </c>
    </row>
    <row r="723" spans="1:17" x14ac:dyDescent="0.3">
      <c r="A723" t="s">
        <v>17</v>
      </c>
      <c r="B723" t="str">
        <f>"600828"</f>
        <v>600828</v>
      </c>
      <c r="C723" t="s">
        <v>1490</v>
      </c>
      <c r="D723" t="s">
        <v>120</v>
      </c>
      <c r="F723">
        <v>1147090914</v>
      </c>
      <c r="G723">
        <v>270552505</v>
      </c>
      <c r="H723">
        <v>1259870890</v>
      </c>
      <c r="I723">
        <v>2594767246</v>
      </c>
      <c r="J723">
        <v>1055387468</v>
      </c>
      <c r="K723">
        <v>-240557793</v>
      </c>
      <c r="L723">
        <v>-112928806</v>
      </c>
      <c r="M723">
        <v>92829522</v>
      </c>
      <c r="N723">
        <v>45199124</v>
      </c>
      <c r="O723">
        <v>33071829</v>
      </c>
      <c r="P723">
        <v>628</v>
      </c>
      <c r="Q723" t="s">
        <v>1491</v>
      </c>
    </row>
    <row r="724" spans="1:17" x14ac:dyDescent="0.3">
      <c r="A724" t="s">
        <v>17</v>
      </c>
      <c r="B724" t="str">
        <f>"600829"</f>
        <v>600829</v>
      </c>
      <c r="C724" t="s">
        <v>1492</v>
      </c>
      <c r="D724" t="s">
        <v>113</v>
      </c>
      <c r="F724">
        <v>-244551360</v>
      </c>
      <c r="G724">
        <v>-21918622</v>
      </c>
      <c r="H724">
        <v>-419758194</v>
      </c>
      <c r="I724">
        <v>361434234</v>
      </c>
      <c r="J724">
        <v>132076785</v>
      </c>
      <c r="K724">
        <v>24078924</v>
      </c>
      <c r="L724">
        <v>298603752</v>
      </c>
      <c r="M724">
        <v>375525453</v>
      </c>
      <c r="N724">
        <v>-187401413</v>
      </c>
      <c r="O724">
        <v>191085753</v>
      </c>
      <c r="P724">
        <v>1902</v>
      </c>
      <c r="Q724" t="s">
        <v>1493</v>
      </c>
    </row>
    <row r="725" spans="1:17" x14ac:dyDescent="0.3">
      <c r="A725" t="s">
        <v>17</v>
      </c>
      <c r="B725" t="str">
        <f>"600830"</f>
        <v>600830</v>
      </c>
      <c r="C725" t="s">
        <v>1494</v>
      </c>
      <c r="D725" t="s">
        <v>75</v>
      </c>
      <c r="F725">
        <v>-601613474</v>
      </c>
      <c r="G725">
        <v>-396914674</v>
      </c>
      <c r="H725">
        <v>663366342</v>
      </c>
      <c r="I725">
        <v>190395798</v>
      </c>
      <c r="J725">
        <v>-126382774</v>
      </c>
      <c r="K725">
        <v>-269305678</v>
      </c>
      <c r="L725">
        <v>121128899</v>
      </c>
      <c r="M725">
        <v>-58753123</v>
      </c>
      <c r="N725">
        <v>295427102</v>
      </c>
      <c r="O725">
        <v>-13054639</v>
      </c>
      <c r="P725">
        <v>73</v>
      </c>
      <c r="Q725" t="s">
        <v>1495</v>
      </c>
    </row>
    <row r="726" spans="1:17" x14ac:dyDescent="0.3">
      <c r="A726" t="s">
        <v>17</v>
      </c>
      <c r="B726" t="str">
        <f>"600831"</f>
        <v>600831</v>
      </c>
      <c r="C726" t="s">
        <v>1496</v>
      </c>
      <c r="D726" t="s">
        <v>89</v>
      </c>
      <c r="F726">
        <v>-1216822541</v>
      </c>
      <c r="G726">
        <v>-577785863</v>
      </c>
      <c r="H726">
        <v>-468486813</v>
      </c>
      <c r="I726">
        <v>-318094190</v>
      </c>
      <c r="J726">
        <v>-428911441</v>
      </c>
      <c r="K726">
        <v>-160483966</v>
      </c>
      <c r="L726">
        <v>-19678455</v>
      </c>
      <c r="M726">
        <v>8733824</v>
      </c>
      <c r="N726">
        <v>-74903847</v>
      </c>
      <c r="O726">
        <v>-38184702</v>
      </c>
      <c r="P726">
        <v>199</v>
      </c>
      <c r="Q726" t="s">
        <v>1497</v>
      </c>
    </row>
    <row r="727" spans="1:17" x14ac:dyDescent="0.3">
      <c r="A727" t="s">
        <v>17</v>
      </c>
      <c r="B727" t="str">
        <f>"600832"</f>
        <v>600832</v>
      </c>
      <c r="C727" t="s">
        <v>1119</v>
      </c>
      <c r="M727">
        <v>1546666839.24</v>
      </c>
      <c r="N727">
        <v>1594114003.22</v>
      </c>
      <c r="O727">
        <v>220803584.68000001</v>
      </c>
      <c r="P727">
        <v>15</v>
      </c>
      <c r="Q727" t="s">
        <v>1498</v>
      </c>
    </row>
    <row r="728" spans="1:17" x14ac:dyDescent="0.3">
      <c r="A728" t="s">
        <v>17</v>
      </c>
      <c r="B728" t="str">
        <f>"600833"</f>
        <v>600833</v>
      </c>
      <c r="C728" t="s">
        <v>1499</v>
      </c>
      <c r="D728" t="s">
        <v>113</v>
      </c>
      <c r="F728">
        <v>26162704</v>
      </c>
      <c r="G728">
        <v>72090097</v>
      </c>
      <c r="H728">
        <v>94661417</v>
      </c>
      <c r="I728">
        <v>72168015</v>
      </c>
      <c r="J728">
        <v>106676822</v>
      </c>
      <c r="K728">
        <v>34184808</v>
      </c>
      <c r="L728">
        <v>43351774</v>
      </c>
      <c r="M728">
        <v>15473048</v>
      </c>
      <c r="N728">
        <v>-509034</v>
      </c>
      <c r="O728">
        <v>2044650</v>
      </c>
      <c r="P728">
        <v>108</v>
      </c>
      <c r="Q728" t="s">
        <v>1500</v>
      </c>
    </row>
    <row r="729" spans="1:17" x14ac:dyDescent="0.3">
      <c r="A729" t="s">
        <v>17</v>
      </c>
      <c r="B729" t="str">
        <f>"600834"</f>
        <v>600834</v>
      </c>
      <c r="C729" t="s">
        <v>1501</v>
      </c>
      <c r="D729" t="s">
        <v>22</v>
      </c>
      <c r="F729">
        <v>572502979</v>
      </c>
      <c r="G729">
        <v>-160523887</v>
      </c>
      <c r="H729">
        <v>-607998315</v>
      </c>
      <c r="I729">
        <v>113031674</v>
      </c>
      <c r="J729">
        <v>-33775871</v>
      </c>
      <c r="K729">
        <v>189300695</v>
      </c>
      <c r="L729">
        <v>358179777</v>
      </c>
      <c r="M729">
        <v>-133451544</v>
      </c>
      <c r="N729">
        <v>212121753</v>
      </c>
      <c r="O729">
        <v>216418265</v>
      </c>
      <c r="P729">
        <v>120</v>
      </c>
      <c r="Q729" t="s">
        <v>1502</v>
      </c>
    </row>
    <row r="730" spans="1:17" x14ac:dyDescent="0.3">
      <c r="A730" t="s">
        <v>17</v>
      </c>
      <c r="B730" t="str">
        <f>"600835"</f>
        <v>600835</v>
      </c>
      <c r="C730" t="s">
        <v>1503</v>
      </c>
      <c r="D730" t="s">
        <v>78</v>
      </c>
      <c r="F730">
        <v>557761691</v>
      </c>
      <c r="G730">
        <v>824236855</v>
      </c>
      <c r="H730">
        <v>-107439434</v>
      </c>
      <c r="I730">
        <v>-75576916</v>
      </c>
      <c r="J730">
        <v>1762926899</v>
      </c>
      <c r="K730">
        <v>1504564438</v>
      </c>
      <c r="L730">
        <v>1052782431</v>
      </c>
      <c r="M730">
        <v>1628217711</v>
      </c>
      <c r="N730">
        <v>1444295796</v>
      </c>
      <c r="O730">
        <v>2632393690</v>
      </c>
      <c r="P730">
        <v>661</v>
      </c>
      <c r="Q730" t="s">
        <v>1504</v>
      </c>
    </row>
    <row r="731" spans="1:17" x14ac:dyDescent="0.3">
      <c r="A731" t="s">
        <v>17</v>
      </c>
      <c r="B731" t="str">
        <f>"600836"</f>
        <v>600836</v>
      </c>
      <c r="C731" t="s">
        <v>1505</v>
      </c>
      <c r="D731" t="s">
        <v>161</v>
      </c>
      <c r="F731">
        <v>90901795</v>
      </c>
      <c r="G731">
        <v>175581171</v>
      </c>
      <c r="H731">
        <v>295035756</v>
      </c>
      <c r="I731">
        <v>-123163852</v>
      </c>
      <c r="J731">
        <v>64904750</v>
      </c>
      <c r="K731">
        <v>324941182</v>
      </c>
      <c r="L731">
        <v>-585969763</v>
      </c>
      <c r="M731">
        <v>208473690</v>
      </c>
      <c r="N731">
        <v>198637898</v>
      </c>
      <c r="O731">
        <v>45376355</v>
      </c>
      <c r="P731">
        <v>70</v>
      </c>
      <c r="Q731" t="s">
        <v>1506</v>
      </c>
    </row>
    <row r="732" spans="1:17" x14ac:dyDescent="0.3">
      <c r="A732" t="s">
        <v>17</v>
      </c>
      <c r="B732" t="str">
        <f>"600837"</f>
        <v>600837</v>
      </c>
      <c r="C732" t="s">
        <v>1507</v>
      </c>
      <c r="D732" t="s">
        <v>75</v>
      </c>
      <c r="F732">
        <v>69625525790</v>
      </c>
      <c r="G732">
        <v>4218447261</v>
      </c>
      <c r="H732">
        <v>20097104426</v>
      </c>
      <c r="I732">
        <v>-8962988572</v>
      </c>
      <c r="J732">
        <v>-60642045697</v>
      </c>
      <c r="K732">
        <v>-50630112160</v>
      </c>
      <c r="L732">
        <v>15243925838</v>
      </c>
      <c r="M732">
        <v>8535577456</v>
      </c>
      <c r="N732">
        <v>-14848054141</v>
      </c>
      <c r="O732">
        <v>-9387143300</v>
      </c>
      <c r="P732">
        <v>4976</v>
      </c>
      <c r="Q732" t="s">
        <v>1508</v>
      </c>
    </row>
    <row r="733" spans="1:17" x14ac:dyDescent="0.3">
      <c r="A733" t="s">
        <v>17</v>
      </c>
      <c r="B733" t="str">
        <f>"600838"</f>
        <v>600838</v>
      </c>
      <c r="C733" t="s">
        <v>1509</v>
      </c>
      <c r="D733" t="s">
        <v>120</v>
      </c>
      <c r="F733">
        <v>28824570</v>
      </c>
      <c r="G733">
        <v>-264357627</v>
      </c>
      <c r="H733">
        <v>-10018610</v>
      </c>
      <c r="I733">
        <v>-11487805</v>
      </c>
      <c r="J733">
        <v>-14332704</v>
      </c>
      <c r="K733">
        <v>-6054943</v>
      </c>
      <c r="L733">
        <v>-7396004</v>
      </c>
      <c r="M733">
        <v>-8034525</v>
      </c>
      <c r="N733">
        <v>13427308</v>
      </c>
      <c r="O733">
        <v>-67094698</v>
      </c>
      <c r="P733">
        <v>79</v>
      </c>
      <c r="Q733" t="s">
        <v>1510</v>
      </c>
    </row>
    <row r="734" spans="1:17" x14ac:dyDescent="0.3">
      <c r="A734" t="s">
        <v>17</v>
      </c>
      <c r="B734" t="str">
        <f>"600839"</f>
        <v>600839</v>
      </c>
      <c r="C734" t="s">
        <v>1511</v>
      </c>
      <c r="D734" t="s">
        <v>126</v>
      </c>
      <c r="F734">
        <v>3663465974</v>
      </c>
      <c r="G734">
        <v>698973136</v>
      </c>
      <c r="H734">
        <v>185240027</v>
      </c>
      <c r="I734">
        <v>3174645134</v>
      </c>
      <c r="J734">
        <v>196415337</v>
      </c>
      <c r="K734">
        <v>3880474676</v>
      </c>
      <c r="L734">
        <v>2558441048</v>
      </c>
      <c r="M734">
        <v>474621333</v>
      </c>
      <c r="N734">
        <v>1758380875</v>
      </c>
      <c r="O734">
        <v>110735998</v>
      </c>
      <c r="P734">
        <v>272</v>
      </c>
      <c r="Q734" t="s">
        <v>1512</v>
      </c>
    </row>
    <row r="735" spans="1:17" x14ac:dyDescent="0.3">
      <c r="A735" t="s">
        <v>17</v>
      </c>
      <c r="B735" t="str">
        <f>"600841"</f>
        <v>600841</v>
      </c>
      <c r="C735" t="s">
        <v>1513</v>
      </c>
      <c r="D735" t="s">
        <v>27</v>
      </c>
      <c r="F735">
        <v>-2717806584</v>
      </c>
      <c r="G735">
        <v>132140212</v>
      </c>
      <c r="H735">
        <v>508034952</v>
      </c>
      <c r="I735">
        <v>222968293</v>
      </c>
      <c r="J735">
        <v>59633063</v>
      </c>
      <c r="K735">
        <v>-3150780</v>
      </c>
      <c r="L735">
        <v>334057516</v>
      </c>
      <c r="M735">
        <v>74206872</v>
      </c>
      <c r="N735">
        <v>-217781915</v>
      </c>
      <c r="O735">
        <v>-230192078</v>
      </c>
      <c r="P735">
        <v>88</v>
      </c>
      <c r="Q735" t="s">
        <v>1514</v>
      </c>
    </row>
    <row r="736" spans="1:17" x14ac:dyDescent="0.3">
      <c r="A736" t="s">
        <v>17</v>
      </c>
      <c r="B736" t="str">
        <f>"600843"</f>
        <v>600843</v>
      </c>
      <c r="C736" t="s">
        <v>1515</v>
      </c>
      <c r="D736" t="s">
        <v>78</v>
      </c>
      <c r="F736">
        <v>71825820</v>
      </c>
      <c r="G736">
        <v>194105837</v>
      </c>
      <c r="H736">
        <v>-270235755</v>
      </c>
      <c r="I736">
        <v>-144870756</v>
      </c>
      <c r="J736">
        <v>-4507501</v>
      </c>
      <c r="K736">
        <v>18829076</v>
      </c>
      <c r="L736">
        <v>-7098001</v>
      </c>
      <c r="M736">
        <v>188829470</v>
      </c>
      <c r="N736">
        <v>-2768482</v>
      </c>
      <c r="O736">
        <v>114608370</v>
      </c>
      <c r="P736">
        <v>78</v>
      </c>
      <c r="Q736" t="s">
        <v>1516</v>
      </c>
    </row>
    <row r="737" spans="1:17" x14ac:dyDescent="0.3">
      <c r="A737" t="s">
        <v>17</v>
      </c>
      <c r="B737" t="str">
        <f>"600844"</f>
        <v>600844</v>
      </c>
      <c r="C737" t="s">
        <v>1517</v>
      </c>
      <c r="D737" t="s">
        <v>133</v>
      </c>
      <c r="F737">
        <v>127106024</v>
      </c>
      <c r="G737">
        <v>-66470768</v>
      </c>
      <c r="H737">
        <v>-103029058</v>
      </c>
      <c r="I737">
        <v>217972793</v>
      </c>
      <c r="J737">
        <v>147833522</v>
      </c>
      <c r="K737">
        <v>-255446984</v>
      </c>
      <c r="L737">
        <v>-29622431</v>
      </c>
      <c r="M737">
        <v>248345928</v>
      </c>
      <c r="N737">
        <v>287678410</v>
      </c>
      <c r="O737">
        <v>275090526</v>
      </c>
      <c r="P737">
        <v>106</v>
      </c>
      <c r="Q737" t="s">
        <v>1518</v>
      </c>
    </row>
    <row r="738" spans="1:17" x14ac:dyDescent="0.3">
      <c r="A738" t="s">
        <v>17</v>
      </c>
      <c r="B738" t="str">
        <f>"600845"</f>
        <v>600845</v>
      </c>
      <c r="C738" t="s">
        <v>1519</v>
      </c>
      <c r="D738" t="s">
        <v>212</v>
      </c>
      <c r="F738">
        <v>1176531837</v>
      </c>
      <c r="G738">
        <v>1133073143</v>
      </c>
      <c r="H738">
        <v>283149993</v>
      </c>
      <c r="I738">
        <v>341719870</v>
      </c>
      <c r="J738">
        <v>335674272</v>
      </c>
      <c r="K738">
        <v>243018653</v>
      </c>
      <c r="L738">
        <v>-206179022</v>
      </c>
      <c r="M738">
        <v>-120993709</v>
      </c>
      <c r="N738">
        <v>7434897</v>
      </c>
      <c r="O738">
        <v>-20512861</v>
      </c>
      <c r="P738">
        <v>1596</v>
      </c>
      <c r="Q738" t="s">
        <v>1520</v>
      </c>
    </row>
    <row r="739" spans="1:17" x14ac:dyDescent="0.3">
      <c r="A739" t="s">
        <v>17</v>
      </c>
      <c r="B739" t="str">
        <f>"600846"</f>
        <v>600846</v>
      </c>
      <c r="C739" t="s">
        <v>1521</v>
      </c>
      <c r="D739" t="s">
        <v>30</v>
      </c>
      <c r="F739">
        <v>529789404</v>
      </c>
      <c r="G739">
        <v>1483652827</v>
      </c>
      <c r="H739">
        <v>280806038</v>
      </c>
      <c r="I739">
        <v>3677869769</v>
      </c>
      <c r="J739">
        <v>-139847170</v>
      </c>
      <c r="K739">
        <v>1415127141</v>
      </c>
      <c r="L739">
        <v>-1750817272</v>
      </c>
      <c r="M739">
        <v>-181867344</v>
      </c>
      <c r="N739">
        <v>1098529089</v>
      </c>
      <c r="O739">
        <v>20047257</v>
      </c>
      <c r="P739">
        <v>357</v>
      </c>
      <c r="Q739" t="s">
        <v>1522</v>
      </c>
    </row>
    <row r="740" spans="1:17" x14ac:dyDescent="0.3">
      <c r="A740" t="s">
        <v>17</v>
      </c>
      <c r="B740" t="str">
        <f>"600847"</f>
        <v>600847</v>
      </c>
      <c r="C740" t="s">
        <v>1523</v>
      </c>
      <c r="D740" t="s">
        <v>188</v>
      </c>
      <c r="F740">
        <v>-29620615</v>
      </c>
      <c r="G740">
        <v>17110111</v>
      </c>
      <c r="H740">
        <v>20846006</v>
      </c>
      <c r="I740">
        <v>8874768</v>
      </c>
      <c r="J740">
        <v>-31091894</v>
      </c>
      <c r="K740">
        <v>-73514721</v>
      </c>
      <c r="L740">
        <v>-60844954</v>
      </c>
      <c r="M740">
        <v>-143824009</v>
      </c>
      <c r="N740">
        <v>-109013388</v>
      </c>
      <c r="O740">
        <v>-23813392</v>
      </c>
      <c r="P740">
        <v>54</v>
      </c>
      <c r="Q740" t="s">
        <v>1524</v>
      </c>
    </row>
    <row r="741" spans="1:17" x14ac:dyDescent="0.3">
      <c r="A741" t="s">
        <v>17</v>
      </c>
      <c r="B741" t="str">
        <f>"600848"</f>
        <v>600848</v>
      </c>
      <c r="C741" t="s">
        <v>1525</v>
      </c>
      <c r="D741" t="s">
        <v>30</v>
      </c>
      <c r="F741">
        <v>-14207508</v>
      </c>
      <c r="G741">
        <v>-736752866</v>
      </c>
      <c r="H741">
        <v>-4822265426</v>
      </c>
      <c r="I741">
        <v>-1514548631</v>
      </c>
      <c r="J741">
        <v>-168254318</v>
      </c>
      <c r="K741">
        <v>-146184313</v>
      </c>
      <c r="L741">
        <v>-466881174</v>
      </c>
      <c r="M741">
        <v>-21067914</v>
      </c>
      <c r="N741">
        <v>-63369755</v>
      </c>
      <c r="O741">
        <v>-83997390</v>
      </c>
      <c r="P741">
        <v>271</v>
      </c>
      <c r="Q741" t="s">
        <v>1526</v>
      </c>
    </row>
    <row r="742" spans="1:17" x14ac:dyDescent="0.3">
      <c r="A742" t="s">
        <v>17</v>
      </c>
      <c r="B742" t="str">
        <f>"600849"</f>
        <v>600849</v>
      </c>
      <c r="C742" t="s">
        <v>1527</v>
      </c>
      <c r="K742">
        <v>138661900</v>
      </c>
      <c r="L742">
        <v>16924040.039999999</v>
      </c>
      <c r="M742">
        <v>196179640.19999999</v>
      </c>
      <c r="N742">
        <v>104225012.05</v>
      </c>
      <c r="O742">
        <v>461971636.16000003</v>
      </c>
      <c r="P742">
        <v>3</v>
      </c>
      <c r="Q742" t="s">
        <v>1528</v>
      </c>
    </row>
    <row r="743" spans="1:17" x14ac:dyDescent="0.3">
      <c r="A743" t="s">
        <v>17</v>
      </c>
      <c r="B743" t="str">
        <f>"600850"</f>
        <v>600850</v>
      </c>
      <c r="C743" t="s">
        <v>1529</v>
      </c>
      <c r="D743" t="s">
        <v>212</v>
      </c>
      <c r="F743">
        <v>872720810</v>
      </c>
      <c r="G743">
        <v>623470576</v>
      </c>
      <c r="H743">
        <v>822479529</v>
      </c>
      <c r="I743">
        <v>38241110</v>
      </c>
      <c r="J743">
        <v>766397920</v>
      </c>
      <c r="K743">
        <v>-49066131</v>
      </c>
      <c r="L743">
        <v>498344981</v>
      </c>
      <c r="M743">
        <v>263643899</v>
      </c>
      <c r="N743">
        <v>29306750</v>
      </c>
      <c r="O743">
        <v>-92366133</v>
      </c>
      <c r="P743">
        <v>322</v>
      </c>
      <c r="Q743" t="s">
        <v>1530</v>
      </c>
    </row>
    <row r="744" spans="1:17" x14ac:dyDescent="0.3">
      <c r="A744" t="s">
        <v>17</v>
      </c>
      <c r="B744" t="str">
        <f>"600851"</f>
        <v>600851</v>
      </c>
      <c r="C744" t="s">
        <v>1531</v>
      </c>
      <c r="D744" t="s">
        <v>113</v>
      </c>
      <c r="F744">
        <v>146950173</v>
      </c>
      <c r="G744">
        <v>-7439419</v>
      </c>
      <c r="H744">
        <v>-182097504</v>
      </c>
      <c r="I744">
        <v>-49250677</v>
      </c>
      <c r="J744">
        <v>-70271413</v>
      </c>
      <c r="K744">
        <v>-74129308</v>
      </c>
      <c r="L744">
        <v>-65272720</v>
      </c>
      <c r="M744">
        <v>-5122185</v>
      </c>
      <c r="N744">
        <v>-64489536</v>
      </c>
      <c r="O744">
        <v>2589511</v>
      </c>
      <c r="P744">
        <v>98</v>
      </c>
      <c r="Q744" t="s">
        <v>1532</v>
      </c>
    </row>
    <row r="745" spans="1:17" x14ac:dyDescent="0.3">
      <c r="A745" t="s">
        <v>17</v>
      </c>
      <c r="B745" t="str">
        <f>"600852"</f>
        <v>600852</v>
      </c>
      <c r="C745" t="s">
        <v>1533</v>
      </c>
      <c r="K745">
        <v>124597.19</v>
      </c>
      <c r="L745">
        <v>40195.980000000003</v>
      </c>
      <c r="M745">
        <v>62528.26</v>
      </c>
      <c r="N745">
        <v>-62545.87</v>
      </c>
      <c r="O745">
        <v>-28783558.98</v>
      </c>
      <c r="P745">
        <v>3</v>
      </c>
      <c r="Q745" t="s">
        <v>1534</v>
      </c>
    </row>
    <row r="746" spans="1:17" x14ac:dyDescent="0.3">
      <c r="A746" t="s">
        <v>17</v>
      </c>
      <c r="B746" t="str">
        <f>"600853"</f>
        <v>600853</v>
      </c>
      <c r="C746" t="s">
        <v>1535</v>
      </c>
      <c r="D746" t="s">
        <v>95</v>
      </c>
      <c r="F746">
        <v>-2266782441</v>
      </c>
      <c r="G746">
        <v>2038254415</v>
      </c>
      <c r="H746">
        <v>-1014336924</v>
      </c>
      <c r="I746">
        <v>-1121273484</v>
      </c>
      <c r="J746">
        <v>-1467112973</v>
      </c>
      <c r="K746">
        <v>-1539995212</v>
      </c>
      <c r="L746">
        <v>558548519</v>
      </c>
      <c r="M746">
        <v>-398697916</v>
      </c>
      <c r="N746">
        <v>53732</v>
      </c>
      <c r="O746">
        <v>-171517756</v>
      </c>
      <c r="P746">
        <v>94</v>
      </c>
      <c r="Q746" t="s">
        <v>1536</v>
      </c>
    </row>
    <row r="747" spans="1:17" x14ac:dyDescent="0.3">
      <c r="A747" t="s">
        <v>17</v>
      </c>
      <c r="B747" t="str">
        <f>"600854"</f>
        <v>600854</v>
      </c>
      <c r="C747" t="s">
        <v>1537</v>
      </c>
      <c r="D747" t="s">
        <v>126</v>
      </c>
      <c r="F747">
        <v>299259031</v>
      </c>
      <c r="G747">
        <v>37042006</v>
      </c>
      <c r="H747">
        <v>62773218</v>
      </c>
      <c r="I747">
        <v>-112892157</v>
      </c>
      <c r="J747">
        <v>375328124</v>
      </c>
      <c r="K747">
        <v>28115395</v>
      </c>
      <c r="L747">
        <v>-53927521</v>
      </c>
      <c r="M747">
        <v>27531834</v>
      </c>
      <c r="N747">
        <v>6376649</v>
      </c>
      <c r="O747">
        <v>-59896734</v>
      </c>
      <c r="P747">
        <v>146</v>
      </c>
      <c r="Q747" t="s">
        <v>1538</v>
      </c>
    </row>
    <row r="748" spans="1:17" x14ac:dyDescent="0.3">
      <c r="A748" t="s">
        <v>17</v>
      </c>
      <c r="B748" t="str">
        <f>"600855"</f>
        <v>600855</v>
      </c>
      <c r="C748" t="s">
        <v>1539</v>
      </c>
      <c r="D748" t="s">
        <v>212</v>
      </c>
      <c r="F748">
        <v>-193521691</v>
      </c>
      <c r="G748">
        <v>291227081</v>
      </c>
      <c r="H748">
        <v>210844059</v>
      </c>
      <c r="I748">
        <v>-46031704</v>
      </c>
      <c r="J748">
        <v>-91659165</v>
      </c>
      <c r="K748">
        <v>75949963</v>
      </c>
      <c r="L748">
        <v>86820798</v>
      </c>
      <c r="M748">
        <v>95664648</v>
      </c>
      <c r="N748">
        <v>37606924</v>
      </c>
      <c r="O748">
        <v>-165719520</v>
      </c>
      <c r="P748">
        <v>139</v>
      </c>
      <c r="Q748" t="s">
        <v>1540</v>
      </c>
    </row>
    <row r="749" spans="1:17" x14ac:dyDescent="0.3">
      <c r="A749" t="s">
        <v>17</v>
      </c>
      <c r="B749" t="str">
        <f>"600856"</f>
        <v>600856</v>
      </c>
      <c r="C749" t="s">
        <v>1541</v>
      </c>
      <c r="D749" t="s">
        <v>70</v>
      </c>
      <c r="F749">
        <v>96654470</v>
      </c>
      <c r="G749">
        <v>-31640801</v>
      </c>
      <c r="H749">
        <v>-393427358</v>
      </c>
      <c r="I749">
        <v>-327322675</v>
      </c>
      <c r="J749">
        <v>-1040260764</v>
      </c>
      <c r="K749">
        <v>139811193</v>
      </c>
      <c r="L749">
        <v>-526016863</v>
      </c>
      <c r="M749">
        <v>14592597</v>
      </c>
      <c r="N749">
        <v>35887179</v>
      </c>
      <c r="O749">
        <v>55149022</v>
      </c>
      <c r="P749">
        <v>129</v>
      </c>
      <c r="Q749" t="s">
        <v>1542</v>
      </c>
    </row>
    <row r="750" spans="1:17" x14ac:dyDescent="0.3">
      <c r="A750" t="s">
        <v>17</v>
      </c>
      <c r="B750" t="str">
        <f>"600857"</f>
        <v>600857</v>
      </c>
      <c r="C750" t="s">
        <v>1543</v>
      </c>
      <c r="D750" t="s">
        <v>120</v>
      </c>
      <c r="F750">
        <v>16311479</v>
      </c>
      <c r="G750">
        <v>-153171622</v>
      </c>
      <c r="H750">
        <v>3973861</v>
      </c>
      <c r="I750">
        <v>-94724687</v>
      </c>
      <c r="J750">
        <v>12080620</v>
      </c>
      <c r="K750">
        <v>37499320</v>
      </c>
      <c r="L750">
        <v>27390489</v>
      </c>
      <c r="M750">
        <v>23104796</v>
      </c>
      <c r="N750">
        <v>21581839</v>
      </c>
      <c r="O750">
        <v>13272267</v>
      </c>
      <c r="P750">
        <v>74</v>
      </c>
      <c r="Q750" t="s">
        <v>1544</v>
      </c>
    </row>
    <row r="751" spans="1:17" x14ac:dyDescent="0.3">
      <c r="A751" t="s">
        <v>17</v>
      </c>
      <c r="B751" t="str">
        <f>"600858"</f>
        <v>600858</v>
      </c>
      <c r="C751" t="s">
        <v>1545</v>
      </c>
      <c r="D751" t="s">
        <v>120</v>
      </c>
      <c r="F751">
        <v>594006119</v>
      </c>
      <c r="G751">
        <v>557816524</v>
      </c>
      <c r="H751">
        <v>511444176</v>
      </c>
      <c r="I751">
        <v>92599398</v>
      </c>
      <c r="J751">
        <v>1180984561</v>
      </c>
      <c r="K751">
        <v>-56753593</v>
      </c>
      <c r="L751">
        <v>-519799600</v>
      </c>
      <c r="M751">
        <v>698457515</v>
      </c>
      <c r="N751">
        <v>168670215</v>
      </c>
      <c r="O751">
        <v>-6724241</v>
      </c>
      <c r="P751">
        <v>91</v>
      </c>
      <c r="Q751" t="s">
        <v>1546</v>
      </c>
    </row>
    <row r="752" spans="1:17" x14ac:dyDescent="0.3">
      <c r="A752" t="s">
        <v>17</v>
      </c>
      <c r="B752" t="str">
        <f>"600859"</f>
        <v>600859</v>
      </c>
      <c r="C752" t="s">
        <v>1547</v>
      </c>
      <c r="D752" t="s">
        <v>120</v>
      </c>
      <c r="F752">
        <v>1669707639</v>
      </c>
      <c r="G752">
        <v>201424351</v>
      </c>
      <c r="H752">
        <v>305239459</v>
      </c>
      <c r="I752">
        <v>479603774</v>
      </c>
      <c r="J752">
        <v>830092541</v>
      </c>
      <c r="K752">
        <v>382906518</v>
      </c>
      <c r="L752">
        <v>416776482</v>
      </c>
      <c r="M752">
        <v>-107881788</v>
      </c>
      <c r="N752">
        <v>453642561</v>
      </c>
      <c r="O752">
        <v>1258874236</v>
      </c>
      <c r="P752">
        <v>553</v>
      </c>
      <c r="Q752" t="s">
        <v>1548</v>
      </c>
    </row>
    <row r="753" spans="1:17" x14ac:dyDescent="0.3">
      <c r="A753" t="s">
        <v>17</v>
      </c>
      <c r="B753" t="str">
        <f>"600860"</f>
        <v>600860</v>
      </c>
      <c r="C753" t="s">
        <v>1549</v>
      </c>
      <c r="D753" t="s">
        <v>78</v>
      </c>
      <c r="F753">
        <v>-73853672</v>
      </c>
      <c r="G753">
        <v>277909472</v>
      </c>
      <c r="H753">
        <v>67286583</v>
      </c>
      <c r="I753">
        <v>14255623</v>
      </c>
      <c r="J753">
        <v>-19955657</v>
      </c>
      <c r="K753">
        <v>-33136683</v>
      </c>
      <c r="L753">
        <v>134150610</v>
      </c>
      <c r="M753">
        <v>-193458833</v>
      </c>
      <c r="N753">
        <v>-463209434</v>
      </c>
      <c r="O753">
        <v>-54080530</v>
      </c>
      <c r="P753">
        <v>108</v>
      </c>
      <c r="Q753" t="s">
        <v>1550</v>
      </c>
    </row>
    <row r="754" spans="1:17" x14ac:dyDescent="0.3">
      <c r="A754" t="s">
        <v>17</v>
      </c>
      <c r="B754" t="str">
        <f>"600861"</f>
        <v>600861</v>
      </c>
      <c r="C754" t="s">
        <v>1551</v>
      </c>
      <c r="D754" t="s">
        <v>120</v>
      </c>
      <c r="F754">
        <v>85907146</v>
      </c>
      <c r="G754">
        <v>98901623</v>
      </c>
      <c r="H754">
        <v>53999789</v>
      </c>
      <c r="I754">
        <v>-8819778</v>
      </c>
      <c r="J754">
        <v>-215046795</v>
      </c>
      <c r="K754">
        <v>803883726</v>
      </c>
      <c r="L754">
        <v>-289317425</v>
      </c>
      <c r="M754">
        <v>-207119816</v>
      </c>
      <c r="N754">
        <v>-288919985</v>
      </c>
      <c r="O754">
        <v>-117597007</v>
      </c>
      <c r="P754">
        <v>72</v>
      </c>
      <c r="Q754" t="s">
        <v>1552</v>
      </c>
    </row>
    <row r="755" spans="1:17" x14ac:dyDescent="0.3">
      <c r="A755" t="s">
        <v>17</v>
      </c>
      <c r="B755" t="str">
        <f>"600862"</f>
        <v>600862</v>
      </c>
      <c r="C755" t="s">
        <v>1553</v>
      </c>
      <c r="D755" t="s">
        <v>92</v>
      </c>
      <c r="F755">
        <v>273447888</v>
      </c>
      <c r="G755">
        <v>64239905</v>
      </c>
      <c r="H755">
        <v>772576722</v>
      </c>
      <c r="I755">
        <v>-873206921</v>
      </c>
      <c r="J755">
        <v>-70993090</v>
      </c>
      <c r="K755">
        <v>650037960</v>
      </c>
      <c r="L755">
        <v>410590177</v>
      </c>
      <c r="M755">
        <v>-57752641</v>
      </c>
      <c r="N755">
        <v>-240360813</v>
      </c>
      <c r="O755">
        <v>-533457757</v>
      </c>
      <c r="P755">
        <v>458</v>
      </c>
      <c r="Q755" t="s">
        <v>1554</v>
      </c>
    </row>
    <row r="756" spans="1:17" x14ac:dyDescent="0.3">
      <c r="A756" t="s">
        <v>17</v>
      </c>
      <c r="B756" t="str">
        <f>"600863"</f>
        <v>600863</v>
      </c>
      <c r="C756" t="s">
        <v>1555</v>
      </c>
      <c r="D756" t="s">
        <v>41</v>
      </c>
      <c r="F756">
        <v>2085732988</v>
      </c>
      <c r="G756">
        <v>2761766155</v>
      </c>
      <c r="H756">
        <v>1139161099</v>
      </c>
      <c r="I756">
        <v>2156120180</v>
      </c>
      <c r="J756">
        <v>1890825676</v>
      </c>
      <c r="K756">
        <v>332990822</v>
      </c>
      <c r="L756">
        <v>1215146225</v>
      </c>
      <c r="M756">
        <v>2152233181</v>
      </c>
      <c r="N756">
        <v>2993799631</v>
      </c>
      <c r="O756">
        <v>1523118029</v>
      </c>
      <c r="P756">
        <v>310</v>
      </c>
      <c r="Q756" t="s">
        <v>1556</v>
      </c>
    </row>
    <row r="757" spans="1:17" x14ac:dyDescent="0.3">
      <c r="A757" t="s">
        <v>17</v>
      </c>
      <c r="B757" t="str">
        <f>"600864"</f>
        <v>600864</v>
      </c>
      <c r="C757" t="s">
        <v>1557</v>
      </c>
      <c r="D757" t="s">
        <v>75</v>
      </c>
      <c r="F757">
        <v>784390370</v>
      </c>
      <c r="G757">
        <v>3265708558</v>
      </c>
      <c r="H757">
        <v>3270571499</v>
      </c>
      <c r="I757">
        <v>2901641282</v>
      </c>
      <c r="J757">
        <v>-9481558091</v>
      </c>
      <c r="K757">
        <v>-9560092095</v>
      </c>
      <c r="L757">
        <v>-118405327</v>
      </c>
      <c r="M757">
        <v>-68287932</v>
      </c>
      <c r="N757">
        <v>8503069</v>
      </c>
      <c r="O757">
        <v>-272989671</v>
      </c>
      <c r="P757">
        <v>412</v>
      </c>
      <c r="Q757" t="s">
        <v>1558</v>
      </c>
    </row>
    <row r="758" spans="1:17" x14ac:dyDescent="0.3">
      <c r="A758" t="s">
        <v>17</v>
      </c>
      <c r="B758" t="str">
        <f>"600865"</f>
        <v>600865</v>
      </c>
      <c r="C758" t="s">
        <v>1559</v>
      </c>
      <c r="D758" t="s">
        <v>120</v>
      </c>
      <c r="F758">
        <v>78393910</v>
      </c>
      <c r="G758">
        <v>98648928</v>
      </c>
      <c r="H758">
        <v>107453400</v>
      </c>
      <c r="I758">
        <v>87416511</v>
      </c>
      <c r="J758">
        <v>85003042</v>
      </c>
      <c r="K758">
        <v>124353048</v>
      </c>
      <c r="L758">
        <v>43010942</v>
      </c>
      <c r="M758">
        <v>84870260</v>
      </c>
      <c r="N758">
        <v>686315378</v>
      </c>
      <c r="O758">
        <v>189733575</v>
      </c>
      <c r="P758">
        <v>123</v>
      </c>
      <c r="Q758" t="s">
        <v>1560</v>
      </c>
    </row>
    <row r="759" spans="1:17" x14ac:dyDescent="0.3">
      <c r="A759" t="s">
        <v>17</v>
      </c>
      <c r="B759" t="str">
        <f>"600866"</f>
        <v>600866</v>
      </c>
      <c r="C759" t="s">
        <v>1561</v>
      </c>
      <c r="D759" t="s">
        <v>133</v>
      </c>
      <c r="F759">
        <v>11025139</v>
      </c>
      <c r="G759">
        <v>-39193923</v>
      </c>
      <c r="H759">
        <v>55761181</v>
      </c>
      <c r="I759">
        <v>18188165</v>
      </c>
      <c r="J759">
        <v>2246258</v>
      </c>
      <c r="K759">
        <v>43348853</v>
      </c>
      <c r="L759">
        <v>-100357610</v>
      </c>
      <c r="M759">
        <v>-68148642</v>
      </c>
      <c r="N759">
        <v>4515929</v>
      </c>
      <c r="O759">
        <v>-565679118</v>
      </c>
      <c r="P759">
        <v>143</v>
      </c>
      <c r="Q759" t="s">
        <v>1562</v>
      </c>
    </row>
    <row r="760" spans="1:17" x14ac:dyDescent="0.3">
      <c r="A760" t="s">
        <v>17</v>
      </c>
      <c r="B760" t="str">
        <f>"600867"</f>
        <v>600867</v>
      </c>
      <c r="C760" t="s">
        <v>1563</v>
      </c>
      <c r="D760" t="s">
        <v>113</v>
      </c>
      <c r="F760">
        <v>554173895</v>
      </c>
      <c r="G760">
        <v>713976291</v>
      </c>
      <c r="H760">
        <v>859062848</v>
      </c>
      <c r="I760">
        <v>109230490</v>
      </c>
      <c r="J760">
        <v>775856435</v>
      </c>
      <c r="K760">
        <v>314764791</v>
      </c>
      <c r="L760">
        <v>-105479657</v>
      </c>
      <c r="M760">
        <v>99848502</v>
      </c>
      <c r="N760">
        <v>91308849</v>
      </c>
      <c r="O760">
        <v>-47441325</v>
      </c>
      <c r="P760">
        <v>2957</v>
      </c>
      <c r="Q760" t="s">
        <v>1564</v>
      </c>
    </row>
    <row r="761" spans="1:17" x14ac:dyDescent="0.3">
      <c r="A761" t="s">
        <v>17</v>
      </c>
      <c r="B761" t="str">
        <f>"600868"</f>
        <v>600868</v>
      </c>
      <c r="C761" t="s">
        <v>1565</v>
      </c>
      <c r="D761" t="s">
        <v>41</v>
      </c>
      <c r="F761">
        <v>-22854292</v>
      </c>
      <c r="G761">
        <v>87569317</v>
      </c>
      <c r="H761">
        <v>144869860</v>
      </c>
      <c r="I761">
        <v>27851942</v>
      </c>
      <c r="J761">
        <v>59237842</v>
      </c>
      <c r="K761">
        <v>158476265</v>
      </c>
      <c r="L761">
        <v>81201691</v>
      </c>
      <c r="M761">
        <v>67756969</v>
      </c>
      <c r="N761">
        <v>193488814</v>
      </c>
      <c r="O761">
        <v>134663109</v>
      </c>
      <c r="P761">
        <v>125</v>
      </c>
      <c r="Q761" t="s">
        <v>1566</v>
      </c>
    </row>
    <row r="762" spans="1:17" x14ac:dyDescent="0.3">
      <c r="A762" t="s">
        <v>17</v>
      </c>
      <c r="B762" t="str">
        <f>"600869"</f>
        <v>600869</v>
      </c>
      <c r="C762" t="s">
        <v>1567</v>
      </c>
      <c r="D762" t="s">
        <v>188</v>
      </c>
      <c r="F762">
        <v>844957780</v>
      </c>
      <c r="G762">
        <v>1160912794</v>
      </c>
      <c r="H762">
        <v>1767741393</v>
      </c>
      <c r="I762">
        <v>162239234</v>
      </c>
      <c r="J762">
        <v>-1196475296</v>
      </c>
      <c r="K762">
        <v>-347560636</v>
      </c>
      <c r="L762">
        <v>1252928718</v>
      </c>
      <c r="M762">
        <v>376625219</v>
      </c>
      <c r="N762">
        <v>-202289126</v>
      </c>
      <c r="O762">
        <v>724006416</v>
      </c>
      <c r="P762">
        <v>207</v>
      </c>
      <c r="Q762" t="s">
        <v>1568</v>
      </c>
    </row>
    <row r="763" spans="1:17" x14ac:dyDescent="0.3">
      <c r="A763" t="s">
        <v>17</v>
      </c>
      <c r="B763" t="str">
        <f>"600870"</f>
        <v>600870</v>
      </c>
      <c r="C763" t="s">
        <v>1569</v>
      </c>
      <c r="D763" t="s">
        <v>120</v>
      </c>
      <c r="F763">
        <v>-75812043</v>
      </c>
      <c r="G763">
        <v>-1433531</v>
      </c>
      <c r="H763">
        <v>-6704275</v>
      </c>
      <c r="I763">
        <v>8311131</v>
      </c>
      <c r="J763">
        <v>-36076843</v>
      </c>
      <c r="K763">
        <v>-4704923</v>
      </c>
      <c r="L763">
        <v>45068998</v>
      </c>
      <c r="M763">
        <v>-73884289</v>
      </c>
      <c r="N763">
        <v>-843041</v>
      </c>
      <c r="O763">
        <v>-193316217</v>
      </c>
      <c r="P763">
        <v>55</v>
      </c>
      <c r="Q763" t="s">
        <v>1570</v>
      </c>
    </row>
    <row r="764" spans="1:17" x14ac:dyDescent="0.3">
      <c r="A764" t="s">
        <v>17</v>
      </c>
      <c r="B764" t="str">
        <f>"600871"</f>
        <v>600871</v>
      </c>
      <c r="C764" t="s">
        <v>1571</v>
      </c>
      <c r="D764" t="s">
        <v>70</v>
      </c>
      <c r="F764">
        <v>2949724000</v>
      </c>
      <c r="G764">
        <v>2869811000</v>
      </c>
      <c r="H764">
        <v>-1664606000</v>
      </c>
      <c r="I764">
        <v>-4108178000</v>
      </c>
      <c r="J764">
        <v>-593319000</v>
      </c>
      <c r="K764">
        <v>-5118329000</v>
      </c>
      <c r="L764">
        <v>-1251498000</v>
      </c>
      <c r="M764">
        <v>2627105000</v>
      </c>
      <c r="N764">
        <v>-1220098000</v>
      </c>
      <c r="O764">
        <v>-1624696000</v>
      </c>
      <c r="P764">
        <v>172</v>
      </c>
      <c r="Q764" t="s">
        <v>1572</v>
      </c>
    </row>
    <row r="765" spans="1:17" x14ac:dyDescent="0.3">
      <c r="A765" t="s">
        <v>17</v>
      </c>
      <c r="B765" t="str">
        <f>"600872"</f>
        <v>600872</v>
      </c>
      <c r="C765" t="s">
        <v>1573</v>
      </c>
      <c r="D765" t="s">
        <v>123</v>
      </c>
      <c r="F765">
        <v>846282242</v>
      </c>
      <c r="G765">
        <v>674361398</v>
      </c>
      <c r="H765">
        <v>826492130</v>
      </c>
      <c r="I765">
        <v>477470997</v>
      </c>
      <c r="J765">
        <v>444569651</v>
      </c>
      <c r="K765">
        <v>515875405</v>
      </c>
      <c r="L765">
        <v>242040258</v>
      </c>
      <c r="M765">
        <v>-1028278</v>
      </c>
      <c r="N765">
        <v>-250800221</v>
      </c>
      <c r="O765">
        <v>-17773094</v>
      </c>
      <c r="P765">
        <v>2531</v>
      </c>
      <c r="Q765" t="s">
        <v>1574</v>
      </c>
    </row>
    <row r="766" spans="1:17" x14ac:dyDescent="0.3">
      <c r="A766" t="s">
        <v>17</v>
      </c>
      <c r="B766" t="str">
        <f>"600873"</f>
        <v>600873</v>
      </c>
      <c r="C766" t="s">
        <v>1575</v>
      </c>
      <c r="D766" t="s">
        <v>123</v>
      </c>
      <c r="F766">
        <v>2772673451</v>
      </c>
      <c r="G766">
        <v>875086555</v>
      </c>
      <c r="H766">
        <v>1656078840</v>
      </c>
      <c r="I766">
        <v>568975805</v>
      </c>
      <c r="J766">
        <v>1051361471</v>
      </c>
      <c r="K766">
        <v>2748597534</v>
      </c>
      <c r="L766">
        <v>3007686524</v>
      </c>
      <c r="M766">
        <v>-53984851</v>
      </c>
      <c r="N766">
        <v>-64405551</v>
      </c>
      <c r="O766">
        <v>-1857662589</v>
      </c>
      <c r="P766">
        <v>992</v>
      </c>
      <c r="Q766" t="s">
        <v>1576</v>
      </c>
    </row>
    <row r="767" spans="1:17" x14ac:dyDescent="0.3">
      <c r="A767" t="s">
        <v>17</v>
      </c>
      <c r="B767" t="str">
        <f>"600874"</f>
        <v>600874</v>
      </c>
      <c r="C767" t="s">
        <v>1577</v>
      </c>
      <c r="D767" t="s">
        <v>33</v>
      </c>
      <c r="F767">
        <v>102353000</v>
      </c>
      <c r="G767">
        <v>-1010259000</v>
      </c>
      <c r="H767">
        <v>-1118548000</v>
      </c>
      <c r="I767">
        <v>-1132630000</v>
      </c>
      <c r="J767">
        <v>51691000</v>
      </c>
      <c r="K767">
        <v>-57407000</v>
      </c>
      <c r="L767">
        <v>1842129000</v>
      </c>
      <c r="M767">
        <v>-22864000</v>
      </c>
      <c r="N767">
        <v>-167568000</v>
      </c>
      <c r="O767">
        <v>-130870000</v>
      </c>
      <c r="P767">
        <v>201</v>
      </c>
      <c r="Q767" t="s">
        <v>1578</v>
      </c>
    </row>
    <row r="768" spans="1:17" x14ac:dyDescent="0.3">
      <c r="A768" t="s">
        <v>17</v>
      </c>
      <c r="B768" t="str">
        <f>"600875"</f>
        <v>600875</v>
      </c>
      <c r="C768" t="s">
        <v>1579</v>
      </c>
      <c r="D768" t="s">
        <v>188</v>
      </c>
      <c r="F768">
        <v>-4956294547</v>
      </c>
      <c r="G768">
        <v>-3283310203</v>
      </c>
      <c r="H768">
        <v>-429840252</v>
      </c>
      <c r="I768">
        <v>-712383356</v>
      </c>
      <c r="J768">
        <v>276259196</v>
      </c>
      <c r="K768">
        <v>8698794255</v>
      </c>
      <c r="L768">
        <v>3802794636</v>
      </c>
      <c r="M768">
        <v>2166697116</v>
      </c>
      <c r="N768">
        <v>2235636276</v>
      </c>
      <c r="O768">
        <v>-1346914463</v>
      </c>
      <c r="P768">
        <v>483</v>
      </c>
      <c r="Q768" t="s">
        <v>1580</v>
      </c>
    </row>
    <row r="769" spans="1:17" x14ac:dyDescent="0.3">
      <c r="A769" t="s">
        <v>17</v>
      </c>
      <c r="B769" t="str">
        <f>"600876"</f>
        <v>600876</v>
      </c>
      <c r="C769" t="s">
        <v>1581</v>
      </c>
      <c r="D769" t="s">
        <v>350</v>
      </c>
      <c r="F769">
        <v>-1551678067</v>
      </c>
      <c r="G769">
        <v>116323075</v>
      </c>
      <c r="H769">
        <v>-243377202</v>
      </c>
      <c r="I769">
        <v>-393749927</v>
      </c>
      <c r="J769">
        <v>12440687</v>
      </c>
      <c r="K769">
        <v>-25301403</v>
      </c>
      <c r="L769">
        <v>-157066198</v>
      </c>
      <c r="M769">
        <v>-6506614</v>
      </c>
      <c r="N769">
        <v>-19155957</v>
      </c>
      <c r="O769">
        <v>18335973</v>
      </c>
      <c r="P769">
        <v>175</v>
      </c>
      <c r="Q769" t="s">
        <v>1582</v>
      </c>
    </row>
    <row r="770" spans="1:17" x14ac:dyDescent="0.3">
      <c r="A770" t="s">
        <v>17</v>
      </c>
      <c r="B770" t="str">
        <f>"600877"</f>
        <v>600877</v>
      </c>
      <c r="C770" t="s">
        <v>1583</v>
      </c>
      <c r="D770" t="s">
        <v>188</v>
      </c>
      <c r="F770">
        <v>-69936677</v>
      </c>
      <c r="G770">
        <v>61665989</v>
      </c>
      <c r="H770">
        <v>29497060</v>
      </c>
      <c r="I770">
        <v>-85044852</v>
      </c>
      <c r="J770">
        <v>221311153</v>
      </c>
      <c r="K770">
        <v>-178880935</v>
      </c>
      <c r="L770">
        <v>-163765051</v>
      </c>
      <c r="M770">
        <v>326946474</v>
      </c>
      <c r="N770">
        <v>68785749</v>
      </c>
      <c r="O770">
        <v>-18164411</v>
      </c>
      <c r="P770">
        <v>121</v>
      </c>
      <c r="Q770" t="s">
        <v>1584</v>
      </c>
    </row>
    <row r="771" spans="1:17" x14ac:dyDescent="0.3">
      <c r="A771" t="s">
        <v>17</v>
      </c>
      <c r="B771" t="str">
        <f>"600878"</f>
        <v>600878</v>
      </c>
      <c r="C771" t="s">
        <v>1585</v>
      </c>
      <c r="K771">
        <v>-13232448.42</v>
      </c>
      <c r="P771">
        <v>2</v>
      </c>
      <c r="Q771" t="s">
        <v>1586</v>
      </c>
    </row>
    <row r="772" spans="1:17" x14ac:dyDescent="0.3">
      <c r="A772" t="s">
        <v>17</v>
      </c>
      <c r="B772" t="str">
        <f>"600879"</f>
        <v>600879</v>
      </c>
      <c r="C772" t="s">
        <v>1587</v>
      </c>
      <c r="D772" t="s">
        <v>92</v>
      </c>
      <c r="F772">
        <v>-209682188</v>
      </c>
      <c r="G772">
        <v>27462624</v>
      </c>
      <c r="H772">
        <v>-266658882</v>
      </c>
      <c r="I772">
        <v>-757023534</v>
      </c>
      <c r="J772">
        <v>-1138886595</v>
      </c>
      <c r="K772">
        <v>-622945903</v>
      </c>
      <c r="L772">
        <v>-196908401</v>
      </c>
      <c r="M772">
        <v>-151569073</v>
      </c>
      <c r="N772">
        <v>-432656910</v>
      </c>
      <c r="O772">
        <v>-380477883</v>
      </c>
      <c r="P772">
        <v>359</v>
      </c>
      <c r="Q772" t="s">
        <v>1588</v>
      </c>
    </row>
    <row r="773" spans="1:17" x14ac:dyDescent="0.3">
      <c r="A773" t="s">
        <v>17</v>
      </c>
      <c r="B773" t="str">
        <f>"600880"</f>
        <v>600880</v>
      </c>
      <c r="C773" t="s">
        <v>1589</v>
      </c>
      <c r="D773" t="s">
        <v>110</v>
      </c>
      <c r="F773">
        <v>56054448</v>
      </c>
      <c r="G773">
        <v>71741003</v>
      </c>
      <c r="H773">
        <v>-12803160</v>
      </c>
      <c r="I773">
        <v>-78089833</v>
      </c>
      <c r="J773">
        <v>-184324731</v>
      </c>
      <c r="K773">
        <v>118390501</v>
      </c>
      <c r="L773">
        <v>289625009</v>
      </c>
      <c r="M773">
        <v>457305117</v>
      </c>
      <c r="N773">
        <v>182399306</v>
      </c>
      <c r="O773">
        <v>-249473198</v>
      </c>
      <c r="P773">
        <v>314</v>
      </c>
      <c r="Q773" t="s">
        <v>1590</v>
      </c>
    </row>
    <row r="774" spans="1:17" x14ac:dyDescent="0.3">
      <c r="A774" t="s">
        <v>17</v>
      </c>
      <c r="B774" t="str">
        <f>"600881"</f>
        <v>600881</v>
      </c>
      <c r="C774" t="s">
        <v>1591</v>
      </c>
      <c r="D774" t="s">
        <v>103</v>
      </c>
      <c r="F774">
        <v>-801138467</v>
      </c>
      <c r="G774">
        <v>3519161950</v>
      </c>
      <c r="H774">
        <v>-205197248</v>
      </c>
      <c r="I774">
        <v>2257468420</v>
      </c>
      <c r="J774">
        <v>5736756090</v>
      </c>
      <c r="K774">
        <v>2460681954</v>
      </c>
      <c r="L774">
        <v>2401875894</v>
      </c>
      <c r="M774">
        <v>-6438965050</v>
      </c>
      <c r="N774">
        <v>-2030953840</v>
      </c>
      <c r="O774">
        <v>-5325865546</v>
      </c>
      <c r="P774">
        <v>144</v>
      </c>
      <c r="Q774" t="s">
        <v>1592</v>
      </c>
    </row>
    <row r="775" spans="1:17" x14ac:dyDescent="0.3">
      <c r="A775" t="s">
        <v>17</v>
      </c>
      <c r="B775" t="str">
        <f>"600882"</f>
        <v>600882</v>
      </c>
      <c r="C775" t="s">
        <v>1593</v>
      </c>
      <c r="D775" t="s">
        <v>123</v>
      </c>
      <c r="F775">
        <v>-179039309</v>
      </c>
      <c r="G775">
        <v>-89010163</v>
      </c>
      <c r="H775">
        <v>169473666</v>
      </c>
      <c r="I775">
        <v>-38390619</v>
      </c>
      <c r="J775">
        <v>-193268534</v>
      </c>
      <c r="K775">
        <v>-266144137</v>
      </c>
      <c r="L775">
        <v>160207845</v>
      </c>
      <c r="M775">
        <v>229555956</v>
      </c>
      <c r="N775">
        <v>238081862</v>
      </c>
      <c r="O775">
        <v>224250962</v>
      </c>
      <c r="P775">
        <v>515</v>
      </c>
      <c r="Q775" t="s">
        <v>1594</v>
      </c>
    </row>
    <row r="776" spans="1:17" x14ac:dyDescent="0.3">
      <c r="A776" t="s">
        <v>17</v>
      </c>
      <c r="B776" t="str">
        <f>"600883"</f>
        <v>600883</v>
      </c>
      <c r="C776" t="s">
        <v>1595</v>
      </c>
      <c r="D776" t="s">
        <v>350</v>
      </c>
      <c r="F776">
        <v>-8319117</v>
      </c>
      <c r="G776">
        <v>-17350852</v>
      </c>
      <c r="H776">
        <v>-7257783</v>
      </c>
      <c r="I776">
        <v>-24318939</v>
      </c>
      <c r="J776">
        <v>-19854350</v>
      </c>
      <c r="K776">
        <v>-45694158</v>
      </c>
      <c r="L776">
        <v>-25226204</v>
      </c>
      <c r="M776">
        <v>-2395685</v>
      </c>
      <c r="N776">
        <v>-3539598</v>
      </c>
      <c r="O776">
        <v>1288551</v>
      </c>
      <c r="P776">
        <v>78</v>
      </c>
      <c r="Q776" t="s">
        <v>1596</v>
      </c>
    </row>
    <row r="777" spans="1:17" x14ac:dyDescent="0.3">
      <c r="A777" t="s">
        <v>17</v>
      </c>
      <c r="B777" t="str">
        <f>"600884"</f>
        <v>600884</v>
      </c>
      <c r="C777" t="s">
        <v>1597</v>
      </c>
      <c r="D777" t="s">
        <v>188</v>
      </c>
      <c r="F777">
        <v>-1707943147</v>
      </c>
      <c r="G777">
        <v>-280549925</v>
      </c>
      <c r="H777">
        <v>-1004791315</v>
      </c>
      <c r="I777">
        <v>-1143998338</v>
      </c>
      <c r="J777">
        <v>-1709384322</v>
      </c>
      <c r="K777">
        <v>-1691489105</v>
      </c>
      <c r="L777">
        <v>-835293898</v>
      </c>
      <c r="M777">
        <v>-748162704</v>
      </c>
      <c r="N777">
        <v>-265440294</v>
      </c>
      <c r="O777">
        <v>-214372051</v>
      </c>
      <c r="P777">
        <v>758</v>
      </c>
      <c r="Q777" t="s">
        <v>1598</v>
      </c>
    </row>
    <row r="778" spans="1:17" x14ac:dyDescent="0.3">
      <c r="A778" t="s">
        <v>17</v>
      </c>
      <c r="B778" t="str">
        <f>"600885"</f>
        <v>600885</v>
      </c>
      <c r="C778" t="s">
        <v>1599</v>
      </c>
      <c r="D778" t="s">
        <v>188</v>
      </c>
      <c r="F778">
        <v>-11551535</v>
      </c>
      <c r="G778">
        <v>99745783</v>
      </c>
      <c r="H778">
        <v>940365838</v>
      </c>
      <c r="I778">
        <v>2316021</v>
      </c>
      <c r="J778">
        <v>-16973650</v>
      </c>
      <c r="K778">
        <v>-31248605</v>
      </c>
      <c r="L778">
        <v>112587284</v>
      </c>
      <c r="M778">
        <v>-49952362</v>
      </c>
      <c r="N778">
        <v>259940142</v>
      </c>
      <c r="O778">
        <v>239220067</v>
      </c>
      <c r="P778">
        <v>13110</v>
      </c>
      <c r="Q778" t="s">
        <v>1600</v>
      </c>
    </row>
    <row r="779" spans="1:17" x14ac:dyDescent="0.3">
      <c r="A779" t="s">
        <v>17</v>
      </c>
      <c r="B779" t="str">
        <f>"600886"</f>
        <v>600886</v>
      </c>
      <c r="C779" t="s">
        <v>1601</v>
      </c>
      <c r="D779" t="s">
        <v>41</v>
      </c>
      <c r="F779">
        <v>5389308594</v>
      </c>
      <c r="G779">
        <v>10554809584</v>
      </c>
      <c r="H779">
        <v>10317441470</v>
      </c>
      <c r="I779">
        <v>8994375557</v>
      </c>
      <c r="J779">
        <v>6496841904</v>
      </c>
      <c r="K779">
        <v>1757720897</v>
      </c>
      <c r="L779">
        <v>6565963203</v>
      </c>
      <c r="M779">
        <v>6947218770</v>
      </c>
      <c r="N779">
        <v>-831382131</v>
      </c>
      <c r="O779">
        <v>-10984702805</v>
      </c>
      <c r="P779">
        <v>2022</v>
      </c>
      <c r="Q779" t="s">
        <v>1602</v>
      </c>
    </row>
    <row r="780" spans="1:17" x14ac:dyDescent="0.3">
      <c r="A780" t="s">
        <v>17</v>
      </c>
      <c r="B780" t="str">
        <f>"600887"</f>
        <v>600887</v>
      </c>
      <c r="C780" t="s">
        <v>1603</v>
      </c>
      <c r="D780" t="s">
        <v>123</v>
      </c>
      <c r="F780">
        <v>8883562498</v>
      </c>
      <c r="G780">
        <v>3351406795</v>
      </c>
      <c r="H780">
        <v>-753138713</v>
      </c>
      <c r="I780">
        <v>3581339861</v>
      </c>
      <c r="J780">
        <v>3727739770</v>
      </c>
      <c r="K780">
        <v>9421194505</v>
      </c>
      <c r="L780">
        <v>5910728860</v>
      </c>
      <c r="M780">
        <v>-1495061290</v>
      </c>
      <c r="N780">
        <v>2292835439</v>
      </c>
      <c r="O780">
        <v>-673530010</v>
      </c>
      <c r="P780">
        <v>72805</v>
      </c>
      <c r="Q780" t="s">
        <v>1604</v>
      </c>
    </row>
    <row r="781" spans="1:17" x14ac:dyDescent="0.3">
      <c r="A781" t="s">
        <v>17</v>
      </c>
      <c r="B781" t="str">
        <f>"600888"</f>
        <v>600888</v>
      </c>
      <c r="C781" t="s">
        <v>1605</v>
      </c>
      <c r="D781" t="s">
        <v>234</v>
      </c>
      <c r="F781">
        <v>491923640</v>
      </c>
      <c r="G781">
        <v>62831194</v>
      </c>
      <c r="H781">
        <v>-121409882</v>
      </c>
      <c r="I781">
        <v>278655954</v>
      </c>
      <c r="J781">
        <v>37134966</v>
      </c>
      <c r="K781">
        <v>-83295310</v>
      </c>
      <c r="L781">
        <v>293421927</v>
      </c>
      <c r="M781">
        <v>267058435</v>
      </c>
      <c r="N781">
        <v>-217404135</v>
      </c>
      <c r="O781">
        <v>-1052556999</v>
      </c>
      <c r="P781">
        <v>183</v>
      </c>
      <c r="Q781" t="s">
        <v>1606</v>
      </c>
    </row>
    <row r="782" spans="1:17" x14ac:dyDescent="0.3">
      <c r="A782" t="s">
        <v>17</v>
      </c>
      <c r="B782" t="str">
        <f>"600889"</f>
        <v>600889</v>
      </c>
      <c r="C782" t="s">
        <v>1607</v>
      </c>
      <c r="D782" t="s">
        <v>133</v>
      </c>
      <c r="F782">
        <v>-285835997</v>
      </c>
      <c r="G782">
        <v>-110826027</v>
      </c>
      <c r="H782">
        <v>-98850149</v>
      </c>
      <c r="I782">
        <v>-113887194</v>
      </c>
      <c r="J782">
        <v>-183694561</v>
      </c>
      <c r="K782">
        <v>348287154</v>
      </c>
      <c r="L782">
        <v>48515564</v>
      </c>
      <c r="M782">
        <v>139460336</v>
      </c>
      <c r="N782">
        <v>384766488</v>
      </c>
      <c r="O782">
        <v>44548005</v>
      </c>
      <c r="P782">
        <v>77</v>
      </c>
      <c r="Q782" t="s">
        <v>1608</v>
      </c>
    </row>
    <row r="783" spans="1:17" x14ac:dyDescent="0.3">
      <c r="A783" t="s">
        <v>17</v>
      </c>
      <c r="B783" t="str">
        <f>"600890"</f>
        <v>600890</v>
      </c>
      <c r="C783" t="s">
        <v>1609</v>
      </c>
      <c r="D783" t="s">
        <v>30</v>
      </c>
      <c r="F783">
        <v>-31163753</v>
      </c>
      <c r="G783">
        <v>-77107704</v>
      </c>
      <c r="H783">
        <v>84909854</v>
      </c>
      <c r="I783">
        <v>-38778009</v>
      </c>
      <c r="J783">
        <v>31311511</v>
      </c>
      <c r="K783">
        <v>-39341542</v>
      </c>
      <c r="L783">
        <v>-11017266</v>
      </c>
      <c r="M783">
        <v>-16175531</v>
      </c>
      <c r="N783">
        <v>45332822</v>
      </c>
      <c r="O783">
        <v>-7557036</v>
      </c>
      <c r="P783">
        <v>73</v>
      </c>
      <c r="Q783" t="s">
        <v>1610</v>
      </c>
    </row>
    <row r="784" spans="1:17" x14ac:dyDescent="0.3">
      <c r="A784" t="s">
        <v>17</v>
      </c>
      <c r="B784" t="str">
        <f>"600891"</f>
        <v>600891</v>
      </c>
      <c r="C784" t="s">
        <v>1611</v>
      </c>
      <c r="G784">
        <v>23266529</v>
      </c>
      <c r="H784">
        <v>33646187</v>
      </c>
      <c r="I784">
        <v>193851723</v>
      </c>
      <c r="J784">
        <v>-1678969463</v>
      </c>
      <c r="K784">
        <v>-163495335</v>
      </c>
      <c r="L784">
        <v>24812302</v>
      </c>
      <c r="M784">
        <v>-139546054</v>
      </c>
      <c r="N784">
        <v>110509386</v>
      </c>
      <c r="O784">
        <v>51763510</v>
      </c>
      <c r="P784">
        <v>45</v>
      </c>
      <c r="Q784" t="s">
        <v>1612</v>
      </c>
    </row>
    <row r="785" spans="1:17" x14ac:dyDescent="0.3">
      <c r="A785" t="s">
        <v>17</v>
      </c>
      <c r="B785" t="str">
        <f>"600892"</f>
        <v>600892</v>
      </c>
      <c r="C785" t="s">
        <v>1613</v>
      </c>
      <c r="D785" t="s">
        <v>89</v>
      </c>
      <c r="F785">
        <v>4632664</v>
      </c>
      <c r="G785">
        <v>89127634</v>
      </c>
      <c r="H785">
        <v>35763197</v>
      </c>
      <c r="I785">
        <v>-35645544</v>
      </c>
      <c r="J785">
        <v>45766992</v>
      </c>
      <c r="K785">
        <v>181344245</v>
      </c>
      <c r="L785">
        <v>-9013378</v>
      </c>
      <c r="M785">
        <v>95735669</v>
      </c>
      <c r="N785">
        <v>18896243</v>
      </c>
      <c r="O785">
        <v>-18620776</v>
      </c>
      <c r="P785">
        <v>85</v>
      </c>
      <c r="Q785" t="s">
        <v>1614</v>
      </c>
    </row>
    <row r="786" spans="1:17" x14ac:dyDescent="0.3">
      <c r="A786" t="s">
        <v>17</v>
      </c>
      <c r="B786" t="str">
        <f>"600893"</f>
        <v>600893</v>
      </c>
      <c r="C786" t="s">
        <v>1615</v>
      </c>
      <c r="D786" t="s">
        <v>92</v>
      </c>
      <c r="F786">
        <v>13753030006</v>
      </c>
      <c r="G786">
        <v>1026112992</v>
      </c>
      <c r="H786">
        <v>2648895826</v>
      </c>
      <c r="I786">
        <v>-523830762</v>
      </c>
      <c r="J786">
        <v>-1006637871</v>
      </c>
      <c r="K786">
        <v>-4216441002</v>
      </c>
      <c r="L786">
        <v>745771882</v>
      </c>
      <c r="M786">
        <v>-2174117560</v>
      </c>
      <c r="N786">
        <v>43837711</v>
      </c>
      <c r="O786">
        <v>-3112181</v>
      </c>
      <c r="P786">
        <v>1086</v>
      </c>
      <c r="Q786" t="s">
        <v>1616</v>
      </c>
    </row>
    <row r="787" spans="1:17" x14ac:dyDescent="0.3">
      <c r="A787" t="s">
        <v>17</v>
      </c>
      <c r="B787" t="str">
        <f>"600894"</f>
        <v>600894</v>
      </c>
      <c r="C787" t="s">
        <v>1617</v>
      </c>
      <c r="D787" t="s">
        <v>78</v>
      </c>
      <c r="F787">
        <v>-101828894</v>
      </c>
      <c r="G787">
        <v>362832489</v>
      </c>
      <c r="H787">
        <v>164303737</v>
      </c>
      <c r="I787">
        <v>143411079</v>
      </c>
      <c r="J787">
        <v>322987608</v>
      </c>
      <c r="K787">
        <v>402896811</v>
      </c>
      <c r="L787">
        <v>1874693789</v>
      </c>
      <c r="M787">
        <v>-23138814</v>
      </c>
      <c r="N787">
        <v>113937314</v>
      </c>
      <c r="O787">
        <v>480847350</v>
      </c>
      <c r="P787">
        <v>394</v>
      </c>
      <c r="Q787" t="s">
        <v>1618</v>
      </c>
    </row>
    <row r="788" spans="1:17" x14ac:dyDescent="0.3">
      <c r="A788" t="s">
        <v>17</v>
      </c>
      <c r="B788" t="str">
        <f>"600895"</f>
        <v>600895</v>
      </c>
      <c r="C788" t="s">
        <v>1619</v>
      </c>
      <c r="D788" t="s">
        <v>30</v>
      </c>
      <c r="F788">
        <v>-1418148202</v>
      </c>
      <c r="G788">
        <v>-376928409</v>
      </c>
      <c r="H788">
        <v>-6743934576</v>
      </c>
      <c r="I788">
        <v>307374175</v>
      </c>
      <c r="J788">
        <v>255475529</v>
      </c>
      <c r="K788">
        <v>408264396</v>
      </c>
      <c r="L788">
        <v>1448537841</v>
      </c>
      <c r="M788">
        <v>1395942630</v>
      </c>
      <c r="N788">
        <v>75880279</v>
      </c>
      <c r="O788">
        <v>778088823</v>
      </c>
      <c r="P788">
        <v>336</v>
      </c>
      <c r="Q788" t="s">
        <v>1620</v>
      </c>
    </row>
    <row r="789" spans="1:17" x14ac:dyDescent="0.3">
      <c r="A789" t="s">
        <v>17</v>
      </c>
      <c r="B789" t="str">
        <f>"600896"</f>
        <v>600896</v>
      </c>
      <c r="C789" t="s">
        <v>1621</v>
      </c>
      <c r="D789" t="s">
        <v>113</v>
      </c>
      <c r="F789">
        <v>-515341354</v>
      </c>
      <c r="G789">
        <v>-202525231</v>
      </c>
      <c r="H789">
        <v>-143398481</v>
      </c>
      <c r="I789">
        <v>-169086982</v>
      </c>
      <c r="J789">
        <v>-627614568</v>
      </c>
      <c r="K789">
        <v>1309626025</v>
      </c>
      <c r="L789">
        <v>191455599</v>
      </c>
      <c r="M789">
        <v>-84146440</v>
      </c>
      <c r="N789">
        <v>-208390796</v>
      </c>
      <c r="O789">
        <v>-1030516472</v>
      </c>
      <c r="P789">
        <v>93</v>
      </c>
      <c r="Q789" t="s">
        <v>1622</v>
      </c>
    </row>
    <row r="790" spans="1:17" x14ac:dyDescent="0.3">
      <c r="A790" t="s">
        <v>17</v>
      </c>
      <c r="B790" t="str">
        <f>"600897"</f>
        <v>600897</v>
      </c>
      <c r="C790" t="s">
        <v>1623</v>
      </c>
      <c r="D790" t="s">
        <v>22</v>
      </c>
      <c r="F790">
        <v>371939836</v>
      </c>
      <c r="G790">
        <v>403789676</v>
      </c>
      <c r="H790">
        <v>508629219</v>
      </c>
      <c r="I790">
        <v>769855429</v>
      </c>
      <c r="J790">
        <v>303587408</v>
      </c>
      <c r="K790">
        <v>-146059400</v>
      </c>
      <c r="L790">
        <v>393469576</v>
      </c>
      <c r="M790">
        <v>-523868801</v>
      </c>
      <c r="N790">
        <v>398392526</v>
      </c>
      <c r="O790">
        <v>232187415</v>
      </c>
      <c r="P790">
        <v>479</v>
      </c>
      <c r="Q790" t="s">
        <v>1624</v>
      </c>
    </row>
    <row r="791" spans="1:17" x14ac:dyDescent="0.3">
      <c r="A791" t="s">
        <v>17</v>
      </c>
      <c r="B791" t="str">
        <f>"600898"</f>
        <v>600898</v>
      </c>
      <c r="C791" t="s">
        <v>1625</v>
      </c>
      <c r="D791" t="s">
        <v>150</v>
      </c>
      <c r="F791">
        <v>-387735683</v>
      </c>
      <c r="G791">
        <v>12295283</v>
      </c>
      <c r="H791">
        <v>7635091</v>
      </c>
      <c r="I791">
        <v>-508277247</v>
      </c>
      <c r="J791">
        <v>-184325406</v>
      </c>
      <c r="K791">
        <v>-26176119</v>
      </c>
      <c r="L791">
        <v>-85813711</v>
      </c>
      <c r="M791">
        <v>-1611649</v>
      </c>
      <c r="N791">
        <v>52464326</v>
      </c>
      <c r="O791">
        <v>99505528</v>
      </c>
      <c r="P791">
        <v>57</v>
      </c>
      <c r="Q791" t="s">
        <v>1626</v>
      </c>
    </row>
    <row r="792" spans="1:17" x14ac:dyDescent="0.3">
      <c r="A792" t="s">
        <v>17</v>
      </c>
      <c r="B792" t="str">
        <f>"600900"</f>
        <v>600900</v>
      </c>
      <c r="C792" t="s">
        <v>1627</v>
      </c>
      <c r="D792" t="s">
        <v>41</v>
      </c>
      <c r="F792">
        <v>32280624469</v>
      </c>
      <c r="G792">
        <v>37420689897</v>
      </c>
      <c r="H792">
        <v>33759765780</v>
      </c>
      <c r="I792">
        <v>36618702875</v>
      </c>
      <c r="J792">
        <v>37141573534</v>
      </c>
      <c r="K792">
        <v>36761322455</v>
      </c>
      <c r="L792">
        <v>17293144564</v>
      </c>
      <c r="M792">
        <v>20496300110</v>
      </c>
      <c r="N792">
        <v>17332608384</v>
      </c>
      <c r="O792">
        <v>17397486221</v>
      </c>
      <c r="P792">
        <v>5904</v>
      </c>
      <c r="Q792" t="s">
        <v>1628</v>
      </c>
    </row>
    <row r="793" spans="1:17" x14ac:dyDescent="0.3">
      <c r="A793" t="s">
        <v>17</v>
      </c>
      <c r="B793" t="str">
        <f>"600901"</f>
        <v>600901</v>
      </c>
      <c r="C793" t="s">
        <v>1629</v>
      </c>
      <c r="D793" t="s">
        <v>75</v>
      </c>
      <c r="F793">
        <v>833723508</v>
      </c>
      <c r="G793">
        <v>-1123893219</v>
      </c>
      <c r="H793">
        <v>1179067702</v>
      </c>
      <c r="I793">
        <v>-7546066259</v>
      </c>
      <c r="J793">
        <v>1038516690</v>
      </c>
      <c r="K793">
        <v>-1416910661</v>
      </c>
      <c r="L793">
        <v>626295047</v>
      </c>
      <c r="M793">
        <v>-1580001483</v>
      </c>
      <c r="P793">
        <v>475</v>
      </c>
      <c r="Q793" t="s">
        <v>1630</v>
      </c>
    </row>
    <row r="794" spans="1:17" x14ac:dyDescent="0.3">
      <c r="A794" t="s">
        <v>17</v>
      </c>
      <c r="B794" t="str">
        <f>"600903"</f>
        <v>600903</v>
      </c>
      <c r="C794" t="s">
        <v>1631</v>
      </c>
      <c r="D794" t="s">
        <v>41</v>
      </c>
      <c r="F794">
        <v>-254184122</v>
      </c>
      <c r="G794">
        <v>-310821462</v>
      </c>
      <c r="H794">
        <v>-3698642</v>
      </c>
      <c r="I794">
        <v>-337323218</v>
      </c>
      <c r="J794">
        <v>-53091222</v>
      </c>
      <c r="K794">
        <v>-455188806</v>
      </c>
      <c r="L794">
        <v>-584227426</v>
      </c>
      <c r="M794">
        <v>-658241879</v>
      </c>
      <c r="P794">
        <v>186</v>
      </c>
      <c r="Q794" t="s">
        <v>1632</v>
      </c>
    </row>
    <row r="795" spans="1:17" x14ac:dyDescent="0.3">
      <c r="A795" t="s">
        <v>17</v>
      </c>
      <c r="B795" t="str">
        <f>"600905"</f>
        <v>600905</v>
      </c>
      <c r="C795" t="s">
        <v>1633</v>
      </c>
      <c r="D795" t="s">
        <v>41</v>
      </c>
      <c r="F795">
        <v>-21085578115</v>
      </c>
      <c r="G795">
        <v>-16223984108</v>
      </c>
      <c r="H795">
        <v>-8147054977</v>
      </c>
      <c r="I795">
        <v>-5542311626</v>
      </c>
      <c r="J795">
        <v>-2199431550</v>
      </c>
      <c r="P795">
        <v>659</v>
      </c>
      <c r="Q795" t="s">
        <v>1634</v>
      </c>
    </row>
    <row r="796" spans="1:17" x14ac:dyDescent="0.3">
      <c r="A796" t="s">
        <v>17</v>
      </c>
      <c r="B796" t="str">
        <f>"600906"</f>
        <v>600906</v>
      </c>
      <c r="C796" t="s">
        <v>1635</v>
      </c>
      <c r="D796" t="s">
        <v>75</v>
      </c>
      <c r="F796">
        <v>-190481309</v>
      </c>
      <c r="G796">
        <v>871845305</v>
      </c>
      <c r="H796">
        <v>3774893752</v>
      </c>
      <c r="I796">
        <v>-3572041075</v>
      </c>
      <c r="J796">
        <v>-1717736330</v>
      </c>
      <c r="P796">
        <v>131</v>
      </c>
      <c r="Q796" t="s">
        <v>1636</v>
      </c>
    </row>
    <row r="797" spans="1:17" x14ac:dyDescent="0.3">
      <c r="A797" t="s">
        <v>17</v>
      </c>
      <c r="B797" t="str">
        <f>"600908"</f>
        <v>600908</v>
      </c>
      <c r="C797" t="s">
        <v>1637</v>
      </c>
      <c r="D797" t="s">
        <v>19</v>
      </c>
      <c r="F797">
        <v>6992757000</v>
      </c>
      <c r="G797">
        <v>9256451000</v>
      </c>
      <c r="H797">
        <v>3855636000</v>
      </c>
      <c r="I797">
        <v>-4113251000</v>
      </c>
      <c r="J797">
        <v>6111104000</v>
      </c>
      <c r="K797">
        <v>2916636000</v>
      </c>
      <c r="L797">
        <v>11445283000</v>
      </c>
      <c r="M797">
        <v>8733342000</v>
      </c>
      <c r="N797">
        <v>-1622038000</v>
      </c>
      <c r="O797">
        <v>4051519000</v>
      </c>
      <c r="P797">
        <v>897</v>
      </c>
      <c r="Q797" t="s">
        <v>1638</v>
      </c>
    </row>
    <row r="798" spans="1:17" x14ac:dyDescent="0.3">
      <c r="A798" t="s">
        <v>17</v>
      </c>
      <c r="B798" t="str">
        <f>"600909"</f>
        <v>600909</v>
      </c>
      <c r="C798" t="s">
        <v>1639</v>
      </c>
      <c r="D798" t="s">
        <v>75</v>
      </c>
      <c r="F798">
        <v>-227079007</v>
      </c>
      <c r="G798">
        <v>-1172229604</v>
      </c>
      <c r="H798">
        <v>3450074967</v>
      </c>
      <c r="I798">
        <v>516400743</v>
      </c>
      <c r="J798">
        <v>-4158518269</v>
      </c>
      <c r="K798">
        <v>-7960077194</v>
      </c>
      <c r="L798">
        <v>3571127362</v>
      </c>
      <c r="M798">
        <v>4934649029</v>
      </c>
      <c r="N798">
        <v>-567566727</v>
      </c>
      <c r="O798">
        <v>-499425787.54000002</v>
      </c>
      <c r="P798">
        <v>832</v>
      </c>
      <c r="Q798" t="s">
        <v>1640</v>
      </c>
    </row>
    <row r="799" spans="1:17" x14ac:dyDescent="0.3">
      <c r="A799" t="s">
        <v>17</v>
      </c>
      <c r="B799" t="str">
        <f>"600916"</f>
        <v>600916</v>
      </c>
      <c r="C799" t="s">
        <v>1641</v>
      </c>
      <c r="D799" t="s">
        <v>227</v>
      </c>
      <c r="F799">
        <v>782869531</v>
      </c>
      <c r="G799">
        <v>533666632</v>
      </c>
      <c r="H799">
        <v>458572708</v>
      </c>
      <c r="I799">
        <v>-78210846</v>
      </c>
      <c r="J799">
        <v>349006011</v>
      </c>
      <c r="P799">
        <v>97</v>
      </c>
      <c r="Q799" t="s">
        <v>1642</v>
      </c>
    </row>
    <row r="800" spans="1:17" x14ac:dyDescent="0.3">
      <c r="A800" t="s">
        <v>17</v>
      </c>
      <c r="B800" t="str">
        <f>"600917"</f>
        <v>600917</v>
      </c>
      <c r="C800" t="s">
        <v>1643</v>
      </c>
      <c r="D800" t="s">
        <v>41</v>
      </c>
      <c r="F800">
        <v>143025718</v>
      </c>
      <c r="G800">
        <v>161685260</v>
      </c>
      <c r="H800">
        <v>32105413</v>
      </c>
      <c r="I800">
        <v>105711066</v>
      </c>
      <c r="J800">
        <v>-12517690</v>
      </c>
      <c r="K800">
        <v>140172803</v>
      </c>
      <c r="L800">
        <v>67611619</v>
      </c>
      <c r="M800">
        <v>60982834</v>
      </c>
      <c r="N800">
        <v>136656980</v>
      </c>
      <c r="O800">
        <v>186648214</v>
      </c>
      <c r="P800">
        <v>176</v>
      </c>
      <c r="Q800" t="s">
        <v>1644</v>
      </c>
    </row>
    <row r="801" spans="1:17" x14ac:dyDescent="0.3">
      <c r="A801" t="s">
        <v>17</v>
      </c>
      <c r="B801" t="str">
        <f>"600918"</f>
        <v>600918</v>
      </c>
      <c r="C801" t="s">
        <v>1645</v>
      </c>
      <c r="D801" t="s">
        <v>75</v>
      </c>
      <c r="F801">
        <v>-203562811</v>
      </c>
      <c r="G801">
        <v>1975032616</v>
      </c>
      <c r="H801">
        <v>10992981865</v>
      </c>
      <c r="I801">
        <v>7391528698</v>
      </c>
      <c r="J801">
        <v>-29525055873</v>
      </c>
      <c r="K801">
        <v>-2807786507</v>
      </c>
      <c r="L801">
        <v>3495890613</v>
      </c>
      <c r="M801">
        <v>15335216500</v>
      </c>
      <c r="N801">
        <v>-4362303800</v>
      </c>
      <c r="O801">
        <v>-1949095600</v>
      </c>
      <c r="P801">
        <v>568</v>
      </c>
      <c r="Q801" t="s">
        <v>1646</v>
      </c>
    </row>
    <row r="802" spans="1:17" x14ac:dyDescent="0.3">
      <c r="A802" t="s">
        <v>17</v>
      </c>
      <c r="B802" t="str">
        <f>"600919"</f>
        <v>600919</v>
      </c>
      <c r="C802" t="s">
        <v>1647</v>
      </c>
      <c r="D802" t="s">
        <v>19</v>
      </c>
      <c r="F802">
        <v>68998514000</v>
      </c>
      <c r="G802">
        <v>-19622208000</v>
      </c>
      <c r="H802">
        <v>-58659624000</v>
      </c>
      <c r="I802">
        <v>-92642278000</v>
      </c>
      <c r="J802">
        <v>-105703956000</v>
      </c>
      <c r="K802">
        <v>81744144000</v>
      </c>
      <c r="L802">
        <v>147438719000</v>
      </c>
      <c r="M802">
        <v>173875059000</v>
      </c>
      <c r="N802">
        <v>46770964000</v>
      </c>
      <c r="O802">
        <v>58662609000</v>
      </c>
      <c r="P802">
        <v>1465</v>
      </c>
      <c r="Q802" t="s">
        <v>1648</v>
      </c>
    </row>
    <row r="803" spans="1:17" x14ac:dyDescent="0.3">
      <c r="A803" t="s">
        <v>17</v>
      </c>
      <c r="B803" t="str">
        <f>"600926"</f>
        <v>600926</v>
      </c>
      <c r="C803" t="s">
        <v>1649</v>
      </c>
      <c r="D803" t="s">
        <v>19</v>
      </c>
      <c r="F803">
        <v>-56767282000</v>
      </c>
      <c r="G803">
        <v>17854020000</v>
      </c>
      <c r="H803">
        <v>44768620000</v>
      </c>
      <c r="I803">
        <v>12223323000</v>
      </c>
      <c r="J803">
        <v>63887951000</v>
      </c>
      <c r="K803">
        <v>83113388000</v>
      </c>
      <c r="L803">
        <v>34727347000</v>
      </c>
      <c r="M803">
        <v>8759299000</v>
      </c>
      <c r="N803">
        <v>-17365157000</v>
      </c>
      <c r="O803">
        <v>43418911000</v>
      </c>
      <c r="P803">
        <v>1142</v>
      </c>
      <c r="Q803" t="s">
        <v>1650</v>
      </c>
    </row>
    <row r="804" spans="1:17" x14ac:dyDescent="0.3">
      <c r="A804" t="s">
        <v>17</v>
      </c>
      <c r="B804" t="str">
        <f>"600927"</f>
        <v>600927</v>
      </c>
      <c r="C804" t="s">
        <v>1651</v>
      </c>
      <c r="D804" t="s">
        <v>75</v>
      </c>
      <c r="F804">
        <v>9971631267</v>
      </c>
      <c r="G804">
        <v>4515696187</v>
      </c>
      <c r="H804">
        <v>1588303067</v>
      </c>
      <c r="I804">
        <v>-1154139591</v>
      </c>
      <c r="J804">
        <v>-3541088300</v>
      </c>
      <c r="P804">
        <v>22</v>
      </c>
      <c r="Q804" t="s">
        <v>1652</v>
      </c>
    </row>
    <row r="805" spans="1:17" x14ac:dyDescent="0.3">
      <c r="A805" t="s">
        <v>17</v>
      </c>
      <c r="B805" t="str">
        <f>"600928"</f>
        <v>600928</v>
      </c>
      <c r="C805" t="s">
        <v>1653</v>
      </c>
      <c r="D805" t="s">
        <v>19</v>
      </c>
      <c r="F805">
        <v>13744481000</v>
      </c>
      <c r="G805">
        <v>33437415000</v>
      </c>
      <c r="H805">
        <v>1909880000</v>
      </c>
      <c r="I805">
        <v>-17833321000</v>
      </c>
      <c r="J805">
        <v>12568606296</v>
      </c>
      <c r="K805">
        <v>-280192875</v>
      </c>
      <c r="L805">
        <v>-694728571</v>
      </c>
      <c r="M805">
        <v>-5647714000</v>
      </c>
      <c r="N805">
        <v>2833697000</v>
      </c>
      <c r="O805">
        <v>12022484000</v>
      </c>
      <c r="P805">
        <v>410</v>
      </c>
      <c r="Q805" t="s">
        <v>1654</v>
      </c>
    </row>
    <row r="806" spans="1:17" x14ac:dyDescent="0.3">
      <c r="A806" t="s">
        <v>17</v>
      </c>
      <c r="B806" t="str">
        <f>"600929"</f>
        <v>600929</v>
      </c>
      <c r="C806" t="s">
        <v>1655</v>
      </c>
      <c r="D806" t="s">
        <v>133</v>
      </c>
      <c r="F806">
        <v>-73289871</v>
      </c>
      <c r="G806">
        <v>-126588472</v>
      </c>
      <c r="H806">
        <v>-47299972</v>
      </c>
      <c r="I806">
        <v>-24487016</v>
      </c>
      <c r="J806">
        <v>41360028</v>
      </c>
      <c r="K806">
        <v>191157209</v>
      </c>
      <c r="L806">
        <v>185928229</v>
      </c>
      <c r="P806">
        <v>133</v>
      </c>
      <c r="Q806" t="s">
        <v>1656</v>
      </c>
    </row>
    <row r="807" spans="1:17" x14ac:dyDescent="0.3">
      <c r="A807" t="s">
        <v>17</v>
      </c>
      <c r="B807" t="str">
        <f>"600933"</f>
        <v>600933</v>
      </c>
      <c r="C807" t="s">
        <v>1657</v>
      </c>
      <c r="D807" t="s">
        <v>27</v>
      </c>
      <c r="F807">
        <v>-601612912</v>
      </c>
      <c r="G807">
        <v>261323108</v>
      </c>
      <c r="H807">
        <v>568237136</v>
      </c>
      <c r="I807">
        <v>-182473903</v>
      </c>
      <c r="J807">
        <v>117104440</v>
      </c>
      <c r="K807">
        <v>89968401</v>
      </c>
      <c r="L807">
        <v>166670268</v>
      </c>
      <c r="M807">
        <v>148882879</v>
      </c>
      <c r="P807">
        <v>177</v>
      </c>
      <c r="Q807" t="s">
        <v>1658</v>
      </c>
    </row>
    <row r="808" spans="1:17" x14ac:dyDescent="0.3">
      <c r="A808" t="s">
        <v>17</v>
      </c>
      <c r="B808" t="str">
        <f>"600935"</f>
        <v>600935</v>
      </c>
      <c r="C808" t="s">
        <v>1659</v>
      </c>
      <c r="D808" t="s">
        <v>133</v>
      </c>
      <c r="F808">
        <v>1100209284</v>
      </c>
      <c r="G808">
        <v>964627460</v>
      </c>
      <c r="H808">
        <v>185125971</v>
      </c>
      <c r="I808">
        <v>499654440</v>
      </c>
      <c r="J808">
        <v>877484988</v>
      </c>
      <c r="P808">
        <v>16</v>
      </c>
      <c r="Q808" t="s">
        <v>1660</v>
      </c>
    </row>
    <row r="809" spans="1:17" x14ac:dyDescent="0.3">
      <c r="A809" t="s">
        <v>17</v>
      </c>
      <c r="B809" t="str">
        <f>"600936"</f>
        <v>600936</v>
      </c>
      <c r="C809" t="s">
        <v>1661</v>
      </c>
      <c r="D809" t="s">
        <v>89</v>
      </c>
      <c r="F809">
        <v>-362750548</v>
      </c>
      <c r="G809">
        <v>-959035655</v>
      </c>
      <c r="H809">
        <v>-560876657</v>
      </c>
      <c r="I809">
        <v>-569260160</v>
      </c>
      <c r="J809">
        <v>-767496642</v>
      </c>
      <c r="K809">
        <v>-443425652</v>
      </c>
      <c r="L809">
        <v>-14290526</v>
      </c>
      <c r="M809">
        <v>267212466</v>
      </c>
      <c r="N809">
        <v>306028848</v>
      </c>
      <c r="P809">
        <v>80</v>
      </c>
      <c r="Q809" t="s">
        <v>1662</v>
      </c>
    </row>
    <row r="810" spans="1:17" x14ac:dyDescent="0.3">
      <c r="A810" t="s">
        <v>17</v>
      </c>
      <c r="B810" t="str">
        <f>"600938"</f>
        <v>600938</v>
      </c>
      <c r="C810" t="s">
        <v>1663</v>
      </c>
      <c r="F810">
        <v>65495000000</v>
      </c>
      <c r="G810">
        <v>6921682700</v>
      </c>
      <c r="H810">
        <v>51569115100</v>
      </c>
      <c r="I810">
        <v>73720957800</v>
      </c>
      <c r="P810">
        <v>26</v>
      </c>
      <c r="Q810" t="s">
        <v>1664</v>
      </c>
    </row>
    <row r="811" spans="1:17" x14ac:dyDescent="0.3">
      <c r="A811" t="s">
        <v>17</v>
      </c>
      <c r="B811" t="str">
        <f>"600939"</f>
        <v>600939</v>
      </c>
      <c r="C811" t="s">
        <v>1665</v>
      </c>
      <c r="D811" t="s">
        <v>95</v>
      </c>
      <c r="F811">
        <v>-734664610</v>
      </c>
      <c r="G811">
        <v>2463794975</v>
      </c>
      <c r="H811">
        <v>1219704092</v>
      </c>
      <c r="I811">
        <v>-30774860</v>
      </c>
      <c r="J811">
        <v>2325547885</v>
      </c>
      <c r="K811">
        <v>-807174648</v>
      </c>
      <c r="L811">
        <v>953865854</v>
      </c>
      <c r="M811">
        <v>-211022564</v>
      </c>
      <c r="N811">
        <v>-2542983255</v>
      </c>
      <c r="P811">
        <v>125</v>
      </c>
      <c r="Q811" t="s">
        <v>1666</v>
      </c>
    </row>
    <row r="812" spans="1:17" x14ac:dyDescent="0.3">
      <c r="A812" t="s">
        <v>17</v>
      </c>
      <c r="B812" t="str">
        <f>"600941"</f>
        <v>600941</v>
      </c>
      <c r="C812" t="s">
        <v>1667</v>
      </c>
      <c r="D812" t="s">
        <v>100</v>
      </c>
      <c r="F812">
        <v>107958000000</v>
      </c>
      <c r="G812">
        <v>117578000000</v>
      </c>
      <c r="H812">
        <v>43049000000</v>
      </c>
      <c r="I812">
        <v>10995000000</v>
      </c>
      <c r="P812">
        <v>115</v>
      </c>
      <c r="Q812" t="s">
        <v>1668</v>
      </c>
    </row>
    <row r="813" spans="1:17" x14ac:dyDescent="0.3">
      <c r="A813" t="s">
        <v>17</v>
      </c>
      <c r="B813" t="str">
        <f>"600955"</f>
        <v>600955</v>
      </c>
      <c r="C813" t="s">
        <v>1669</v>
      </c>
      <c r="D813" t="s">
        <v>133</v>
      </c>
      <c r="F813">
        <v>1710321704</v>
      </c>
      <c r="G813">
        <v>635484675</v>
      </c>
      <c r="H813">
        <v>208333731</v>
      </c>
      <c r="I813">
        <v>134816489</v>
      </c>
      <c r="J813">
        <v>-338635171</v>
      </c>
      <c r="P813">
        <v>47</v>
      </c>
      <c r="Q813" t="s">
        <v>1670</v>
      </c>
    </row>
    <row r="814" spans="1:17" x14ac:dyDescent="0.3">
      <c r="A814" t="s">
        <v>17</v>
      </c>
      <c r="B814" t="str">
        <f>"600956"</f>
        <v>600956</v>
      </c>
      <c r="C814" t="s">
        <v>1671</v>
      </c>
      <c r="D814" t="s">
        <v>41</v>
      </c>
      <c r="F814">
        <v>-3612713019</v>
      </c>
      <c r="G814">
        <v>-5961388772</v>
      </c>
      <c r="H814">
        <v>-2200282399</v>
      </c>
      <c r="I814">
        <v>-838020357</v>
      </c>
      <c r="J814">
        <v>-851375708</v>
      </c>
      <c r="P814">
        <v>204</v>
      </c>
      <c r="Q814" t="s">
        <v>1672</v>
      </c>
    </row>
    <row r="815" spans="1:17" x14ac:dyDescent="0.3">
      <c r="A815" t="s">
        <v>17</v>
      </c>
      <c r="B815" t="str">
        <f>"600958"</f>
        <v>600958</v>
      </c>
      <c r="C815" t="s">
        <v>1673</v>
      </c>
      <c r="D815" t="s">
        <v>75</v>
      </c>
      <c r="F815">
        <v>-11004960715</v>
      </c>
      <c r="G815">
        <v>27759444701</v>
      </c>
      <c r="H815">
        <v>10089832127</v>
      </c>
      <c r="I815">
        <v>5302129450</v>
      </c>
      <c r="J815">
        <v>-14950648527</v>
      </c>
      <c r="K815">
        <v>-21343859589</v>
      </c>
      <c r="L815">
        <v>-14124922002</v>
      </c>
      <c r="M815">
        <v>4714265956</v>
      </c>
      <c r="N815">
        <v>-5300130451</v>
      </c>
      <c r="O815">
        <v>-1953161605</v>
      </c>
      <c r="P815">
        <v>1248</v>
      </c>
      <c r="Q815" t="s">
        <v>1674</v>
      </c>
    </row>
    <row r="816" spans="1:17" x14ac:dyDescent="0.3">
      <c r="A816" t="s">
        <v>17</v>
      </c>
      <c r="B816" t="str">
        <f>"600959"</f>
        <v>600959</v>
      </c>
      <c r="C816" t="s">
        <v>1675</v>
      </c>
      <c r="D816" t="s">
        <v>89</v>
      </c>
      <c r="F816">
        <v>585868454</v>
      </c>
      <c r="G816">
        <v>1053595161</v>
      </c>
      <c r="H816">
        <v>83587013</v>
      </c>
      <c r="I816">
        <v>496672258</v>
      </c>
      <c r="J816">
        <v>117203132</v>
      </c>
      <c r="K816">
        <v>722006665</v>
      </c>
      <c r="L816">
        <v>757799316</v>
      </c>
      <c r="M816">
        <v>811192505</v>
      </c>
      <c r="N816">
        <v>402693862</v>
      </c>
      <c r="O816">
        <v>356242759</v>
      </c>
      <c r="P816">
        <v>150</v>
      </c>
      <c r="Q816" t="s">
        <v>1676</v>
      </c>
    </row>
    <row r="817" spans="1:17" x14ac:dyDescent="0.3">
      <c r="A817" t="s">
        <v>17</v>
      </c>
      <c r="B817" t="str">
        <f>"600960"</f>
        <v>600960</v>
      </c>
      <c r="C817" t="s">
        <v>1677</v>
      </c>
      <c r="D817" t="s">
        <v>27</v>
      </c>
      <c r="F817">
        <v>-40393970</v>
      </c>
      <c r="G817">
        <v>-288972637</v>
      </c>
      <c r="H817">
        <v>149432467</v>
      </c>
      <c r="I817">
        <v>-394198466</v>
      </c>
      <c r="J817">
        <v>-554868716</v>
      </c>
      <c r="K817">
        <v>-226572129</v>
      </c>
      <c r="L817">
        <v>-634589</v>
      </c>
      <c r="M817">
        <v>-114837077</v>
      </c>
      <c r="N817">
        <v>73802141</v>
      </c>
      <c r="O817">
        <v>38526174</v>
      </c>
      <c r="P817">
        <v>91</v>
      </c>
      <c r="Q817" t="s">
        <v>1678</v>
      </c>
    </row>
    <row r="818" spans="1:17" x14ac:dyDescent="0.3">
      <c r="A818" t="s">
        <v>17</v>
      </c>
      <c r="B818" t="str">
        <f>"600961"</f>
        <v>600961</v>
      </c>
      <c r="C818" t="s">
        <v>1679</v>
      </c>
      <c r="D818" t="s">
        <v>234</v>
      </c>
      <c r="F818">
        <v>460208187</v>
      </c>
      <c r="G818">
        <v>338204999</v>
      </c>
      <c r="H818">
        <v>-517494759</v>
      </c>
      <c r="I818">
        <v>-309878170</v>
      </c>
      <c r="J818">
        <v>253940717</v>
      </c>
      <c r="K818">
        <v>207560514</v>
      </c>
      <c r="L818">
        <v>218275581</v>
      </c>
      <c r="M818">
        <v>285824266</v>
      </c>
      <c r="N818">
        <v>330408761</v>
      </c>
      <c r="O818">
        <v>168722638</v>
      </c>
      <c r="P818">
        <v>127</v>
      </c>
      <c r="Q818" t="s">
        <v>1680</v>
      </c>
    </row>
    <row r="819" spans="1:17" x14ac:dyDescent="0.3">
      <c r="A819" t="s">
        <v>17</v>
      </c>
      <c r="B819" t="str">
        <f>"600962"</f>
        <v>600962</v>
      </c>
      <c r="C819" t="s">
        <v>1681</v>
      </c>
      <c r="D819" t="s">
        <v>205</v>
      </c>
      <c r="F819">
        <v>103822287</v>
      </c>
      <c r="G819">
        <v>-162500469</v>
      </c>
      <c r="H819">
        <v>-250899563</v>
      </c>
      <c r="I819">
        <v>-44798763</v>
      </c>
      <c r="J819">
        <v>17906340</v>
      </c>
      <c r="K819">
        <v>159396497</v>
      </c>
      <c r="L819">
        <v>46795969</v>
      </c>
      <c r="M819">
        <v>157941359</v>
      </c>
      <c r="N819">
        <v>98503458</v>
      </c>
      <c r="O819">
        <v>-193530079</v>
      </c>
      <c r="P819">
        <v>94</v>
      </c>
      <c r="Q819" t="s">
        <v>1682</v>
      </c>
    </row>
    <row r="820" spans="1:17" x14ac:dyDescent="0.3">
      <c r="A820" t="s">
        <v>17</v>
      </c>
      <c r="B820" t="str">
        <f>"600963"</f>
        <v>600963</v>
      </c>
      <c r="C820" t="s">
        <v>1683</v>
      </c>
      <c r="D820" t="s">
        <v>161</v>
      </c>
      <c r="F820">
        <v>64098440</v>
      </c>
      <c r="G820">
        <v>628442713</v>
      </c>
      <c r="H820">
        <v>458769798</v>
      </c>
      <c r="I820">
        <v>448084861</v>
      </c>
      <c r="J820">
        <v>1025044838</v>
      </c>
      <c r="K820">
        <v>852730734</v>
      </c>
      <c r="L820">
        <v>-19305146</v>
      </c>
      <c r="M820">
        <v>1617639495</v>
      </c>
      <c r="N820">
        <v>112208283</v>
      </c>
      <c r="O820">
        <v>-316732005</v>
      </c>
      <c r="P820">
        <v>201</v>
      </c>
      <c r="Q820" t="s">
        <v>1684</v>
      </c>
    </row>
    <row r="821" spans="1:17" x14ac:dyDescent="0.3">
      <c r="A821" t="s">
        <v>17</v>
      </c>
      <c r="B821" t="str">
        <f>"600965"</f>
        <v>600965</v>
      </c>
      <c r="C821" t="s">
        <v>1685</v>
      </c>
      <c r="D821" t="s">
        <v>205</v>
      </c>
      <c r="F821">
        <v>-16790675</v>
      </c>
      <c r="G821">
        <v>204104121</v>
      </c>
      <c r="H821">
        <v>516211</v>
      </c>
      <c r="I821">
        <v>171661578</v>
      </c>
      <c r="J821">
        <v>147592465</v>
      </c>
      <c r="K821">
        <v>240908853</v>
      </c>
      <c r="L821">
        <v>52607804</v>
      </c>
      <c r="M821">
        <v>25567679</v>
      </c>
      <c r="N821">
        <v>41617653</v>
      </c>
      <c r="O821">
        <v>8785050</v>
      </c>
      <c r="P821">
        <v>113</v>
      </c>
      <c r="Q821" t="s">
        <v>1686</v>
      </c>
    </row>
    <row r="822" spans="1:17" x14ac:dyDescent="0.3">
      <c r="A822" t="s">
        <v>17</v>
      </c>
      <c r="B822" t="str">
        <f>"600966"</f>
        <v>600966</v>
      </c>
      <c r="C822" t="s">
        <v>1687</v>
      </c>
      <c r="D822" t="s">
        <v>161</v>
      </c>
      <c r="F822">
        <v>3343081857</v>
      </c>
      <c r="G822">
        <v>3259888633</v>
      </c>
      <c r="H822">
        <v>-401276971</v>
      </c>
      <c r="I822">
        <v>-1278791565</v>
      </c>
      <c r="J822">
        <v>90373237</v>
      </c>
      <c r="K822">
        <v>855458256</v>
      </c>
      <c r="L822">
        <v>438152950</v>
      </c>
      <c r="M822">
        <v>178755146</v>
      </c>
      <c r="N822">
        <v>-1045563381</v>
      </c>
      <c r="O822">
        <v>-1830486692</v>
      </c>
      <c r="P822">
        <v>396</v>
      </c>
      <c r="Q822" t="s">
        <v>1688</v>
      </c>
    </row>
    <row r="823" spans="1:17" x14ac:dyDescent="0.3">
      <c r="A823" t="s">
        <v>17</v>
      </c>
      <c r="B823" t="str">
        <f>"600967"</f>
        <v>600967</v>
      </c>
      <c r="C823" t="s">
        <v>1689</v>
      </c>
      <c r="D823" t="s">
        <v>92</v>
      </c>
      <c r="F823">
        <v>399924659</v>
      </c>
      <c r="G823">
        <v>4329771667</v>
      </c>
      <c r="H823">
        <v>3686758524</v>
      </c>
      <c r="I823">
        <v>1495298168</v>
      </c>
      <c r="J823">
        <v>1541397584</v>
      </c>
      <c r="K823">
        <v>322044522</v>
      </c>
      <c r="L823">
        <v>-373495484</v>
      </c>
      <c r="M823">
        <v>-271459812</v>
      </c>
      <c r="N823">
        <v>58811888</v>
      </c>
      <c r="O823">
        <v>-402395001</v>
      </c>
      <c r="P823">
        <v>286</v>
      </c>
      <c r="Q823" t="s">
        <v>1690</v>
      </c>
    </row>
    <row r="824" spans="1:17" x14ac:dyDescent="0.3">
      <c r="A824" t="s">
        <v>17</v>
      </c>
      <c r="B824" t="str">
        <f>"600968"</f>
        <v>600968</v>
      </c>
      <c r="C824" t="s">
        <v>1691</v>
      </c>
      <c r="D824" t="s">
        <v>70</v>
      </c>
      <c r="F824">
        <v>1257472708</v>
      </c>
      <c r="G824">
        <v>3597453264</v>
      </c>
      <c r="H824">
        <v>1882122094</v>
      </c>
      <c r="I824">
        <v>972995744</v>
      </c>
      <c r="J824">
        <v>1642043727</v>
      </c>
      <c r="K824">
        <v>1492141879</v>
      </c>
      <c r="P824">
        <v>189</v>
      </c>
      <c r="Q824" t="s">
        <v>1692</v>
      </c>
    </row>
    <row r="825" spans="1:17" x14ac:dyDescent="0.3">
      <c r="A825" t="s">
        <v>17</v>
      </c>
      <c r="B825" t="str">
        <f>"600969"</f>
        <v>600969</v>
      </c>
      <c r="C825" t="s">
        <v>1693</v>
      </c>
      <c r="D825" t="s">
        <v>41</v>
      </c>
      <c r="F825">
        <v>-475113577</v>
      </c>
      <c r="G825">
        <v>-955252473</v>
      </c>
      <c r="H825">
        <v>-467693803</v>
      </c>
      <c r="I825">
        <v>-368288717</v>
      </c>
      <c r="J825">
        <v>-437016052</v>
      </c>
      <c r="K825">
        <v>-655677376</v>
      </c>
      <c r="L825">
        <v>-253413931</v>
      </c>
      <c r="M825">
        <v>-160978443</v>
      </c>
      <c r="N825">
        <v>-167276718</v>
      </c>
      <c r="O825">
        <v>-235412038</v>
      </c>
      <c r="P825">
        <v>77</v>
      </c>
      <c r="Q825" t="s">
        <v>1694</v>
      </c>
    </row>
    <row r="826" spans="1:17" x14ac:dyDescent="0.3">
      <c r="A826" t="s">
        <v>17</v>
      </c>
      <c r="B826" t="str">
        <f>"600970"</f>
        <v>600970</v>
      </c>
      <c r="C826" t="s">
        <v>1695</v>
      </c>
      <c r="D826" t="s">
        <v>95</v>
      </c>
      <c r="F826">
        <v>1896888902</v>
      </c>
      <c r="G826">
        <v>1522586402</v>
      </c>
      <c r="H826">
        <v>25282882</v>
      </c>
      <c r="I826">
        <v>-1869712688</v>
      </c>
      <c r="J826">
        <v>-2060960324</v>
      </c>
      <c r="K826">
        <v>2261435940</v>
      </c>
      <c r="L826">
        <v>1786347790</v>
      </c>
      <c r="M826">
        <v>1253877489</v>
      </c>
      <c r="N826">
        <v>-595201832</v>
      </c>
      <c r="O826">
        <v>923484513</v>
      </c>
      <c r="P826">
        <v>853</v>
      </c>
      <c r="Q826" t="s">
        <v>1696</v>
      </c>
    </row>
    <row r="827" spans="1:17" x14ac:dyDescent="0.3">
      <c r="A827" t="s">
        <v>17</v>
      </c>
      <c r="B827" t="str">
        <f>"600971"</f>
        <v>600971</v>
      </c>
      <c r="C827" t="s">
        <v>1697</v>
      </c>
      <c r="D827" t="s">
        <v>257</v>
      </c>
      <c r="F827">
        <v>1614736022</v>
      </c>
      <c r="G827">
        <v>1266096029</v>
      </c>
      <c r="H827">
        <v>1149778408</v>
      </c>
      <c r="I827">
        <v>1866206887</v>
      </c>
      <c r="J827">
        <v>2504050115</v>
      </c>
      <c r="K827">
        <v>1841177007</v>
      </c>
      <c r="L827">
        <v>-756641882</v>
      </c>
      <c r="M827">
        <v>-366497181</v>
      </c>
      <c r="N827">
        <v>-180149634</v>
      </c>
      <c r="O827">
        <v>332571829</v>
      </c>
      <c r="P827">
        <v>1522</v>
      </c>
      <c r="Q827" t="s">
        <v>1698</v>
      </c>
    </row>
    <row r="828" spans="1:17" x14ac:dyDescent="0.3">
      <c r="A828" t="s">
        <v>17</v>
      </c>
      <c r="B828" t="str">
        <f>"600973"</f>
        <v>600973</v>
      </c>
      <c r="C828" t="s">
        <v>1699</v>
      </c>
      <c r="D828" t="s">
        <v>188</v>
      </c>
      <c r="F828">
        <v>-225790615</v>
      </c>
      <c r="G828">
        <v>-1215900519</v>
      </c>
      <c r="H828">
        <v>-781211276</v>
      </c>
      <c r="I828">
        <v>-1462535936</v>
      </c>
      <c r="J828">
        <v>-2377633393</v>
      </c>
      <c r="K828">
        <v>1295483849</v>
      </c>
      <c r="L828">
        <v>-210914183</v>
      </c>
      <c r="M828">
        <v>-131567339</v>
      </c>
      <c r="N828">
        <v>-1613288741</v>
      </c>
      <c r="O828">
        <v>5055874</v>
      </c>
      <c r="P828">
        <v>116</v>
      </c>
      <c r="Q828" t="s">
        <v>1700</v>
      </c>
    </row>
    <row r="829" spans="1:17" x14ac:dyDescent="0.3">
      <c r="A829" t="s">
        <v>17</v>
      </c>
      <c r="B829" t="str">
        <f>"600975"</f>
        <v>600975</v>
      </c>
      <c r="C829" t="s">
        <v>1701</v>
      </c>
      <c r="D829" t="s">
        <v>205</v>
      </c>
      <c r="F829">
        <v>-815581341</v>
      </c>
      <c r="G829">
        <v>-84458032</v>
      </c>
      <c r="H829">
        <v>-129590307</v>
      </c>
      <c r="I829">
        <v>-85647630</v>
      </c>
      <c r="J829">
        <v>105527050</v>
      </c>
      <c r="K829">
        <v>106701311</v>
      </c>
      <c r="L829">
        <v>48755550</v>
      </c>
      <c r="M829">
        <v>-123397011</v>
      </c>
      <c r="N829">
        <v>-175951211</v>
      </c>
      <c r="O829">
        <v>-78401828</v>
      </c>
      <c r="P829">
        <v>305</v>
      </c>
      <c r="Q829" t="s">
        <v>1702</v>
      </c>
    </row>
    <row r="830" spans="1:17" x14ac:dyDescent="0.3">
      <c r="A830" t="s">
        <v>17</v>
      </c>
      <c r="B830" t="str">
        <f>"600976"</f>
        <v>600976</v>
      </c>
      <c r="C830" t="s">
        <v>1703</v>
      </c>
      <c r="D830" t="s">
        <v>113</v>
      </c>
      <c r="F830">
        <v>204309041</v>
      </c>
      <c r="G830">
        <v>80019673</v>
      </c>
      <c r="H830">
        <v>5192215</v>
      </c>
      <c r="I830">
        <v>28772721</v>
      </c>
      <c r="J830">
        <v>-6634182</v>
      </c>
      <c r="K830">
        <v>85485781</v>
      </c>
      <c r="L830">
        <v>34087588</v>
      </c>
      <c r="M830">
        <v>76859922</v>
      </c>
      <c r="N830">
        <v>21595341</v>
      </c>
      <c r="O830">
        <v>89880559</v>
      </c>
      <c r="P830">
        <v>250</v>
      </c>
      <c r="Q830" t="s">
        <v>1704</v>
      </c>
    </row>
    <row r="831" spans="1:17" x14ac:dyDescent="0.3">
      <c r="A831" t="s">
        <v>17</v>
      </c>
      <c r="B831" t="str">
        <f>"600977"</f>
        <v>600977</v>
      </c>
      <c r="C831" t="s">
        <v>1705</v>
      </c>
      <c r="D831" t="s">
        <v>89</v>
      </c>
      <c r="F831">
        <v>724449397</v>
      </c>
      <c r="G831">
        <v>-789128287</v>
      </c>
      <c r="H831">
        <v>1640311978</v>
      </c>
      <c r="I831">
        <v>294015935</v>
      </c>
      <c r="J831">
        <v>880212539</v>
      </c>
      <c r="K831">
        <v>-162528875</v>
      </c>
      <c r="L831">
        <v>1548989545</v>
      </c>
      <c r="M831">
        <v>492073634</v>
      </c>
      <c r="N831">
        <v>457230754</v>
      </c>
      <c r="P831">
        <v>554</v>
      </c>
      <c r="Q831" t="s">
        <v>1706</v>
      </c>
    </row>
    <row r="832" spans="1:17" x14ac:dyDescent="0.3">
      <c r="A832" t="s">
        <v>17</v>
      </c>
      <c r="B832" t="str">
        <f>"600978"</f>
        <v>600978</v>
      </c>
      <c r="C832" t="s">
        <v>1707</v>
      </c>
      <c r="H832">
        <v>-1981275191</v>
      </c>
      <c r="I832">
        <v>-583220312</v>
      </c>
      <c r="J832">
        <v>819024906</v>
      </c>
      <c r="K832">
        <v>761937496</v>
      </c>
      <c r="L832">
        <v>673085599</v>
      </c>
      <c r="M832">
        <v>225406087</v>
      </c>
      <c r="N832">
        <v>319147808</v>
      </c>
      <c r="O832">
        <v>-399738884</v>
      </c>
      <c r="P832">
        <v>167</v>
      </c>
      <c r="Q832" t="s">
        <v>1708</v>
      </c>
    </row>
    <row r="833" spans="1:17" x14ac:dyDescent="0.3">
      <c r="A833" t="s">
        <v>17</v>
      </c>
      <c r="B833" t="str">
        <f>"600979"</f>
        <v>600979</v>
      </c>
      <c r="C833" t="s">
        <v>1709</v>
      </c>
      <c r="D833" t="s">
        <v>41</v>
      </c>
      <c r="F833">
        <v>144167398</v>
      </c>
      <c r="G833">
        <v>254147827</v>
      </c>
      <c r="H833">
        <v>43233509</v>
      </c>
      <c r="I833">
        <v>-14631733</v>
      </c>
      <c r="J833">
        <v>443433635</v>
      </c>
      <c r="K833">
        <v>193254182</v>
      </c>
      <c r="L833">
        <v>-67410485</v>
      </c>
      <c r="M833">
        <v>-127480312</v>
      </c>
      <c r="N833">
        <v>33504660</v>
      </c>
      <c r="O833">
        <v>-56698425</v>
      </c>
      <c r="P833">
        <v>117</v>
      </c>
      <c r="Q833" t="s">
        <v>1710</v>
      </c>
    </row>
    <row r="834" spans="1:17" x14ac:dyDescent="0.3">
      <c r="A834" t="s">
        <v>17</v>
      </c>
      <c r="B834" t="str">
        <f>"600980"</f>
        <v>600980</v>
      </c>
      <c r="C834" t="s">
        <v>1711</v>
      </c>
      <c r="D834" t="s">
        <v>234</v>
      </c>
      <c r="F834">
        <v>16137610</v>
      </c>
      <c r="G834">
        <v>12644880</v>
      </c>
      <c r="H834">
        <v>29394153</v>
      </c>
      <c r="I834">
        <v>1682055</v>
      </c>
      <c r="J834">
        <v>99613911</v>
      </c>
      <c r="K834">
        <v>-59987816</v>
      </c>
      <c r="L834">
        <v>-68715399</v>
      </c>
      <c r="M834">
        <v>6407453</v>
      </c>
      <c r="N834">
        <v>12174446</v>
      </c>
      <c r="O834">
        <v>-20723564</v>
      </c>
      <c r="P834">
        <v>97</v>
      </c>
      <c r="Q834" t="s">
        <v>1712</v>
      </c>
    </row>
    <row r="835" spans="1:17" x14ac:dyDescent="0.3">
      <c r="A835" t="s">
        <v>17</v>
      </c>
      <c r="B835" t="str">
        <f>"600981"</f>
        <v>600981</v>
      </c>
      <c r="C835" t="s">
        <v>1713</v>
      </c>
      <c r="D835" t="s">
        <v>120</v>
      </c>
      <c r="F835">
        <v>626971464</v>
      </c>
      <c r="G835">
        <v>319488635</v>
      </c>
      <c r="H835">
        <v>219513201</v>
      </c>
      <c r="I835">
        <v>189869997</v>
      </c>
      <c r="J835">
        <v>958612438</v>
      </c>
      <c r="K835">
        <v>744948673</v>
      </c>
      <c r="L835">
        <v>-125510158</v>
      </c>
      <c r="M835">
        <v>-332544856</v>
      </c>
      <c r="N835">
        <v>253270647</v>
      </c>
      <c r="O835">
        <v>-228416224</v>
      </c>
      <c r="P835">
        <v>99</v>
      </c>
      <c r="Q835" t="s">
        <v>1714</v>
      </c>
    </row>
    <row r="836" spans="1:17" x14ac:dyDescent="0.3">
      <c r="A836" t="s">
        <v>17</v>
      </c>
      <c r="B836" t="str">
        <f>"600982"</f>
        <v>600982</v>
      </c>
      <c r="C836" t="s">
        <v>1715</v>
      </c>
      <c r="D836" t="s">
        <v>41</v>
      </c>
      <c r="F836">
        <v>-650101353</v>
      </c>
      <c r="G836">
        <v>-150648051</v>
      </c>
      <c r="H836">
        <v>44154932</v>
      </c>
      <c r="I836">
        <v>-166614061</v>
      </c>
      <c r="J836">
        <v>69946776</v>
      </c>
      <c r="K836">
        <v>-197371992</v>
      </c>
      <c r="L836">
        <v>-109162475</v>
      </c>
      <c r="M836">
        <v>-126508135</v>
      </c>
      <c r="N836">
        <v>125074155</v>
      </c>
      <c r="O836">
        <v>-54012656</v>
      </c>
      <c r="P836">
        <v>135</v>
      </c>
      <c r="Q836" t="s">
        <v>1716</v>
      </c>
    </row>
    <row r="837" spans="1:17" x14ac:dyDescent="0.3">
      <c r="A837" t="s">
        <v>17</v>
      </c>
      <c r="B837" t="str">
        <f>"600983"</f>
        <v>600983</v>
      </c>
      <c r="C837" t="s">
        <v>1717</v>
      </c>
      <c r="D837" t="s">
        <v>126</v>
      </c>
      <c r="F837">
        <v>-433809808</v>
      </c>
      <c r="G837">
        <v>-995637383</v>
      </c>
      <c r="H837">
        <v>-328829162</v>
      </c>
      <c r="I837">
        <v>-244923625</v>
      </c>
      <c r="J837">
        <v>-154118654</v>
      </c>
      <c r="K837">
        <v>773755594</v>
      </c>
      <c r="L837">
        <v>533070135</v>
      </c>
      <c r="M837">
        <v>-437939101</v>
      </c>
      <c r="N837">
        <v>512531074</v>
      </c>
      <c r="O837">
        <v>194732413</v>
      </c>
      <c r="P837">
        <v>128</v>
      </c>
      <c r="Q837" t="s">
        <v>1718</v>
      </c>
    </row>
    <row r="838" spans="1:17" x14ac:dyDescent="0.3">
      <c r="A838" t="s">
        <v>17</v>
      </c>
      <c r="B838" t="str">
        <f>"600984"</f>
        <v>600984</v>
      </c>
      <c r="C838" t="s">
        <v>1719</v>
      </c>
      <c r="D838" t="s">
        <v>78</v>
      </c>
      <c r="F838">
        <v>-2254489375</v>
      </c>
      <c r="G838">
        <v>-1733664447</v>
      </c>
      <c r="H838">
        <v>-25061436</v>
      </c>
      <c r="I838">
        <v>-117703649</v>
      </c>
      <c r="J838">
        <v>-378241551</v>
      </c>
      <c r="K838">
        <v>-19369190</v>
      </c>
      <c r="L838">
        <v>-56149597</v>
      </c>
      <c r="M838">
        <v>-75857865</v>
      </c>
      <c r="N838">
        <v>-139430781</v>
      </c>
      <c r="O838">
        <v>-83656407</v>
      </c>
      <c r="P838">
        <v>279</v>
      </c>
      <c r="Q838" t="s">
        <v>1720</v>
      </c>
    </row>
    <row r="839" spans="1:17" x14ac:dyDescent="0.3">
      <c r="A839" t="s">
        <v>17</v>
      </c>
      <c r="B839" t="str">
        <f>"600985"</f>
        <v>600985</v>
      </c>
      <c r="C839" t="s">
        <v>1721</v>
      </c>
      <c r="D839" t="s">
        <v>257</v>
      </c>
      <c r="F839">
        <v>5684267695</v>
      </c>
      <c r="G839">
        <v>292872415</v>
      </c>
      <c r="H839">
        <v>6061226242</v>
      </c>
      <c r="I839">
        <v>6927218100</v>
      </c>
      <c r="J839">
        <v>72056483</v>
      </c>
      <c r="K839">
        <v>-122226420</v>
      </c>
      <c r="L839">
        <v>-51185919</v>
      </c>
      <c r="M839">
        <v>32262963</v>
      </c>
      <c r="N839">
        <v>29918510</v>
      </c>
      <c r="O839">
        <v>24389771</v>
      </c>
      <c r="P839">
        <v>1009</v>
      </c>
      <c r="Q839" t="s">
        <v>1722</v>
      </c>
    </row>
    <row r="840" spans="1:17" x14ac:dyDescent="0.3">
      <c r="A840" t="s">
        <v>17</v>
      </c>
      <c r="B840" t="str">
        <f>"600986"</f>
        <v>600986</v>
      </c>
      <c r="C840" t="s">
        <v>1723</v>
      </c>
      <c r="D840" t="s">
        <v>89</v>
      </c>
      <c r="F840">
        <v>-601635629</v>
      </c>
      <c r="G840">
        <v>-110695587</v>
      </c>
      <c r="H840">
        <v>514640492</v>
      </c>
      <c r="I840">
        <v>-22778632</v>
      </c>
      <c r="J840">
        <v>-41501572</v>
      </c>
      <c r="K840">
        <v>685350447</v>
      </c>
      <c r="L840">
        <v>461560678</v>
      </c>
      <c r="M840">
        <v>-255884</v>
      </c>
      <c r="N840">
        <v>-459446913</v>
      </c>
      <c r="O840">
        <v>73262552</v>
      </c>
      <c r="P840">
        <v>239</v>
      </c>
      <c r="Q840" t="s">
        <v>1724</v>
      </c>
    </row>
    <row r="841" spans="1:17" x14ac:dyDescent="0.3">
      <c r="A841" t="s">
        <v>17</v>
      </c>
      <c r="B841" t="str">
        <f>"600987"</f>
        <v>600987</v>
      </c>
      <c r="C841" t="s">
        <v>1725</v>
      </c>
      <c r="D841" t="s">
        <v>227</v>
      </c>
      <c r="F841">
        <v>359212608</v>
      </c>
      <c r="G841">
        <v>848511472</v>
      </c>
      <c r="H841">
        <v>701557507</v>
      </c>
      <c r="I841">
        <v>627390468</v>
      </c>
      <c r="J841">
        <v>280398023</v>
      </c>
      <c r="K841">
        <v>577758032</v>
      </c>
      <c r="L841">
        <v>367998963</v>
      </c>
      <c r="M841">
        <v>504482839</v>
      </c>
      <c r="N841">
        <v>345254072</v>
      </c>
      <c r="O841">
        <v>179303031</v>
      </c>
      <c r="P841">
        <v>4845</v>
      </c>
      <c r="Q841" t="s">
        <v>1726</v>
      </c>
    </row>
    <row r="842" spans="1:17" x14ac:dyDescent="0.3">
      <c r="A842" t="s">
        <v>17</v>
      </c>
      <c r="B842" t="str">
        <f>"600988"</f>
        <v>600988</v>
      </c>
      <c r="C842" t="s">
        <v>1727</v>
      </c>
      <c r="D842" t="s">
        <v>234</v>
      </c>
      <c r="F842">
        <v>-585314126</v>
      </c>
      <c r="G842">
        <v>105684157</v>
      </c>
      <c r="H842">
        <v>-1015721</v>
      </c>
      <c r="I842">
        <v>166460980</v>
      </c>
      <c r="J842">
        <v>-615778634</v>
      </c>
      <c r="K842">
        <v>-258945769</v>
      </c>
      <c r="L842">
        <v>-50399444</v>
      </c>
      <c r="M842">
        <v>-3537274</v>
      </c>
      <c r="N842">
        <v>341722985</v>
      </c>
      <c r="O842">
        <v>113081200</v>
      </c>
      <c r="P842">
        <v>487</v>
      </c>
      <c r="Q842" t="s">
        <v>1728</v>
      </c>
    </row>
    <row r="843" spans="1:17" x14ac:dyDescent="0.3">
      <c r="A843" t="s">
        <v>17</v>
      </c>
      <c r="B843" t="str">
        <f>"600989"</f>
        <v>600989</v>
      </c>
      <c r="C843" t="s">
        <v>1729</v>
      </c>
      <c r="D843" t="s">
        <v>133</v>
      </c>
      <c r="F843">
        <v>1130655106</v>
      </c>
      <c r="G843">
        <v>2609770377</v>
      </c>
      <c r="H843">
        <v>-967955554</v>
      </c>
      <c r="I843">
        <v>1665561343</v>
      </c>
      <c r="J843">
        <v>2221388904</v>
      </c>
      <c r="K843">
        <v>1073869969</v>
      </c>
      <c r="P843">
        <v>770</v>
      </c>
      <c r="Q843" t="s">
        <v>1730</v>
      </c>
    </row>
    <row r="844" spans="1:17" x14ac:dyDescent="0.3">
      <c r="A844" t="s">
        <v>17</v>
      </c>
      <c r="B844" t="str">
        <f>"600990"</f>
        <v>600990</v>
      </c>
      <c r="C844" t="s">
        <v>1731</v>
      </c>
      <c r="D844" t="s">
        <v>92</v>
      </c>
      <c r="F844">
        <v>-91995713</v>
      </c>
      <c r="G844">
        <v>-288756146</v>
      </c>
      <c r="H844">
        <v>-154792561</v>
      </c>
      <c r="I844">
        <v>-193904376</v>
      </c>
      <c r="J844">
        <v>-238730631</v>
      </c>
      <c r="K844">
        <v>130889263</v>
      </c>
      <c r="L844">
        <v>-94397731</v>
      </c>
      <c r="M844">
        <v>-44611618</v>
      </c>
      <c r="N844">
        <v>-63786818</v>
      </c>
      <c r="O844">
        <v>139646900</v>
      </c>
      <c r="P844">
        <v>166</v>
      </c>
      <c r="Q844" t="s">
        <v>1732</v>
      </c>
    </row>
    <row r="845" spans="1:17" x14ac:dyDescent="0.3">
      <c r="A845" t="s">
        <v>17</v>
      </c>
      <c r="B845" t="str">
        <f>"600992"</f>
        <v>600992</v>
      </c>
      <c r="C845" t="s">
        <v>1733</v>
      </c>
      <c r="D845" t="s">
        <v>78</v>
      </c>
      <c r="F845">
        <v>-210160489</v>
      </c>
      <c r="G845">
        <v>-126603556</v>
      </c>
      <c r="H845">
        <v>84030812</v>
      </c>
      <c r="I845">
        <v>147507607</v>
      </c>
      <c r="J845">
        <v>-60880042</v>
      </c>
      <c r="K845">
        <v>64065331</v>
      </c>
      <c r="L845">
        <v>130251819</v>
      </c>
      <c r="M845">
        <v>-5517276</v>
      </c>
      <c r="N845">
        <v>-68008706</v>
      </c>
      <c r="O845">
        <v>-307163397</v>
      </c>
      <c r="P845">
        <v>57</v>
      </c>
      <c r="Q845" t="s">
        <v>1734</v>
      </c>
    </row>
    <row r="846" spans="1:17" x14ac:dyDescent="0.3">
      <c r="A846" t="s">
        <v>17</v>
      </c>
      <c r="B846" t="str">
        <f>"600993"</f>
        <v>600993</v>
      </c>
      <c r="C846" t="s">
        <v>1735</v>
      </c>
      <c r="D846" t="s">
        <v>113</v>
      </c>
      <c r="F846">
        <v>532652847</v>
      </c>
      <c r="G846">
        <v>241084330</v>
      </c>
      <c r="H846">
        <v>448522069</v>
      </c>
      <c r="I846">
        <v>283354626</v>
      </c>
      <c r="J846">
        <v>314735413</v>
      </c>
      <c r="K846">
        <v>183031431</v>
      </c>
      <c r="L846">
        <v>58982785</v>
      </c>
      <c r="M846">
        <v>5554350</v>
      </c>
      <c r="N846">
        <v>49872932</v>
      </c>
      <c r="O846">
        <v>136739471</v>
      </c>
      <c r="P846">
        <v>942</v>
      </c>
      <c r="Q846" t="s">
        <v>1736</v>
      </c>
    </row>
    <row r="847" spans="1:17" x14ac:dyDescent="0.3">
      <c r="A847" t="s">
        <v>17</v>
      </c>
      <c r="B847" t="str">
        <f>"600995"</f>
        <v>600995</v>
      </c>
      <c r="C847" t="s">
        <v>1737</v>
      </c>
      <c r="D847" t="s">
        <v>41</v>
      </c>
      <c r="F847">
        <v>-36729635</v>
      </c>
      <c r="G847">
        <v>51379116</v>
      </c>
      <c r="H847">
        <v>224255878</v>
      </c>
      <c r="I847">
        <v>247935839</v>
      </c>
      <c r="J847">
        <v>272484190</v>
      </c>
      <c r="K847">
        <v>311685517</v>
      </c>
      <c r="L847">
        <v>126886074</v>
      </c>
      <c r="M847">
        <v>113419541</v>
      </c>
      <c r="N847">
        <v>178901556</v>
      </c>
      <c r="O847">
        <v>-93800772</v>
      </c>
      <c r="P847">
        <v>267</v>
      </c>
      <c r="Q847" t="s">
        <v>1738</v>
      </c>
    </row>
    <row r="848" spans="1:17" x14ac:dyDescent="0.3">
      <c r="A848" t="s">
        <v>17</v>
      </c>
      <c r="B848" t="str">
        <f>"600996"</f>
        <v>600996</v>
      </c>
      <c r="C848" t="s">
        <v>1739</v>
      </c>
      <c r="D848" t="s">
        <v>89</v>
      </c>
      <c r="F848">
        <v>-927219889</v>
      </c>
      <c r="G848">
        <v>-906404948</v>
      </c>
      <c r="H848">
        <v>-1972414857</v>
      </c>
      <c r="I848">
        <v>-1490802112</v>
      </c>
      <c r="J848">
        <v>-1609836920</v>
      </c>
      <c r="K848">
        <v>-321350065</v>
      </c>
      <c r="L848">
        <v>106305519</v>
      </c>
      <c r="M848">
        <v>298199372</v>
      </c>
      <c r="N848">
        <v>222695415</v>
      </c>
      <c r="P848">
        <v>244</v>
      </c>
      <c r="Q848" t="s">
        <v>1740</v>
      </c>
    </row>
    <row r="849" spans="1:17" x14ac:dyDescent="0.3">
      <c r="A849" t="s">
        <v>17</v>
      </c>
      <c r="B849" t="str">
        <f>"600997"</f>
        <v>600997</v>
      </c>
      <c r="C849" t="s">
        <v>1741</v>
      </c>
      <c r="D849" t="s">
        <v>257</v>
      </c>
      <c r="F849">
        <v>3289819441</v>
      </c>
      <c r="G849">
        <v>1213485989</v>
      </c>
      <c r="H849">
        <v>1922703043</v>
      </c>
      <c r="I849">
        <v>2597480658</v>
      </c>
      <c r="J849">
        <v>1378642149</v>
      </c>
      <c r="K849">
        <v>766598744</v>
      </c>
      <c r="L849">
        <v>544151479</v>
      </c>
      <c r="M849">
        <v>-47077848</v>
      </c>
      <c r="N849">
        <v>-380648410</v>
      </c>
      <c r="O849">
        <v>-649875497</v>
      </c>
      <c r="P849">
        <v>729</v>
      </c>
      <c r="Q849" t="s">
        <v>1742</v>
      </c>
    </row>
    <row r="850" spans="1:17" x14ac:dyDescent="0.3">
      <c r="A850" t="s">
        <v>17</v>
      </c>
      <c r="B850" t="str">
        <f>"600998"</f>
        <v>600998</v>
      </c>
      <c r="C850" t="s">
        <v>1743</v>
      </c>
      <c r="D850" t="s">
        <v>113</v>
      </c>
      <c r="F850">
        <v>2244267507</v>
      </c>
      <c r="G850">
        <v>2285419859</v>
      </c>
      <c r="H850">
        <v>1593371147</v>
      </c>
      <c r="I850">
        <v>-48582046</v>
      </c>
      <c r="J850">
        <v>-2046965603</v>
      </c>
      <c r="K850">
        <v>-714778975</v>
      </c>
      <c r="L850">
        <v>-569018688</v>
      </c>
      <c r="M850">
        <v>-1113634745</v>
      </c>
      <c r="N850">
        <v>-468982934</v>
      </c>
      <c r="O850">
        <v>-989345221</v>
      </c>
      <c r="P850">
        <v>612</v>
      </c>
      <c r="Q850" t="s">
        <v>1744</v>
      </c>
    </row>
    <row r="851" spans="1:17" x14ac:dyDescent="0.3">
      <c r="A851" t="s">
        <v>17</v>
      </c>
      <c r="B851" t="str">
        <f>"600999"</f>
        <v>600999</v>
      </c>
      <c r="C851" t="s">
        <v>1745</v>
      </c>
      <c r="D851" t="s">
        <v>75</v>
      </c>
      <c r="F851">
        <v>-41605813310</v>
      </c>
      <c r="G851">
        <v>-10179057513</v>
      </c>
      <c r="H851">
        <v>9747215199</v>
      </c>
      <c r="I851">
        <v>33704368993</v>
      </c>
      <c r="J851">
        <v>-42823011699</v>
      </c>
      <c r="K851">
        <v>-24381251432</v>
      </c>
      <c r="L851">
        <v>-18709006705</v>
      </c>
      <c r="M851">
        <v>19246857708</v>
      </c>
      <c r="N851">
        <v>-18711053399</v>
      </c>
      <c r="O851">
        <v>-3342179789</v>
      </c>
      <c r="P851">
        <v>2820</v>
      </c>
      <c r="Q851" t="s">
        <v>1746</v>
      </c>
    </row>
    <row r="852" spans="1:17" x14ac:dyDescent="0.3">
      <c r="A852" t="s">
        <v>17</v>
      </c>
      <c r="B852" t="str">
        <f>"601000"</f>
        <v>601000</v>
      </c>
      <c r="C852" t="s">
        <v>1747</v>
      </c>
      <c r="D852" t="s">
        <v>22</v>
      </c>
      <c r="F852">
        <v>1535786792</v>
      </c>
      <c r="G852">
        <v>2009815957</v>
      </c>
      <c r="H852">
        <v>924439449</v>
      </c>
      <c r="I852">
        <v>532439141</v>
      </c>
      <c r="J852">
        <v>716927030</v>
      </c>
      <c r="K852">
        <v>1218578619</v>
      </c>
      <c r="L852">
        <v>399884985</v>
      </c>
      <c r="M852">
        <v>-345841509</v>
      </c>
      <c r="N852">
        <v>15411653</v>
      </c>
      <c r="O852">
        <v>118519872</v>
      </c>
      <c r="P852">
        <v>892</v>
      </c>
      <c r="Q852" t="s">
        <v>1748</v>
      </c>
    </row>
    <row r="853" spans="1:17" x14ac:dyDescent="0.3">
      <c r="A853" t="s">
        <v>17</v>
      </c>
      <c r="B853" t="str">
        <f>"601001"</f>
        <v>601001</v>
      </c>
      <c r="C853" t="s">
        <v>1749</v>
      </c>
      <c r="D853" t="s">
        <v>257</v>
      </c>
      <c r="F853">
        <v>7338452914</v>
      </c>
      <c r="G853">
        <v>2957485614</v>
      </c>
      <c r="H853">
        <v>2227238182</v>
      </c>
      <c r="I853">
        <v>2265827150</v>
      </c>
      <c r="J853">
        <v>2516211692</v>
      </c>
      <c r="K853">
        <v>1706644012</v>
      </c>
      <c r="L853">
        <v>-2793117659</v>
      </c>
      <c r="M853">
        <v>-1556587141</v>
      </c>
      <c r="N853">
        <v>-852391000</v>
      </c>
      <c r="O853">
        <v>-957372719</v>
      </c>
      <c r="P853">
        <v>289</v>
      </c>
      <c r="Q853" t="s">
        <v>1750</v>
      </c>
    </row>
    <row r="854" spans="1:17" x14ac:dyDescent="0.3">
      <c r="A854" t="s">
        <v>17</v>
      </c>
      <c r="B854" t="str">
        <f>"601002"</f>
        <v>601002</v>
      </c>
      <c r="C854" t="s">
        <v>1751</v>
      </c>
      <c r="D854" t="s">
        <v>78</v>
      </c>
      <c r="F854">
        <v>-302389099</v>
      </c>
      <c r="G854">
        <v>360637706</v>
      </c>
      <c r="H854">
        <v>292229516</v>
      </c>
      <c r="I854">
        <v>223280614</v>
      </c>
      <c r="J854">
        <v>-50398484</v>
      </c>
      <c r="K854">
        <v>181702843</v>
      </c>
      <c r="L854">
        <v>71375866</v>
      </c>
      <c r="M854">
        <v>132766270</v>
      </c>
      <c r="N854">
        <v>-47866152</v>
      </c>
      <c r="O854">
        <v>256718753</v>
      </c>
      <c r="P854">
        <v>146</v>
      </c>
      <c r="Q854" t="s">
        <v>1752</v>
      </c>
    </row>
    <row r="855" spans="1:17" x14ac:dyDescent="0.3">
      <c r="A855" t="s">
        <v>17</v>
      </c>
      <c r="B855" t="str">
        <f>"601003"</f>
        <v>601003</v>
      </c>
      <c r="C855" t="s">
        <v>1753</v>
      </c>
      <c r="D855" t="s">
        <v>38</v>
      </c>
      <c r="F855">
        <v>-167264091</v>
      </c>
      <c r="G855">
        <v>-10196976390</v>
      </c>
      <c r="H855">
        <v>4851741915</v>
      </c>
      <c r="I855">
        <v>5612960562</v>
      </c>
      <c r="J855">
        <v>4433023459</v>
      </c>
      <c r="K855">
        <v>1567942414</v>
      </c>
      <c r="L855">
        <v>257563970</v>
      </c>
      <c r="M855">
        <v>2942090554</v>
      </c>
      <c r="N855">
        <v>1663853779</v>
      </c>
      <c r="O855">
        <v>-2878105000</v>
      </c>
      <c r="P855">
        <v>1021</v>
      </c>
      <c r="Q855" t="s">
        <v>1754</v>
      </c>
    </row>
    <row r="856" spans="1:17" x14ac:dyDescent="0.3">
      <c r="A856" t="s">
        <v>17</v>
      </c>
      <c r="B856" t="str">
        <f>"601005"</f>
        <v>601005</v>
      </c>
      <c r="C856" t="s">
        <v>1755</v>
      </c>
      <c r="D856" t="s">
        <v>38</v>
      </c>
      <c r="F856">
        <v>737733000</v>
      </c>
      <c r="G856">
        <v>1114607000</v>
      </c>
      <c r="H856">
        <v>-742770000</v>
      </c>
      <c r="I856">
        <v>1340143000</v>
      </c>
      <c r="J856">
        <v>7392839000</v>
      </c>
      <c r="K856">
        <v>-582250000</v>
      </c>
      <c r="L856">
        <v>-1064978000</v>
      </c>
      <c r="M856">
        <v>1211791000</v>
      </c>
      <c r="N856">
        <v>-149640000</v>
      </c>
      <c r="O856">
        <v>3199762000</v>
      </c>
      <c r="P856">
        <v>249</v>
      </c>
      <c r="Q856" t="s">
        <v>1756</v>
      </c>
    </row>
    <row r="857" spans="1:17" x14ac:dyDescent="0.3">
      <c r="A857" t="s">
        <v>17</v>
      </c>
      <c r="B857" t="str">
        <f>"601006"</f>
        <v>601006</v>
      </c>
      <c r="C857" t="s">
        <v>1757</v>
      </c>
      <c r="D857" t="s">
        <v>22</v>
      </c>
      <c r="F857">
        <v>15394923976</v>
      </c>
      <c r="G857">
        <v>10639396408</v>
      </c>
      <c r="H857">
        <v>9844584120</v>
      </c>
      <c r="I857">
        <v>11220291373</v>
      </c>
      <c r="J857">
        <v>13138348480</v>
      </c>
      <c r="K857">
        <v>3202816178</v>
      </c>
      <c r="L857">
        <v>8338822206</v>
      </c>
      <c r="M857">
        <v>11847818620</v>
      </c>
      <c r="N857">
        <v>10040841233</v>
      </c>
      <c r="O857">
        <v>8996249016</v>
      </c>
      <c r="P857">
        <v>4203</v>
      </c>
      <c r="Q857" t="s">
        <v>1758</v>
      </c>
    </row>
    <row r="858" spans="1:17" x14ac:dyDescent="0.3">
      <c r="A858" t="s">
        <v>17</v>
      </c>
      <c r="B858" t="str">
        <f>"601007"</f>
        <v>601007</v>
      </c>
      <c r="C858" t="s">
        <v>1759</v>
      </c>
      <c r="D858" t="s">
        <v>110</v>
      </c>
      <c r="F858">
        <v>202107810</v>
      </c>
      <c r="G858">
        <v>128854061</v>
      </c>
      <c r="H858">
        <v>61715026</v>
      </c>
      <c r="I858">
        <v>187746544</v>
      </c>
      <c r="J858">
        <v>252473089</v>
      </c>
      <c r="K858">
        <v>38555004</v>
      </c>
      <c r="L858">
        <v>-28465464</v>
      </c>
      <c r="M858">
        <v>-144357620</v>
      </c>
      <c r="N858">
        <v>-383924306</v>
      </c>
      <c r="O858">
        <v>-189641195</v>
      </c>
      <c r="P858">
        <v>111</v>
      </c>
      <c r="Q858" t="s">
        <v>1760</v>
      </c>
    </row>
    <row r="859" spans="1:17" x14ac:dyDescent="0.3">
      <c r="A859" t="s">
        <v>17</v>
      </c>
      <c r="B859" t="str">
        <f>"601008"</f>
        <v>601008</v>
      </c>
      <c r="C859" t="s">
        <v>1761</v>
      </c>
      <c r="D859" t="s">
        <v>22</v>
      </c>
      <c r="F859">
        <v>305003363</v>
      </c>
      <c r="G859">
        <v>-139599669</v>
      </c>
      <c r="H859">
        <v>540127296</v>
      </c>
      <c r="I859">
        <v>-682533450</v>
      </c>
      <c r="J859">
        <v>482072</v>
      </c>
      <c r="K859">
        <v>-73218995</v>
      </c>
      <c r="L859">
        <v>-266682551</v>
      </c>
      <c r="M859">
        <v>-349210941</v>
      </c>
      <c r="N859">
        <v>-475254649</v>
      </c>
      <c r="O859">
        <v>-3511565</v>
      </c>
      <c r="P859">
        <v>131</v>
      </c>
      <c r="Q859" t="s">
        <v>1762</v>
      </c>
    </row>
    <row r="860" spans="1:17" x14ac:dyDescent="0.3">
      <c r="A860" t="s">
        <v>17</v>
      </c>
      <c r="B860" t="str">
        <f>"601009"</f>
        <v>601009</v>
      </c>
      <c r="C860" t="s">
        <v>1763</v>
      </c>
      <c r="D860" t="s">
        <v>19</v>
      </c>
      <c r="F860">
        <v>118400957000</v>
      </c>
      <c r="G860">
        <v>28690445000</v>
      </c>
      <c r="H860">
        <v>27596174000</v>
      </c>
      <c r="I860">
        <v>39222718000</v>
      </c>
      <c r="J860">
        <v>-975149000</v>
      </c>
      <c r="K860">
        <v>47926499000</v>
      </c>
      <c r="L860">
        <v>79603896000</v>
      </c>
      <c r="M860">
        <v>109731690000</v>
      </c>
      <c r="N860">
        <v>66083565000</v>
      </c>
      <c r="O860">
        <v>10611247000</v>
      </c>
      <c r="P860">
        <v>44245</v>
      </c>
      <c r="Q860" t="s">
        <v>1764</v>
      </c>
    </row>
    <row r="861" spans="1:17" x14ac:dyDescent="0.3">
      <c r="A861" t="s">
        <v>17</v>
      </c>
      <c r="B861" t="str">
        <f>"601010"</f>
        <v>601010</v>
      </c>
      <c r="C861" t="s">
        <v>1765</v>
      </c>
      <c r="D861" t="s">
        <v>120</v>
      </c>
      <c r="F861">
        <v>234369734</v>
      </c>
      <c r="G861">
        <v>358605446</v>
      </c>
      <c r="H861">
        <v>560261429</v>
      </c>
      <c r="I861">
        <v>172301998</v>
      </c>
      <c r="J861">
        <v>362307098</v>
      </c>
      <c r="K861">
        <v>431141867</v>
      </c>
      <c r="L861">
        <v>-360006628</v>
      </c>
      <c r="M861">
        <v>20708069</v>
      </c>
      <c r="N861">
        <v>34353761</v>
      </c>
      <c r="O861">
        <v>-36549107</v>
      </c>
      <c r="P861">
        <v>94</v>
      </c>
      <c r="Q861" t="s">
        <v>1766</v>
      </c>
    </row>
    <row r="862" spans="1:17" x14ac:dyDescent="0.3">
      <c r="A862" t="s">
        <v>17</v>
      </c>
      <c r="B862" t="str">
        <f>"601011"</f>
        <v>601011</v>
      </c>
      <c r="C862" t="s">
        <v>1767</v>
      </c>
      <c r="D862" t="s">
        <v>257</v>
      </c>
      <c r="F862">
        <v>238556565</v>
      </c>
      <c r="G862">
        <v>-7413976</v>
      </c>
      <c r="H862">
        <v>-96719099</v>
      </c>
      <c r="I862">
        <v>216822328</v>
      </c>
      <c r="J862">
        <v>-306731354</v>
      </c>
      <c r="K862">
        <v>-569473943</v>
      </c>
      <c r="L862">
        <v>-751160399</v>
      </c>
      <c r="M862">
        <v>-139309354</v>
      </c>
      <c r="N862">
        <v>-74139516</v>
      </c>
      <c r="O862">
        <v>-419277650</v>
      </c>
      <c r="P862">
        <v>134</v>
      </c>
      <c r="Q862" t="s">
        <v>1768</v>
      </c>
    </row>
    <row r="863" spans="1:17" x14ac:dyDescent="0.3">
      <c r="A863" t="s">
        <v>17</v>
      </c>
      <c r="B863" t="str">
        <f>"601012"</f>
        <v>601012</v>
      </c>
      <c r="C863" t="s">
        <v>1769</v>
      </c>
      <c r="D863" t="s">
        <v>188</v>
      </c>
      <c r="F863">
        <v>7483361861</v>
      </c>
      <c r="G863">
        <v>6214765495</v>
      </c>
      <c r="H863">
        <v>5474636015</v>
      </c>
      <c r="I863">
        <v>-2650115310</v>
      </c>
      <c r="J863">
        <v>-2702894830</v>
      </c>
      <c r="K863">
        <v>-1541254736</v>
      </c>
      <c r="L863">
        <v>-598150944</v>
      </c>
      <c r="M863">
        <v>-127078355</v>
      </c>
      <c r="N863">
        <v>-261762418</v>
      </c>
      <c r="O863">
        <v>-237709633</v>
      </c>
      <c r="P863">
        <v>6947</v>
      </c>
      <c r="Q863" t="s">
        <v>1770</v>
      </c>
    </row>
    <row r="864" spans="1:17" x14ac:dyDescent="0.3">
      <c r="A864" t="s">
        <v>17</v>
      </c>
      <c r="B864" t="str">
        <f>"601015"</f>
        <v>601015</v>
      </c>
      <c r="C864" t="s">
        <v>1771</v>
      </c>
      <c r="D864" t="s">
        <v>257</v>
      </c>
      <c r="F864">
        <v>-249870486</v>
      </c>
      <c r="G864">
        <v>-2126298836</v>
      </c>
      <c r="H864">
        <v>-1110567284</v>
      </c>
      <c r="I864">
        <v>-48601271</v>
      </c>
      <c r="J864">
        <v>346139231</v>
      </c>
      <c r="K864">
        <v>477799420</v>
      </c>
      <c r="L864">
        <v>-176493783</v>
      </c>
      <c r="M864">
        <v>-1117562846</v>
      </c>
      <c r="N864">
        <v>-22617679</v>
      </c>
      <c r="O864">
        <v>-989435848</v>
      </c>
      <c r="P864">
        <v>212</v>
      </c>
      <c r="Q864" t="s">
        <v>1772</v>
      </c>
    </row>
    <row r="865" spans="1:17" x14ac:dyDescent="0.3">
      <c r="A865" t="s">
        <v>17</v>
      </c>
      <c r="B865" t="str">
        <f>"601016"</f>
        <v>601016</v>
      </c>
      <c r="C865" t="s">
        <v>1773</v>
      </c>
      <c r="D865" t="s">
        <v>41</v>
      </c>
      <c r="F865">
        <v>-4073738897</v>
      </c>
      <c r="G865">
        <v>-6175172976</v>
      </c>
      <c r="H865">
        <v>-904097011</v>
      </c>
      <c r="I865">
        <v>-235299858</v>
      </c>
      <c r="J865">
        <v>-1449524650</v>
      </c>
      <c r="K865">
        <v>-1618031237</v>
      </c>
      <c r="L865">
        <v>-947671487</v>
      </c>
      <c r="M865">
        <v>-260324144</v>
      </c>
      <c r="N865">
        <v>-125503479</v>
      </c>
      <c r="O865">
        <v>-309234627</v>
      </c>
      <c r="P865">
        <v>542</v>
      </c>
      <c r="Q865" t="s">
        <v>1774</v>
      </c>
    </row>
    <row r="866" spans="1:17" x14ac:dyDescent="0.3">
      <c r="A866" t="s">
        <v>17</v>
      </c>
      <c r="B866" t="str">
        <f>"601018"</f>
        <v>601018</v>
      </c>
      <c r="C866" t="s">
        <v>1775</v>
      </c>
      <c r="D866" t="s">
        <v>22</v>
      </c>
      <c r="F866">
        <v>1882114000</v>
      </c>
      <c r="G866">
        <v>2761852000</v>
      </c>
      <c r="H866">
        <v>-2131237000</v>
      </c>
      <c r="I866">
        <v>7872794000</v>
      </c>
      <c r="J866">
        <v>1394612000</v>
      </c>
      <c r="K866">
        <v>2729478000</v>
      </c>
      <c r="L866">
        <v>851551000</v>
      </c>
      <c r="M866">
        <v>1166197000</v>
      </c>
      <c r="N866">
        <v>1334286000</v>
      </c>
      <c r="O866">
        <v>326220000</v>
      </c>
      <c r="P866">
        <v>335</v>
      </c>
      <c r="Q866" t="s">
        <v>1776</v>
      </c>
    </row>
    <row r="867" spans="1:17" x14ac:dyDescent="0.3">
      <c r="A867" t="s">
        <v>17</v>
      </c>
      <c r="B867" t="str">
        <f>"601019"</f>
        <v>601019</v>
      </c>
      <c r="C867" t="s">
        <v>1777</v>
      </c>
      <c r="D867" t="s">
        <v>89</v>
      </c>
      <c r="F867">
        <v>1610107213</v>
      </c>
      <c r="G867">
        <v>1316384614</v>
      </c>
      <c r="H867">
        <v>1039056827</v>
      </c>
      <c r="I867">
        <v>980917023</v>
      </c>
      <c r="J867">
        <v>261456281</v>
      </c>
      <c r="K867">
        <v>935395056</v>
      </c>
      <c r="L867">
        <v>575203598</v>
      </c>
      <c r="M867">
        <v>543495528</v>
      </c>
      <c r="P867">
        <v>401</v>
      </c>
      <c r="Q867" t="s">
        <v>1778</v>
      </c>
    </row>
    <row r="868" spans="1:17" x14ac:dyDescent="0.3">
      <c r="A868" t="s">
        <v>17</v>
      </c>
      <c r="B868" t="str">
        <f>"601020"</f>
        <v>601020</v>
      </c>
      <c r="C868" t="s">
        <v>1779</v>
      </c>
      <c r="D868" t="s">
        <v>234</v>
      </c>
      <c r="F868">
        <v>8643197</v>
      </c>
      <c r="G868">
        <v>317348552</v>
      </c>
      <c r="H868">
        <v>-103598828</v>
      </c>
      <c r="I868">
        <v>236680579</v>
      </c>
      <c r="J868">
        <v>-1932755</v>
      </c>
      <c r="K868">
        <v>79000906</v>
      </c>
      <c r="L868">
        <v>47957536</v>
      </c>
      <c r="M868">
        <v>26896354</v>
      </c>
      <c r="N868">
        <v>-375101655</v>
      </c>
      <c r="P868">
        <v>180</v>
      </c>
      <c r="Q868" t="s">
        <v>1780</v>
      </c>
    </row>
    <row r="869" spans="1:17" x14ac:dyDescent="0.3">
      <c r="A869" t="s">
        <v>17</v>
      </c>
      <c r="B869" t="str">
        <f>"601021"</f>
        <v>601021</v>
      </c>
      <c r="C869" t="s">
        <v>1781</v>
      </c>
      <c r="D869" t="s">
        <v>22</v>
      </c>
      <c r="F869">
        <v>-4506496739</v>
      </c>
      <c r="G869">
        <v>-3530831882</v>
      </c>
      <c r="H869">
        <v>-1900622710</v>
      </c>
      <c r="I869">
        <v>-264377033</v>
      </c>
      <c r="J869">
        <v>-218994915</v>
      </c>
      <c r="K869">
        <v>-2281220965</v>
      </c>
      <c r="L869">
        <v>-1578115468</v>
      </c>
      <c r="M869">
        <v>-1369302076</v>
      </c>
      <c r="N869">
        <v>822921205</v>
      </c>
      <c r="O869">
        <v>-252440929</v>
      </c>
      <c r="P869">
        <v>1019</v>
      </c>
      <c r="Q869" t="s">
        <v>1782</v>
      </c>
    </row>
    <row r="870" spans="1:17" x14ac:dyDescent="0.3">
      <c r="A870" t="s">
        <v>17</v>
      </c>
      <c r="B870" t="str">
        <f>"601028"</f>
        <v>601028</v>
      </c>
      <c r="C870" t="s">
        <v>1783</v>
      </c>
      <c r="D870" t="s">
        <v>120</v>
      </c>
      <c r="F870">
        <v>47377210</v>
      </c>
      <c r="G870">
        <v>-296201868</v>
      </c>
      <c r="H870">
        <v>-1082367919</v>
      </c>
      <c r="I870">
        <v>-54236154</v>
      </c>
      <c r="J870">
        <v>174552957</v>
      </c>
      <c r="K870">
        <v>55749124</v>
      </c>
      <c r="L870">
        <v>216754857</v>
      </c>
      <c r="M870">
        <v>269347191</v>
      </c>
      <c r="N870">
        <v>-350842721</v>
      </c>
      <c r="O870">
        <v>64722128</v>
      </c>
      <c r="P870">
        <v>87</v>
      </c>
      <c r="Q870" t="s">
        <v>1784</v>
      </c>
    </row>
    <row r="871" spans="1:17" x14ac:dyDescent="0.3">
      <c r="A871" t="s">
        <v>17</v>
      </c>
      <c r="B871" t="str">
        <f>"601038"</f>
        <v>601038</v>
      </c>
      <c r="C871" t="s">
        <v>1785</v>
      </c>
      <c r="D871" t="s">
        <v>78</v>
      </c>
      <c r="F871">
        <v>535257240</v>
      </c>
      <c r="G871">
        <v>1186092607</v>
      </c>
      <c r="H871">
        <v>101297997</v>
      </c>
      <c r="I871">
        <v>-648954427</v>
      </c>
      <c r="J871">
        <v>-846217217</v>
      </c>
      <c r="K871">
        <v>1878069040</v>
      </c>
      <c r="L871">
        <v>399009422</v>
      </c>
      <c r="M871">
        <v>-573546180</v>
      </c>
      <c r="N871">
        <v>-595940831</v>
      </c>
      <c r="O871">
        <v>59151902</v>
      </c>
      <c r="P871">
        <v>179</v>
      </c>
      <c r="Q871" t="s">
        <v>1786</v>
      </c>
    </row>
    <row r="872" spans="1:17" x14ac:dyDescent="0.3">
      <c r="A872" t="s">
        <v>17</v>
      </c>
      <c r="B872" t="str">
        <f>"601058"</f>
        <v>601058</v>
      </c>
      <c r="C872" t="s">
        <v>1787</v>
      </c>
      <c r="D872" t="s">
        <v>27</v>
      </c>
      <c r="F872">
        <v>-1745163091</v>
      </c>
      <c r="G872">
        <v>1888030391</v>
      </c>
      <c r="H872">
        <v>802455443</v>
      </c>
      <c r="I872">
        <v>1523218053</v>
      </c>
      <c r="J872">
        <v>306562680</v>
      </c>
      <c r="K872">
        <v>577182850</v>
      </c>
      <c r="L872">
        <v>-19394876</v>
      </c>
      <c r="M872">
        <v>150944267</v>
      </c>
      <c r="N872">
        <v>-746706871</v>
      </c>
      <c r="O872">
        <v>-51489024</v>
      </c>
      <c r="P872">
        <v>590</v>
      </c>
      <c r="Q872" t="s">
        <v>1788</v>
      </c>
    </row>
    <row r="873" spans="1:17" x14ac:dyDescent="0.3">
      <c r="A873" t="s">
        <v>17</v>
      </c>
      <c r="B873" t="str">
        <f>"601066"</f>
        <v>601066</v>
      </c>
      <c r="C873" t="s">
        <v>1789</v>
      </c>
      <c r="D873" t="s">
        <v>75</v>
      </c>
      <c r="F873">
        <v>10499058706</v>
      </c>
      <c r="G873">
        <v>-21189179091</v>
      </c>
      <c r="H873">
        <v>36400554738</v>
      </c>
      <c r="I873">
        <v>4330356429</v>
      </c>
      <c r="J873">
        <v>-46047502589</v>
      </c>
      <c r="K873">
        <v>4567973027</v>
      </c>
      <c r="L873">
        <v>16201867054</v>
      </c>
      <c r="M873">
        <v>18864828300</v>
      </c>
      <c r="N873">
        <v>-7539514041</v>
      </c>
      <c r="O873">
        <v>5034273010</v>
      </c>
      <c r="P873">
        <v>1825</v>
      </c>
      <c r="Q873" t="s">
        <v>1790</v>
      </c>
    </row>
    <row r="874" spans="1:17" x14ac:dyDescent="0.3">
      <c r="A874" t="s">
        <v>17</v>
      </c>
      <c r="B874" t="str">
        <f>"601068"</f>
        <v>601068</v>
      </c>
      <c r="C874" t="s">
        <v>1791</v>
      </c>
      <c r="D874" t="s">
        <v>95</v>
      </c>
      <c r="F874">
        <v>-3914410073</v>
      </c>
      <c r="G874">
        <v>-3654368521</v>
      </c>
      <c r="H874">
        <v>-191242655</v>
      </c>
      <c r="I874">
        <v>321493169</v>
      </c>
      <c r="J874">
        <v>1392146583</v>
      </c>
      <c r="K874">
        <v>-1422492097</v>
      </c>
      <c r="L874">
        <v>-720399538</v>
      </c>
      <c r="P874">
        <v>109</v>
      </c>
      <c r="Q874" t="s">
        <v>1792</v>
      </c>
    </row>
    <row r="875" spans="1:17" x14ac:dyDescent="0.3">
      <c r="A875" t="s">
        <v>17</v>
      </c>
      <c r="B875" t="str">
        <f>"601069"</f>
        <v>601069</v>
      </c>
      <c r="C875" t="s">
        <v>1793</v>
      </c>
      <c r="D875" t="s">
        <v>234</v>
      </c>
      <c r="F875">
        <v>17699257</v>
      </c>
      <c r="G875">
        <v>354174029</v>
      </c>
      <c r="H875">
        <v>-242602</v>
      </c>
      <c r="I875">
        <v>-79049699</v>
      </c>
      <c r="J875">
        <v>160972653</v>
      </c>
      <c r="K875">
        <v>71956214</v>
      </c>
      <c r="L875">
        <v>-94826722</v>
      </c>
      <c r="M875">
        <v>15588866</v>
      </c>
      <c r="N875">
        <v>-209477168</v>
      </c>
      <c r="O875">
        <v>-68061685</v>
      </c>
      <c r="P875">
        <v>142</v>
      </c>
      <c r="Q875" t="s">
        <v>1794</v>
      </c>
    </row>
    <row r="876" spans="1:17" x14ac:dyDescent="0.3">
      <c r="A876" t="s">
        <v>17</v>
      </c>
      <c r="B876" t="str">
        <f>"601077"</f>
        <v>601077</v>
      </c>
      <c r="C876" t="s">
        <v>1795</v>
      </c>
      <c r="D876" t="s">
        <v>19</v>
      </c>
      <c r="F876">
        <v>40433768000</v>
      </c>
      <c r="G876">
        <v>41723211000</v>
      </c>
      <c r="H876">
        <v>23069942000</v>
      </c>
      <c r="I876">
        <v>-81814542000</v>
      </c>
      <c r="J876">
        <v>-20153162000</v>
      </c>
      <c r="K876">
        <v>5376506000</v>
      </c>
      <c r="L876">
        <v>84429825000</v>
      </c>
      <c r="M876">
        <v>48089651000</v>
      </c>
      <c r="N876">
        <v>5340971000</v>
      </c>
      <c r="O876">
        <v>20991112000</v>
      </c>
      <c r="P876">
        <v>509</v>
      </c>
      <c r="Q876" t="s">
        <v>1796</v>
      </c>
    </row>
    <row r="877" spans="1:17" x14ac:dyDescent="0.3">
      <c r="A877" t="s">
        <v>17</v>
      </c>
      <c r="B877" t="str">
        <f>"601086"</f>
        <v>601086</v>
      </c>
      <c r="C877" t="s">
        <v>1797</v>
      </c>
      <c r="D877" t="s">
        <v>120</v>
      </c>
      <c r="F877">
        <v>136594619</v>
      </c>
      <c r="G877">
        <v>111453542</v>
      </c>
      <c r="H877">
        <v>89324524</v>
      </c>
      <c r="I877">
        <v>183330556</v>
      </c>
      <c r="J877">
        <v>102478905</v>
      </c>
      <c r="K877">
        <v>163665252</v>
      </c>
      <c r="L877">
        <v>79183228</v>
      </c>
      <c r="M877">
        <v>-10751967</v>
      </c>
      <c r="P877">
        <v>79</v>
      </c>
      <c r="Q877" t="s">
        <v>1798</v>
      </c>
    </row>
    <row r="878" spans="1:17" x14ac:dyDescent="0.3">
      <c r="A878" t="s">
        <v>17</v>
      </c>
      <c r="B878" t="str">
        <f>"601088"</f>
        <v>601088</v>
      </c>
      <c r="C878" t="s">
        <v>1799</v>
      </c>
      <c r="D878" t="s">
        <v>257</v>
      </c>
      <c r="F878">
        <v>71620000000</v>
      </c>
      <c r="G878">
        <v>61106000000</v>
      </c>
      <c r="H878">
        <v>45226000000</v>
      </c>
      <c r="I878">
        <v>68255000000</v>
      </c>
      <c r="J878">
        <v>76226000000</v>
      </c>
      <c r="K878">
        <v>53474000000</v>
      </c>
      <c r="L878">
        <v>26170000000</v>
      </c>
      <c r="M878">
        <v>23658000000</v>
      </c>
      <c r="N878">
        <v>2790000000</v>
      </c>
      <c r="O878">
        <v>18698000000</v>
      </c>
      <c r="P878">
        <v>3942</v>
      </c>
      <c r="Q878" t="s">
        <v>1800</v>
      </c>
    </row>
    <row r="879" spans="1:17" x14ac:dyDescent="0.3">
      <c r="A879" t="s">
        <v>17</v>
      </c>
      <c r="B879" t="str">
        <f>"601098"</f>
        <v>601098</v>
      </c>
      <c r="C879" t="s">
        <v>1801</v>
      </c>
      <c r="D879" t="s">
        <v>89</v>
      </c>
      <c r="F879">
        <v>-784799311</v>
      </c>
      <c r="G879">
        <v>961538098</v>
      </c>
      <c r="H879">
        <v>2518374058</v>
      </c>
      <c r="I879">
        <v>1203614158</v>
      </c>
      <c r="J879">
        <v>1614572568</v>
      </c>
      <c r="K879">
        <v>2022179863</v>
      </c>
      <c r="L879">
        <v>1564484075</v>
      </c>
      <c r="M879">
        <v>1376595335</v>
      </c>
      <c r="N879">
        <v>1126259196</v>
      </c>
      <c r="O879">
        <v>1004151243</v>
      </c>
      <c r="P879">
        <v>882</v>
      </c>
      <c r="Q879" t="s">
        <v>1802</v>
      </c>
    </row>
    <row r="880" spans="1:17" x14ac:dyDescent="0.3">
      <c r="A880" t="s">
        <v>17</v>
      </c>
      <c r="B880" t="str">
        <f>"601099"</f>
        <v>601099</v>
      </c>
      <c r="C880" t="s">
        <v>1803</v>
      </c>
      <c r="D880" t="s">
        <v>75</v>
      </c>
      <c r="F880">
        <v>2160777610</v>
      </c>
      <c r="G880">
        <v>4019008681</v>
      </c>
      <c r="H880">
        <v>4654446674</v>
      </c>
      <c r="I880">
        <v>2427521430</v>
      </c>
      <c r="J880">
        <v>521566872</v>
      </c>
      <c r="K880">
        <v>-4098797710</v>
      </c>
      <c r="L880">
        <v>-8228445396</v>
      </c>
      <c r="M880">
        <v>-1244337036</v>
      </c>
      <c r="N880">
        <v>-429052064</v>
      </c>
      <c r="O880">
        <v>-753928819</v>
      </c>
      <c r="P880">
        <v>738</v>
      </c>
      <c r="Q880" t="s">
        <v>1804</v>
      </c>
    </row>
    <row r="881" spans="1:17" x14ac:dyDescent="0.3">
      <c r="A881" t="s">
        <v>17</v>
      </c>
      <c r="B881" t="str">
        <f>"601100"</f>
        <v>601100</v>
      </c>
      <c r="C881" t="s">
        <v>1805</v>
      </c>
      <c r="D881" t="s">
        <v>78</v>
      </c>
      <c r="F881">
        <v>2233980849</v>
      </c>
      <c r="G881">
        <v>1581122444</v>
      </c>
      <c r="H881">
        <v>1221628470</v>
      </c>
      <c r="I881">
        <v>301781006</v>
      </c>
      <c r="J881">
        <v>-58155906</v>
      </c>
      <c r="K881">
        <v>-174064619</v>
      </c>
      <c r="L881">
        <v>-61531902</v>
      </c>
      <c r="M881">
        <v>-248397770</v>
      </c>
      <c r="N881">
        <v>-313026997</v>
      </c>
      <c r="O881">
        <v>-214773561</v>
      </c>
      <c r="P881">
        <v>1784</v>
      </c>
      <c r="Q881" t="s">
        <v>1806</v>
      </c>
    </row>
    <row r="882" spans="1:17" x14ac:dyDescent="0.3">
      <c r="A882" t="s">
        <v>17</v>
      </c>
      <c r="B882" t="str">
        <f>"601101"</f>
        <v>601101</v>
      </c>
      <c r="C882" t="s">
        <v>1807</v>
      </c>
      <c r="D882" t="s">
        <v>257</v>
      </c>
      <c r="F882">
        <v>2940840225</v>
      </c>
      <c r="G882">
        <v>749457549</v>
      </c>
      <c r="H882">
        <v>1227577519</v>
      </c>
      <c r="I882">
        <v>2157078074</v>
      </c>
      <c r="J882">
        <v>1156244301</v>
      </c>
      <c r="K882">
        <v>744103493</v>
      </c>
      <c r="L882">
        <v>-801011916</v>
      </c>
      <c r="M882">
        <v>-1099145076</v>
      </c>
      <c r="N882">
        <v>-969990717</v>
      </c>
      <c r="O882">
        <v>-684274908</v>
      </c>
      <c r="P882">
        <v>281</v>
      </c>
      <c r="Q882" t="s">
        <v>1808</v>
      </c>
    </row>
    <row r="883" spans="1:17" x14ac:dyDescent="0.3">
      <c r="A883" t="s">
        <v>17</v>
      </c>
      <c r="B883" t="str">
        <f>"601106"</f>
        <v>601106</v>
      </c>
      <c r="C883" t="s">
        <v>1809</v>
      </c>
      <c r="D883" t="s">
        <v>78</v>
      </c>
      <c r="F883">
        <v>519396743</v>
      </c>
      <c r="G883">
        <v>265912896</v>
      </c>
      <c r="H883">
        <v>2053235751</v>
      </c>
      <c r="I883">
        <v>273081827</v>
      </c>
      <c r="J883">
        <v>540179342</v>
      </c>
      <c r="K883">
        <v>-7650609</v>
      </c>
      <c r="L883">
        <v>-589830426</v>
      </c>
      <c r="M883">
        <v>-2410966104</v>
      </c>
      <c r="N883">
        <v>1175238823</v>
      </c>
      <c r="O883">
        <v>-2552236726</v>
      </c>
      <c r="P883">
        <v>175</v>
      </c>
      <c r="Q883" t="s">
        <v>1810</v>
      </c>
    </row>
    <row r="884" spans="1:17" x14ac:dyDescent="0.3">
      <c r="A884" t="s">
        <v>17</v>
      </c>
      <c r="B884" t="str">
        <f>"601107"</f>
        <v>601107</v>
      </c>
      <c r="C884" t="s">
        <v>1811</v>
      </c>
      <c r="D884" t="s">
        <v>22</v>
      </c>
      <c r="F884">
        <v>-1961675137</v>
      </c>
      <c r="G884">
        <v>-643146808</v>
      </c>
      <c r="H884">
        <v>329595208</v>
      </c>
      <c r="I884">
        <v>1840966124</v>
      </c>
      <c r="J884">
        <v>183849436</v>
      </c>
      <c r="K884">
        <v>727477272</v>
      </c>
      <c r="L884">
        <v>-2285753163</v>
      </c>
      <c r="M884">
        <v>-670087285</v>
      </c>
      <c r="N884">
        <v>-2875097281</v>
      </c>
      <c r="O884">
        <v>-1036857353</v>
      </c>
      <c r="P884">
        <v>231</v>
      </c>
      <c r="Q884" t="s">
        <v>1812</v>
      </c>
    </row>
    <row r="885" spans="1:17" x14ac:dyDescent="0.3">
      <c r="A885" t="s">
        <v>17</v>
      </c>
      <c r="B885" t="str">
        <f>"601108"</f>
        <v>601108</v>
      </c>
      <c r="C885" t="s">
        <v>1813</v>
      </c>
      <c r="D885" t="s">
        <v>75</v>
      </c>
      <c r="F885">
        <v>2736924583</v>
      </c>
      <c r="G885">
        <v>-4450671515</v>
      </c>
      <c r="H885">
        <v>6422262265</v>
      </c>
      <c r="I885">
        <v>2230792330</v>
      </c>
      <c r="J885">
        <v>-13636821269</v>
      </c>
      <c r="K885">
        <v>-1111506223</v>
      </c>
      <c r="L885">
        <v>2193159656</v>
      </c>
      <c r="M885">
        <v>2578641388</v>
      </c>
      <c r="N885">
        <v>-512729800</v>
      </c>
      <c r="O885">
        <v>-269354100</v>
      </c>
      <c r="P885">
        <v>980</v>
      </c>
      <c r="Q885" t="s">
        <v>1814</v>
      </c>
    </row>
    <row r="886" spans="1:17" x14ac:dyDescent="0.3">
      <c r="A886" t="s">
        <v>17</v>
      </c>
      <c r="B886" t="str">
        <f>"601111"</f>
        <v>601111</v>
      </c>
      <c r="C886" t="s">
        <v>1815</v>
      </c>
      <c r="D886" t="s">
        <v>22</v>
      </c>
      <c r="F886">
        <v>7026386000</v>
      </c>
      <c r="G886">
        <v>-10496843000</v>
      </c>
      <c r="H886">
        <v>25997711000</v>
      </c>
      <c r="I886">
        <v>19804686000</v>
      </c>
      <c r="J886">
        <v>11334349000</v>
      </c>
      <c r="K886">
        <v>10740190000</v>
      </c>
      <c r="L886">
        <v>24488524000</v>
      </c>
      <c r="M886">
        <v>4857147000</v>
      </c>
      <c r="N886">
        <v>-3911366000</v>
      </c>
      <c r="O886">
        <v>-2343010000</v>
      </c>
      <c r="P886">
        <v>1108</v>
      </c>
      <c r="Q886" t="s">
        <v>1816</v>
      </c>
    </row>
    <row r="887" spans="1:17" x14ac:dyDescent="0.3">
      <c r="A887" t="s">
        <v>17</v>
      </c>
      <c r="B887" t="str">
        <f>"601113"</f>
        <v>601113</v>
      </c>
      <c r="C887" t="s">
        <v>1817</v>
      </c>
      <c r="D887" t="s">
        <v>120</v>
      </c>
      <c r="F887">
        <v>176276897</v>
      </c>
      <c r="G887">
        <v>408539191</v>
      </c>
      <c r="H887">
        <v>171777758</v>
      </c>
      <c r="I887">
        <v>-767519807</v>
      </c>
      <c r="J887">
        <v>3630757</v>
      </c>
      <c r="K887">
        <v>98661638</v>
      </c>
      <c r="L887">
        <v>92469859</v>
      </c>
      <c r="M887">
        <v>-921897167</v>
      </c>
      <c r="N887">
        <v>-93742081</v>
      </c>
      <c r="O887">
        <v>418558497</v>
      </c>
      <c r="P887">
        <v>68</v>
      </c>
      <c r="Q887" t="s">
        <v>1818</v>
      </c>
    </row>
    <row r="888" spans="1:17" x14ac:dyDescent="0.3">
      <c r="A888" t="s">
        <v>17</v>
      </c>
      <c r="B888" t="str">
        <f>"601116"</f>
        <v>601116</v>
      </c>
      <c r="C888" t="s">
        <v>1819</v>
      </c>
      <c r="D888" t="s">
        <v>120</v>
      </c>
      <c r="F888">
        <v>172870447</v>
      </c>
      <c r="G888">
        <v>-17374979</v>
      </c>
      <c r="H888">
        <v>-46324281</v>
      </c>
      <c r="I888">
        <v>221898426</v>
      </c>
      <c r="J888">
        <v>220375030</v>
      </c>
      <c r="K888">
        <v>58750343</v>
      </c>
      <c r="L888">
        <v>-55262814</v>
      </c>
      <c r="M888">
        <v>-288630387</v>
      </c>
      <c r="N888">
        <v>77924681</v>
      </c>
      <c r="O888">
        <v>214182296</v>
      </c>
      <c r="P888">
        <v>124</v>
      </c>
      <c r="Q888" t="s">
        <v>1820</v>
      </c>
    </row>
    <row r="889" spans="1:17" x14ac:dyDescent="0.3">
      <c r="A889" t="s">
        <v>17</v>
      </c>
      <c r="B889" t="str">
        <f>"601117"</f>
        <v>601117</v>
      </c>
      <c r="C889" t="s">
        <v>1821</v>
      </c>
      <c r="D889" t="s">
        <v>95</v>
      </c>
      <c r="F889">
        <v>-1501851162</v>
      </c>
      <c r="G889">
        <v>7472044485</v>
      </c>
      <c r="H889">
        <v>3975710050</v>
      </c>
      <c r="I889">
        <v>3952369225</v>
      </c>
      <c r="J889">
        <v>1366642278</v>
      </c>
      <c r="K889">
        <v>2494820635</v>
      </c>
      <c r="L889">
        <v>429429550</v>
      </c>
      <c r="M889">
        <v>-1019030911</v>
      </c>
      <c r="N889">
        <v>-1644732482</v>
      </c>
      <c r="O889">
        <v>1239362638</v>
      </c>
      <c r="P889">
        <v>717</v>
      </c>
      <c r="Q889" t="s">
        <v>1822</v>
      </c>
    </row>
    <row r="890" spans="1:17" x14ac:dyDescent="0.3">
      <c r="A890" t="s">
        <v>17</v>
      </c>
      <c r="B890" t="str">
        <f>"601118"</f>
        <v>601118</v>
      </c>
      <c r="C890" t="s">
        <v>1823</v>
      </c>
      <c r="D890" t="s">
        <v>205</v>
      </c>
      <c r="F890">
        <v>-352376280</v>
      </c>
      <c r="G890">
        <v>-317540802</v>
      </c>
      <c r="H890">
        <v>499452456</v>
      </c>
      <c r="I890">
        <v>652091370</v>
      </c>
      <c r="J890">
        <v>-737966298</v>
      </c>
      <c r="K890">
        <v>-42494600</v>
      </c>
      <c r="L890">
        <v>-896198942</v>
      </c>
      <c r="M890">
        <v>-723046308</v>
      </c>
      <c r="N890">
        <v>-482281141</v>
      </c>
      <c r="O890">
        <v>-965371845</v>
      </c>
      <c r="P890">
        <v>199</v>
      </c>
      <c r="Q890" t="s">
        <v>1824</v>
      </c>
    </row>
    <row r="891" spans="1:17" x14ac:dyDescent="0.3">
      <c r="A891" t="s">
        <v>17</v>
      </c>
      <c r="B891" t="str">
        <f>"601126"</f>
        <v>601126</v>
      </c>
      <c r="C891" t="s">
        <v>1825</v>
      </c>
      <c r="D891" t="s">
        <v>188</v>
      </c>
      <c r="F891">
        <v>627352297</v>
      </c>
      <c r="G891">
        <v>951287413</v>
      </c>
      <c r="H891">
        <v>827873683</v>
      </c>
      <c r="I891">
        <v>481397699</v>
      </c>
      <c r="J891">
        <v>307969023</v>
      </c>
      <c r="K891">
        <v>13491201</v>
      </c>
      <c r="L891">
        <v>-116748554</v>
      </c>
      <c r="M891">
        <v>-251178596</v>
      </c>
      <c r="N891">
        <v>-188842422</v>
      </c>
      <c r="O891">
        <v>-164717086</v>
      </c>
      <c r="P891">
        <v>280</v>
      </c>
      <c r="Q891" t="s">
        <v>1826</v>
      </c>
    </row>
    <row r="892" spans="1:17" x14ac:dyDescent="0.3">
      <c r="A892" t="s">
        <v>17</v>
      </c>
      <c r="B892" t="str">
        <f>"601127"</f>
        <v>601127</v>
      </c>
      <c r="C892" t="s">
        <v>1827</v>
      </c>
      <c r="D892" t="s">
        <v>27</v>
      </c>
      <c r="F892">
        <v>-2064332386</v>
      </c>
      <c r="G892">
        <v>-280230064</v>
      </c>
      <c r="H892">
        <v>-1589892866</v>
      </c>
      <c r="I892">
        <v>-1455205106</v>
      </c>
      <c r="J892">
        <v>-518127814</v>
      </c>
      <c r="K892">
        <v>553514599</v>
      </c>
      <c r="L892">
        <v>32236691</v>
      </c>
      <c r="M892">
        <v>47250555</v>
      </c>
      <c r="N892">
        <v>-485115958</v>
      </c>
      <c r="P892">
        <v>476</v>
      </c>
      <c r="Q892" t="s">
        <v>1828</v>
      </c>
    </row>
    <row r="893" spans="1:17" x14ac:dyDescent="0.3">
      <c r="A893" t="s">
        <v>17</v>
      </c>
      <c r="B893" t="str">
        <f>"601128"</f>
        <v>601128</v>
      </c>
      <c r="C893" t="s">
        <v>1829</v>
      </c>
      <c r="D893" t="s">
        <v>19</v>
      </c>
      <c r="F893">
        <v>-1960757000</v>
      </c>
      <c r="G893">
        <v>3680407000</v>
      </c>
      <c r="H893">
        <v>10827825000</v>
      </c>
      <c r="I893">
        <v>1355049000</v>
      </c>
      <c r="J893">
        <v>-6801935000</v>
      </c>
      <c r="K893">
        <v>6335800000</v>
      </c>
      <c r="L893">
        <v>-3579308065</v>
      </c>
      <c r="M893">
        <v>12984423462</v>
      </c>
      <c r="N893">
        <v>-389477239</v>
      </c>
      <c r="O893">
        <v>-1489860000</v>
      </c>
      <c r="P893">
        <v>940</v>
      </c>
      <c r="Q893" t="s">
        <v>1830</v>
      </c>
    </row>
    <row r="894" spans="1:17" x14ac:dyDescent="0.3">
      <c r="A894" t="s">
        <v>17</v>
      </c>
      <c r="B894" t="str">
        <f>"601137"</f>
        <v>601137</v>
      </c>
      <c r="C894" t="s">
        <v>1831</v>
      </c>
      <c r="D894" t="s">
        <v>234</v>
      </c>
      <c r="F894">
        <v>-871987710</v>
      </c>
      <c r="G894">
        <v>-919933669</v>
      </c>
      <c r="H894">
        <v>-182578320</v>
      </c>
      <c r="I894">
        <v>168059078</v>
      </c>
      <c r="J894">
        <v>-257042310</v>
      </c>
      <c r="K894">
        <v>-37023980</v>
      </c>
      <c r="L894">
        <v>30731347</v>
      </c>
      <c r="M894">
        <v>-155485556</v>
      </c>
      <c r="N894">
        <v>-502733550</v>
      </c>
      <c r="O894">
        <v>-342497703</v>
      </c>
      <c r="P894">
        <v>283</v>
      </c>
      <c r="Q894" t="s">
        <v>1832</v>
      </c>
    </row>
    <row r="895" spans="1:17" x14ac:dyDescent="0.3">
      <c r="A895" t="s">
        <v>17</v>
      </c>
      <c r="B895" t="str">
        <f>"601138"</f>
        <v>601138</v>
      </c>
      <c r="C895" t="s">
        <v>1833</v>
      </c>
      <c r="D895" t="s">
        <v>150</v>
      </c>
      <c r="F895">
        <v>2743061000</v>
      </c>
      <c r="G895">
        <v>4197862000</v>
      </c>
      <c r="H895">
        <v>3709253000</v>
      </c>
      <c r="I895">
        <v>19320649000</v>
      </c>
      <c r="J895">
        <v>7743946000</v>
      </c>
      <c r="K895">
        <v>17995459000</v>
      </c>
      <c r="L895">
        <v>6714308000</v>
      </c>
      <c r="P895">
        <v>1319</v>
      </c>
      <c r="Q895" t="s">
        <v>1834</v>
      </c>
    </row>
    <row r="896" spans="1:17" x14ac:dyDescent="0.3">
      <c r="A896" t="s">
        <v>17</v>
      </c>
      <c r="B896" t="str">
        <f>"601139"</f>
        <v>601139</v>
      </c>
      <c r="C896" t="s">
        <v>1835</v>
      </c>
      <c r="D896" t="s">
        <v>41</v>
      </c>
      <c r="F896">
        <v>-843787246</v>
      </c>
      <c r="G896">
        <v>2169944613</v>
      </c>
      <c r="H896">
        <v>1459503663</v>
      </c>
      <c r="I896">
        <v>681930765</v>
      </c>
      <c r="J896">
        <v>246791</v>
      </c>
      <c r="K896">
        <v>-58155015</v>
      </c>
      <c r="L896">
        <v>47857441</v>
      </c>
      <c r="M896">
        <v>-175700389</v>
      </c>
      <c r="N896">
        <v>120056305</v>
      </c>
      <c r="O896">
        <v>-867071837</v>
      </c>
      <c r="P896">
        <v>475</v>
      </c>
      <c r="Q896" t="s">
        <v>1836</v>
      </c>
    </row>
    <row r="897" spans="1:17" x14ac:dyDescent="0.3">
      <c r="A897" t="s">
        <v>17</v>
      </c>
      <c r="B897" t="str">
        <f>"601155"</f>
        <v>601155</v>
      </c>
      <c r="C897" t="s">
        <v>1837</v>
      </c>
      <c r="D897" t="s">
        <v>30</v>
      </c>
      <c r="F897">
        <v>6071455438</v>
      </c>
      <c r="G897">
        <v>-20018377021</v>
      </c>
      <c r="H897">
        <v>26044041011</v>
      </c>
      <c r="I897">
        <v>-6491063851</v>
      </c>
      <c r="J897">
        <v>-15248541616</v>
      </c>
      <c r="K897">
        <v>5148196715</v>
      </c>
      <c r="L897">
        <v>-4158574498</v>
      </c>
      <c r="M897">
        <v>1261505654</v>
      </c>
      <c r="N897">
        <v>-1380118709</v>
      </c>
      <c r="O897">
        <v>1644016880</v>
      </c>
      <c r="P897">
        <v>7594</v>
      </c>
      <c r="Q897" t="s">
        <v>1838</v>
      </c>
    </row>
    <row r="898" spans="1:17" x14ac:dyDescent="0.3">
      <c r="A898" t="s">
        <v>17</v>
      </c>
      <c r="B898" t="str">
        <f>"601156"</f>
        <v>601156</v>
      </c>
      <c r="C898" t="s">
        <v>1839</v>
      </c>
      <c r="D898" t="s">
        <v>22</v>
      </c>
      <c r="F898">
        <v>5496771230</v>
      </c>
      <c r="G898">
        <v>564577346</v>
      </c>
      <c r="H898">
        <v>1442787370</v>
      </c>
      <c r="I898">
        <v>616506520</v>
      </c>
      <c r="J898">
        <v>732987654</v>
      </c>
      <c r="P898">
        <v>107</v>
      </c>
      <c r="Q898" t="s">
        <v>1840</v>
      </c>
    </row>
    <row r="899" spans="1:17" x14ac:dyDescent="0.3">
      <c r="A899" t="s">
        <v>17</v>
      </c>
      <c r="B899" t="str">
        <f>"601158"</f>
        <v>601158</v>
      </c>
      <c r="C899" t="s">
        <v>1841</v>
      </c>
      <c r="D899" t="s">
        <v>33</v>
      </c>
      <c r="F899">
        <v>-733338676</v>
      </c>
      <c r="G899">
        <v>198927555</v>
      </c>
      <c r="H899">
        <v>-179969831</v>
      </c>
      <c r="I899">
        <v>63235950</v>
      </c>
      <c r="J899">
        <v>1256876760</v>
      </c>
      <c r="K899">
        <v>1651325030</v>
      </c>
      <c r="L899">
        <v>1621569762</v>
      </c>
      <c r="M899">
        <v>1613957329</v>
      </c>
      <c r="N899">
        <v>1771340494</v>
      </c>
      <c r="O899">
        <v>1493798300</v>
      </c>
      <c r="P899">
        <v>585</v>
      </c>
      <c r="Q899" t="s">
        <v>1842</v>
      </c>
    </row>
    <row r="900" spans="1:17" x14ac:dyDescent="0.3">
      <c r="A900" t="s">
        <v>17</v>
      </c>
      <c r="B900" t="str">
        <f>"601162"</f>
        <v>601162</v>
      </c>
      <c r="C900" t="s">
        <v>1843</v>
      </c>
      <c r="D900" t="s">
        <v>75</v>
      </c>
      <c r="F900">
        <v>4928404279</v>
      </c>
      <c r="G900">
        <v>-3529959057</v>
      </c>
      <c r="H900">
        <v>-3113009136</v>
      </c>
      <c r="I900">
        <v>1059821565</v>
      </c>
      <c r="J900">
        <v>-875096078</v>
      </c>
      <c r="K900">
        <v>-3333659471</v>
      </c>
      <c r="L900">
        <v>-2488402799</v>
      </c>
      <c r="M900">
        <v>-1080493726</v>
      </c>
      <c r="N900">
        <v>-50074057</v>
      </c>
      <c r="O900">
        <v>-978062418</v>
      </c>
      <c r="P900">
        <v>897</v>
      </c>
      <c r="Q900" t="s">
        <v>1844</v>
      </c>
    </row>
    <row r="901" spans="1:17" x14ac:dyDescent="0.3">
      <c r="A901" t="s">
        <v>17</v>
      </c>
      <c r="B901" t="str">
        <f>"601163"</f>
        <v>601163</v>
      </c>
      <c r="C901" t="s">
        <v>1845</v>
      </c>
      <c r="D901" t="s">
        <v>27</v>
      </c>
      <c r="F901">
        <v>361759544</v>
      </c>
      <c r="G901">
        <v>1284582555</v>
      </c>
      <c r="H901">
        <v>1220470319</v>
      </c>
      <c r="I901">
        <v>-675387720</v>
      </c>
      <c r="J901">
        <v>307851205</v>
      </c>
      <c r="K901">
        <v>255808658</v>
      </c>
      <c r="L901">
        <v>18987584</v>
      </c>
      <c r="M901">
        <v>1050397090</v>
      </c>
      <c r="N901">
        <v>1441815183</v>
      </c>
      <c r="P901">
        <v>224</v>
      </c>
      <c r="Q901" t="s">
        <v>1846</v>
      </c>
    </row>
    <row r="902" spans="1:17" x14ac:dyDescent="0.3">
      <c r="A902" t="s">
        <v>17</v>
      </c>
      <c r="B902" t="str">
        <f>"601166"</f>
        <v>601166</v>
      </c>
      <c r="C902" t="s">
        <v>1847</v>
      </c>
      <c r="D902" t="s">
        <v>19</v>
      </c>
      <c r="F902">
        <v>-394675000000</v>
      </c>
      <c r="G902">
        <v>-40450000000</v>
      </c>
      <c r="H902">
        <v>-593365000000</v>
      </c>
      <c r="I902">
        <v>-362266000000</v>
      </c>
      <c r="J902">
        <v>-169042000000</v>
      </c>
      <c r="K902">
        <v>196259000000</v>
      </c>
      <c r="L902">
        <v>812791000000</v>
      </c>
      <c r="M902">
        <v>676797000000</v>
      </c>
      <c r="N902">
        <v>204975000000</v>
      </c>
      <c r="O902">
        <v>113286000000</v>
      </c>
      <c r="P902">
        <v>24373</v>
      </c>
      <c r="Q902" t="s">
        <v>1848</v>
      </c>
    </row>
    <row r="903" spans="1:17" x14ac:dyDescent="0.3">
      <c r="A903" t="s">
        <v>17</v>
      </c>
      <c r="B903" t="str">
        <f>"601168"</f>
        <v>601168</v>
      </c>
      <c r="C903" t="s">
        <v>1849</v>
      </c>
      <c r="D903" t="s">
        <v>234</v>
      </c>
      <c r="F903">
        <v>4883171371</v>
      </c>
      <c r="G903">
        <v>-1228714157</v>
      </c>
      <c r="H903">
        <v>1107828836</v>
      </c>
      <c r="I903">
        <v>-3241399540</v>
      </c>
      <c r="J903">
        <v>111402837</v>
      </c>
      <c r="K903">
        <v>1313213813</v>
      </c>
      <c r="L903">
        <v>1147821509</v>
      </c>
      <c r="M903">
        <v>571844572</v>
      </c>
      <c r="N903">
        <v>-136985673</v>
      </c>
      <c r="O903">
        <v>-337734497</v>
      </c>
      <c r="P903">
        <v>392</v>
      </c>
      <c r="Q903" t="s">
        <v>1850</v>
      </c>
    </row>
    <row r="904" spans="1:17" x14ac:dyDescent="0.3">
      <c r="A904" t="s">
        <v>17</v>
      </c>
      <c r="B904" t="str">
        <f>"601169"</f>
        <v>601169</v>
      </c>
      <c r="C904" t="s">
        <v>1851</v>
      </c>
      <c r="D904" t="s">
        <v>19</v>
      </c>
      <c r="F904">
        <v>-41186000000</v>
      </c>
      <c r="G904">
        <v>15117000000</v>
      </c>
      <c r="H904">
        <v>15082000000</v>
      </c>
      <c r="I904">
        <v>30144000000</v>
      </c>
      <c r="J904">
        <v>7075000000</v>
      </c>
      <c r="K904">
        <v>-9399000000</v>
      </c>
      <c r="L904">
        <v>33354000000</v>
      </c>
      <c r="M904">
        <v>121774000000</v>
      </c>
      <c r="N904">
        <v>17215750000</v>
      </c>
      <c r="O904">
        <v>-7392758000</v>
      </c>
      <c r="P904">
        <v>16387</v>
      </c>
      <c r="Q904" t="s">
        <v>1852</v>
      </c>
    </row>
    <row r="905" spans="1:17" x14ac:dyDescent="0.3">
      <c r="A905" t="s">
        <v>17</v>
      </c>
      <c r="B905" t="str">
        <f>"601177"</f>
        <v>601177</v>
      </c>
      <c r="C905" t="s">
        <v>1853</v>
      </c>
      <c r="D905" t="s">
        <v>78</v>
      </c>
      <c r="F905">
        <v>142928504</v>
      </c>
      <c r="G905">
        <v>386747338</v>
      </c>
      <c r="H905">
        <v>125556608</v>
      </c>
      <c r="I905">
        <v>96579508</v>
      </c>
      <c r="J905">
        <v>185167207</v>
      </c>
      <c r="K905">
        <v>34149919</v>
      </c>
      <c r="L905">
        <v>-189591285</v>
      </c>
      <c r="M905">
        <v>11347064</v>
      </c>
      <c r="N905">
        <v>43624840</v>
      </c>
      <c r="O905">
        <v>-243122901</v>
      </c>
      <c r="P905">
        <v>74</v>
      </c>
      <c r="Q905" t="s">
        <v>1854</v>
      </c>
    </row>
    <row r="906" spans="1:17" x14ac:dyDescent="0.3">
      <c r="A906" t="s">
        <v>17</v>
      </c>
      <c r="B906" t="str">
        <f>"601179"</f>
        <v>601179</v>
      </c>
      <c r="C906" t="s">
        <v>1855</v>
      </c>
      <c r="D906" t="s">
        <v>188</v>
      </c>
      <c r="F906">
        <v>1578173771</v>
      </c>
      <c r="G906">
        <v>-60749812</v>
      </c>
      <c r="H906">
        <v>-1742280142</v>
      </c>
      <c r="I906">
        <v>-1205872285</v>
      </c>
      <c r="J906">
        <v>-792174910</v>
      </c>
      <c r="K906">
        <v>230476946</v>
      </c>
      <c r="L906">
        <v>2838942596</v>
      </c>
      <c r="M906">
        <v>-453300169</v>
      </c>
      <c r="N906">
        <v>-403993774</v>
      </c>
      <c r="O906">
        <v>611240569</v>
      </c>
      <c r="P906">
        <v>329</v>
      </c>
      <c r="Q906" t="s">
        <v>1856</v>
      </c>
    </row>
    <row r="907" spans="1:17" x14ac:dyDescent="0.3">
      <c r="A907" t="s">
        <v>17</v>
      </c>
      <c r="B907" t="str">
        <f>"601186"</f>
        <v>601186</v>
      </c>
      <c r="C907" t="s">
        <v>1857</v>
      </c>
      <c r="D907" t="s">
        <v>95</v>
      </c>
      <c r="F907">
        <v>-38229695000</v>
      </c>
      <c r="G907">
        <v>10614875000</v>
      </c>
      <c r="H907">
        <v>8998940000</v>
      </c>
      <c r="I907">
        <v>-25056557000</v>
      </c>
      <c r="J907">
        <v>-3430366000</v>
      </c>
      <c r="K907">
        <v>9048371000</v>
      </c>
      <c r="L907">
        <v>24505465000</v>
      </c>
      <c r="M907">
        <v>-13333841000</v>
      </c>
      <c r="N907">
        <v>-25353515000</v>
      </c>
      <c r="O907">
        <v>-3298107000</v>
      </c>
      <c r="P907">
        <v>1361</v>
      </c>
      <c r="Q907" t="s">
        <v>1858</v>
      </c>
    </row>
    <row r="908" spans="1:17" x14ac:dyDescent="0.3">
      <c r="A908" t="s">
        <v>17</v>
      </c>
      <c r="B908" t="str">
        <f>"601187"</f>
        <v>601187</v>
      </c>
      <c r="C908" t="s">
        <v>1859</v>
      </c>
      <c r="D908" t="s">
        <v>19</v>
      </c>
      <c r="F908">
        <v>-22265612050</v>
      </c>
      <c r="G908">
        <v>-12073393016</v>
      </c>
      <c r="H908">
        <v>-8250976974</v>
      </c>
      <c r="I908">
        <v>-36354319324</v>
      </c>
      <c r="J908">
        <v>-3000781860</v>
      </c>
      <c r="K908">
        <v>9830724000</v>
      </c>
      <c r="L908">
        <v>25445857000</v>
      </c>
      <c r="M908">
        <v>-798472000</v>
      </c>
      <c r="N908">
        <v>19140113491</v>
      </c>
      <c r="O908">
        <v>9292119358</v>
      </c>
      <c r="P908">
        <v>177</v>
      </c>
      <c r="Q908" t="s">
        <v>1860</v>
      </c>
    </row>
    <row r="909" spans="1:17" x14ac:dyDescent="0.3">
      <c r="A909" t="s">
        <v>17</v>
      </c>
      <c r="B909" t="str">
        <f>"601188"</f>
        <v>601188</v>
      </c>
      <c r="C909" t="s">
        <v>1861</v>
      </c>
      <c r="D909" t="s">
        <v>22</v>
      </c>
      <c r="F909">
        <v>208383263</v>
      </c>
      <c r="G909">
        <v>294235560</v>
      </c>
      <c r="H909">
        <v>496455153</v>
      </c>
      <c r="I909">
        <v>481044658</v>
      </c>
      <c r="J909">
        <v>662975218</v>
      </c>
      <c r="K909">
        <v>281771000</v>
      </c>
      <c r="L909">
        <v>242765010</v>
      </c>
      <c r="M909">
        <v>189264292</v>
      </c>
      <c r="N909">
        <v>-175978063</v>
      </c>
      <c r="O909">
        <v>-372578507</v>
      </c>
      <c r="P909">
        <v>124</v>
      </c>
      <c r="Q909" t="s">
        <v>1862</v>
      </c>
    </row>
    <row r="910" spans="1:17" x14ac:dyDescent="0.3">
      <c r="A910" t="s">
        <v>17</v>
      </c>
      <c r="B910" t="str">
        <f>"601198"</f>
        <v>601198</v>
      </c>
      <c r="C910" t="s">
        <v>1863</v>
      </c>
      <c r="D910" t="s">
        <v>75</v>
      </c>
      <c r="F910">
        <v>7185060791</v>
      </c>
      <c r="G910">
        <v>5259459669</v>
      </c>
      <c r="H910">
        <v>201969703</v>
      </c>
      <c r="I910">
        <v>-1026595415</v>
      </c>
      <c r="J910">
        <v>-3550322169</v>
      </c>
      <c r="K910">
        <v>-8766131521</v>
      </c>
      <c r="L910">
        <v>1240845442</v>
      </c>
      <c r="M910">
        <v>9228176212</v>
      </c>
      <c r="N910">
        <v>-2683059861</v>
      </c>
      <c r="O910">
        <v>123344917</v>
      </c>
      <c r="P910">
        <v>814</v>
      </c>
      <c r="Q910" t="s">
        <v>1864</v>
      </c>
    </row>
    <row r="911" spans="1:17" x14ac:dyDescent="0.3">
      <c r="A911" t="s">
        <v>17</v>
      </c>
      <c r="B911" t="str">
        <f>"601199"</f>
        <v>601199</v>
      </c>
      <c r="C911" t="s">
        <v>1865</v>
      </c>
      <c r="D911" t="s">
        <v>33</v>
      </c>
      <c r="F911">
        <v>262176021</v>
      </c>
      <c r="G911">
        <v>368306214</v>
      </c>
      <c r="H911">
        <v>17994397</v>
      </c>
      <c r="I911">
        <v>-112802859</v>
      </c>
      <c r="J911">
        <v>-87773274</v>
      </c>
      <c r="K911">
        <v>18849743</v>
      </c>
      <c r="L911">
        <v>-7836320</v>
      </c>
      <c r="M911">
        <v>201680356</v>
      </c>
      <c r="N911">
        <v>199703458</v>
      </c>
      <c r="O911">
        <v>243096900</v>
      </c>
      <c r="P911">
        <v>186</v>
      </c>
      <c r="Q911" t="s">
        <v>1866</v>
      </c>
    </row>
    <row r="912" spans="1:17" x14ac:dyDescent="0.3">
      <c r="A912" t="s">
        <v>17</v>
      </c>
      <c r="B912" t="str">
        <f>"601200"</f>
        <v>601200</v>
      </c>
      <c r="C912" t="s">
        <v>1867</v>
      </c>
      <c r="D912" t="s">
        <v>33</v>
      </c>
      <c r="F912">
        <v>-1417732600</v>
      </c>
      <c r="G912">
        <v>-3434316967</v>
      </c>
      <c r="H912">
        <v>-2330650398</v>
      </c>
      <c r="I912">
        <v>-1898647816</v>
      </c>
      <c r="J912">
        <v>163688577</v>
      </c>
      <c r="K912">
        <v>-111314878</v>
      </c>
      <c r="L912">
        <v>-732481858</v>
      </c>
      <c r="P912">
        <v>326</v>
      </c>
      <c r="Q912" t="s">
        <v>1868</v>
      </c>
    </row>
    <row r="913" spans="1:17" x14ac:dyDescent="0.3">
      <c r="A913" t="s">
        <v>17</v>
      </c>
      <c r="B913" t="str">
        <f>"601206"</f>
        <v>601206</v>
      </c>
      <c r="C913" t="s">
        <v>1869</v>
      </c>
      <c r="D913" t="s">
        <v>113</v>
      </c>
      <c r="L913">
        <v>36612368</v>
      </c>
      <c r="M913">
        <v>13314949</v>
      </c>
      <c r="N913">
        <v>53341746</v>
      </c>
      <c r="P913">
        <v>19</v>
      </c>
      <c r="Q913" t="s">
        <v>1870</v>
      </c>
    </row>
    <row r="914" spans="1:17" x14ac:dyDescent="0.3">
      <c r="A914" t="s">
        <v>17</v>
      </c>
      <c r="B914" t="str">
        <f>"601208"</f>
        <v>601208</v>
      </c>
      <c r="C914" t="s">
        <v>1871</v>
      </c>
      <c r="D914" t="s">
        <v>133</v>
      </c>
      <c r="F914">
        <v>-353032691</v>
      </c>
      <c r="G914">
        <v>-55835208</v>
      </c>
      <c r="H914">
        <v>8900212</v>
      </c>
      <c r="I914">
        <v>200290826</v>
      </c>
      <c r="J914">
        <v>42916719</v>
      </c>
      <c r="K914">
        <v>220882957</v>
      </c>
      <c r="L914">
        <v>-26203822</v>
      </c>
      <c r="M914">
        <v>-246068455</v>
      </c>
      <c r="N914">
        <v>-396473615</v>
      </c>
      <c r="O914">
        <v>-181890178</v>
      </c>
      <c r="P914">
        <v>3075</v>
      </c>
      <c r="Q914" t="s">
        <v>1872</v>
      </c>
    </row>
    <row r="915" spans="1:17" x14ac:dyDescent="0.3">
      <c r="A915" t="s">
        <v>17</v>
      </c>
      <c r="B915" t="str">
        <f>"601211"</f>
        <v>601211</v>
      </c>
      <c r="C915" t="s">
        <v>1873</v>
      </c>
      <c r="D915" t="s">
        <v>75</v>
      </c>
      <c r="F915">
        <v>9523371120</v>
      </c>
      <c r="G915">
        <v>21488511825</v>
      </c>
      <c r="H915">
        <v>34627094899</v>
      </c>
      <c r="I915">
        <v>72688133913</v>
      </c>
      <c r="J915">
        <v>-64692152491</v>
      </c>
      <c r="K915">
        <v>-59493423585</v>
      </c>
      <c r="L915">
        <v>27563559188</v>
      </c>
      <c r="M915">
        <v>48227697851</v>
      </c>
      <c r="N915">
        <v>-12852292475</v>
      </c>
      <c r="O915">
        <v>-6555593024</v>
      </c>
      <c r="P915">
        <v>3571</v>
      </c>
      <c r="Q915" t="s">
        <v>1874</v>
      </c>
    </row>
    <row r="916" spans="1:17" x14ac:dyDescent="0.3">
      <c r="A916" t="s">
        <v>17</v>
      </c>
      <c r="B916" t="str">
        <f>"601212"</f>
        <v>601212</v>
      </c>
      <c r="C916" t="s">
        <v>1875</v>
      </c>
      <c r="D916" t="s">
        <v>234</v>
      </c>
      <c r="F916">
        <v>640017860</v>
      </c>
      <c r="G916">
        <v>1457807071</v>
      </c>
      <c r="H916">
        <v>1637324821</v>
      </c>
      <c r="I916">
        <v>2080290175</v>
      </c>
      <c r="J916">
        <v>-2355791727</v>
      </c>
      <c r="K916">
        <v>-895371845</v>
      </c>
      <c r="L916">
        <v>354455943</v>
      </c>
      <c r="M916">
        <v>207659443</v>
      </c>
      <c r="N916">
        <v>2870126309</v>
      </c>
      <c r="P916">
        <v>185</v>
      </c>
      <c r="Q916" t="s">
        <v>1876</v>
      </c>
    </row>
    <row r="917" spans="1:17" x14ac:dyDescent="0.3">
      <c r="A917" t="s">
        <v>17</v>
      </c>
      <c r="B917" t="str">
        <f>"601216"</f>
        <v>601216</v>
      </c>
      <c r="C917" t="s">
        <v>1877</v>
      </c>
      <c r="D917" t="s">
        <v>133</v>
      </c>
      <c r="F917">
        <v>5838233879</v>
      </c>
      <c r="G917">
        <v>3203298314</v>
      </c>
      <c r="H917">
        <v>2409142870</v>
      </c>
      <c r="I917">
        <v>3207434888</v>
      </c>
      <c r="J917">
        <v>1983983048</v>
      </c>
      <c r="K917">
        <v>1877920096</v>
      </c>
      <c r="L917">
        <v>838263725</v>
      </c>
      <c r="M917">
        <v>57756346</v>
      </c>
      <c r="N917">
        <v>-700595002</v>
      </c>
      <c r="O917">
        <v>-682554074</v>
      </c>
      <c r="P917">
        <v>957</v>
      </c>
      <c r="Q917" t="s">
        <v>1878</v>
      </c>
    </row>
    <row r="918" spans="1:17" x14ac:dyDescent="0.3">
      <c r="A918" t="s">
        <v>17</v>
      </c>
      <c r="B918" t="str">
        <f>"601218"</f>
        <v>601218</v>
      </c>
      <c r="C918" t="s">
        <v>1879</v>
      </c>
      <c r="D918" t="s">
        <v>188</v>
      </c>
      <c r="F918">
        <v>47664246</v>
      </c>
      <c r="G918">
        <v>627303370</v>
      </c>
      <c r="H918">
        <v>56244850</v>
      </c>
      <c r="I918">
        <v>-579441569</v>
      </c>
      <c r="J918">
        <v>-207309619</v>
      </c>
      <c r="K918">
        <v>274205234</v>
      </c>
      <c r="L918">
        <v>188232297</v>
      </c>
      <c r="M918">
        <v>227617510</v>
      </c>
      <c r="N918">
        <v>117295790</v>
      </c>
      <c r="O918">
        <v>-213481844</v>
      </c>
      <c r="P918">
        <v>146</v>
      </c>
      <c r="Q918" t="s">
        <v>1880</v>
      </c>
    </row>
    <row r="919" spans="1:17" x14ac:dyDescent="0.3">
      <c r="A919" t="s">
        <v>17</v>
      </c>
      <c r="B919" t="str">
        <f>"601222"</f>
        <v>601222</v>
      </c>
      <c r="C919" t="s">
        <v>1881</v>
      </c>
      <c r="D919" t="s">
        <v>41</v>
      </c>
      <c r="F919">
        <v>665245985</v>
      </c>
      <c r="G919">
        <v>1057352120</v>
      </c>
      <c r="H919">
        <v>58415462</v>
      </c>
      <c r="I919">
        <v>-746150212</v>
      </c>
      <c r="J919">
        <v>-1813160291</v>
      </c>
      <c r="K919">
        <v>-2637498226</v>
      </c>
      <c r="L919">
        <v>-730716037</v>
      </c>
      <c r="M919">
        <v>-469958097</v>
      </c>
      <c r="N919">
        <v>168054019</v>
      </c>
      <c r="O919">
        <v>68940573</v>
      </c>
      <c r="P919">
        <v>557</v>
      </c>
      <c r="Q919" t="s">
        <v>1882</v>
      </c>
    </row>
    <row r="920" spans="1:17" x14ac:dyDescent="0.3">
      <c r="A920" t="s">
        <v>17</v>
      </c>
      <c r="B920" t="str">
        <f>"601225"</f>
        <v>601225</v>
      </c>
      <c r="C920" t="s">
        <v>1883</v>
      </c>
      <c r="D920" t="s">
        <v>257</v>
      </c>
      <c r="F920">
        <v>43177409289</v>
      </c>
      <c r="G920">
        <v>13060558380</v>
      </c>
      <c r="H920">
        <v>14375957153</v>
      </c>
      <c r="I920">
        <v>15348038802</v>
      </c>
      <c r="J920">
        <v>11923192817</v>
      </c>
      <c r="K920">
        <v>6258519103</v>
      </c>
      <c r="L920">
        <v>-3317115868</v>
      </c>
      <c r="M920">
        <v>-2559980250</v>
      </c>
      <c r="N920">
        <v>-580493286</v>
      </c>
      <c r="O920">
        <v>-1984070912</v>
      </c>
      <c r="P920">
        <v>2638</v>
      </c>
      <c r="Q920" t="s">
        <v>1884</v>
      </c>
    </row>
    <row r="921" spans="1:17" x14ac:dyDescent="0.3">
      <c r="A921" t="s">
        <v>17</v>
      </c>
      <c r="B921" t="str">
        <f>"601226"</f>
        <v>601226</v>
      </c>
      <c r="C921" t="s">
        <v>1885</v>
      </c>
      <c r="D921" t="s">
        <v>95</v>
      </c>
      <c r="F921">
        <v>398139772</v>
      </c>
      <c r="G921">
        <v>443873192</v>
      </c>
      <c r="H921">
        <v>473194761</v>
      </c>
      <c r="I921">
        <v>296294087</v>
      </c>
      <c r="J921">
        <v>51442211</v>
      </c>
      <c r="K921">
        <v>211274944</v>
      </c>
      <c r="L921">
        <v>-108596062</v>
      </c>
      <c r="M921">
        <v>-514617492</v>
      </c>
      <c r="N921">
        <v>-6095389</v>
      </c>
      <c r="O921">
        <v>-29856594</v>
      </c>
      <c r="P921">
        <v>114</v>
      </c>
      <c r="Q921" t="s">
        <v>1886</v>
      </c>
    </row>
    <row r="922" spans="1:17" x14ac:dyDescent="0.3">
      <c r="A922" t="s">
        <v>17</v>
      </c>
      <c r="B922" t="str">
        <f>"601228"</f>
        <v>601228</v>
      </c>
      <c r="C922" t="s">
        <v>1887</v>
      </c>
      <c r="D922" t="s">
        <v>22</v>
      </c>
      <c r="F922">
        <v>-2606842625</v>
      </c>
      <c r="G922">
        <v>-1309836037</v>
      </c>
      <c r="H922">
        <v>-111436568</v>
      </c>
      <c r="I922">
        <v>905272726</v>
      </c>
      <c r="J922">
        <v>632883304</v>
      </c>
      <c r="K922">
        <v>572110422</v>
      </c>
      <c r="L922">
        <v>-1227204997</v>
      </c>
      <c r="M922">
        <v>-678310115</v>
      </c>
      <c r="P922">
        <v>189</v>
      </c>
      <c r="Q922" t="s">
        <v>1888</v>
      </c>
    </row>
    <row r="923" spans="1:17" x14ac:dyDescent="0.3">
      <c r="A923" t="s">
        <v>17</v>
      </c>
      <c r="B923" t="str">
        <f>"601229"</f>
        <v>601229</v>
      </c>
      <c r="C923" t="s">
        <v>1889</v>
      </c>
      <c r="D923" t="s">
        <v>19</v>
      </c>
      <c r="F923">
        <v>-11997549000</v>
      </c>
      <c r="G923">
        <v>11350777000</v>
      </c>
      <c r="H923">
        <v>-8667141000</v>
      </c>
      <c r="I923">
        <v>-23157709000</v>
      </c>
      <c r="J923">
        <v>-61266144000</v>
      </c>
      <c r="K923">
        <v>169492263000</v>
      </c>
      <c r="L923">
        <v>58388462000</v>
      </c>
      <c r="M923">
        <v>105201433000</v>
      </c>
      <c r="N923">
        <v>128638542000</v>
      </c>
      <c r="O923">
        <v>2845213000</v>
      </c>
      <c r="P923">
        <v>1546</v>
      </c>
      <c r="Q923" t="s">
        <v>1890</v>
      </c>
    </row>
    <row r="924" spans="1:17" x14ac:dyDescent="0.3">
      <c r="A924" t="s">
        <v>17</v>
      </c>
      <c r="B924" t="str">
        <f>"601231"</f>
        <v>601231</v>
      </c>
      <c r="C924" t="s">
        <v>1891</v>
      </c>
      <c r="D924" t="s">
        <v>150</v>
      </c>
      <c r="F924">
        <v>-2566190330</v>
      </c>
      <c r="G924">
        <v>399298583</v>
      </c>
      <c r="H924">
        <v>1766491664</v>
      </c>
      <c r="I924">
        <v>-689771028</v>
      </c>
      <c r="J924">
        <v>1109289554</v>
      </c>
      <c r="K924">
        <v>1386149697</v>
      </c>
      <c r="L924">
        <v>440661722</v>
      </c>
      <c r="M924">
        <v>-27947994</v>
      </c>
      <c r="N924">
        <v>912184489</v>
      </c>
      <c r="O924">
        <v>-420383721</v>
      </c>
      <c r="P924">
        <v>735</v>
      </c>
      <c r="Q924" t="s">
        <v>1892</v>
      </c>
    </row>
    <row r="925" spans="1:17" x14ac:dyDescent="0.3">
      <c r="A925" t="s">
        <v>17</v>
      </c>
      <c r="B925" t="str">
        <f>"601233"</f>
        <v>601233</v>
      </c>
      <c r="C925" t="s">
        <v>1893</v>
      </c>
      <c r="D925" t="s">
        <v>70</v>
      </c>
      <c r="F925">
        <v>-7251569229</v>
      </c>
      <c r="G925">
        <v>-541984517</v>
      </c>
      <c r="H925">
        <v>2136065374</v>
      </c>
      <c r="I925">
        <v>-472409431</v>
      </c>
      <c r="J925">
        <v>-535456218</v>
      </c>
      <c r="K925">
        <v>317238464</v>
      </c>
      <c r="L925">
        <v>144687294</v>
      </c>
      <c r="M925">
        <v>2009296271</v>
      </c>
      <c r="N925">
        <v>-1943876631</v>
      </c>
      <c r="O925">
        <v>-2230430172</v>
      </c>
      <c r="P925">
        <v>807</v>
      </c>
      <c r="Q925" t="s">
        <v>1894</v>
      </c>
    </row>
    <row r="926" spans="1:17" x14ac:dyDescent="0.3">
      <c r="A926" t="s">
        <v>17</v>
      </c>
      <c r="B926" t="str">
        <f>"601236"</f>
        <v>601236</v>
      </c>
      <c r="C926" t="s">
        <v>1895</v>
      </c>
      <c r="D926" t="s">
        <v>75</v>
      </c>
      <c r="F926">
        <v>-664222870</v>
      </c>
      <c r="G926">
        <v>4886885091</v>
      </c>
      <c r="H926">
        <v>-7169069309</v>
      </c>
      <c r="I926">
        <v>-7865049209</v>
      </c>
      <c r="J926">
        <v>-1525546019</v>
      </c>
      <c r="K926">
        <v>1206792642</v>
      </c>
      <c r="L926">
        <v>-1523563300</v>
      </c>
      <c r="M926">
        <v>864661200</v>
      </c>
      <c r="N926">
        <v>-859112330</v>
      </c>
      <c r="O926">
        <v>-1354514001</v>
      </c>
      <c r="P926">
        <v>879</v>
      </c>
      <c r="Q926" t="s">
        <v>1896</v>
      </c>
    </row>
    <row r="927" spans="1:17" x14ac:dyDescent="0.3">
      <c r="A927" t="s">
        <v>17</v>
      </c>
      <c r="B927" t="str">
        <f>"601238"</f>
        <v>601238</v>
      </c>
      <c r="C927" t="s">
        <v>1897</v>
      </c>
      <c r="D927" t="s">
        <v>27</v>
      </c>
      <c r="F927">
        <v>-11707242331</v>
      </c>
      <c r="G927">
        <v>-9369923176</v>
      </c>
      <c r="H927">
        <v>-10438025198</v>
      </c>
      <c r="I927">
        <v>-11076635522</v>
      </c>
      <c r="J927">
        <v>9026927029</v>
      </c>
      <c r="K927">
        <v>466313126</v>
      </c>
      <c r="L927">
        <v>898515192</v>
      </c>
      <c r="M927">
        <v>-2248383264</v>
      </c>
      <c r="N927">
        <v>-522784936</v>
      </c>
      <c r="O927">
        <v>-1998682962</v>
      </c>
      <c r="P927">
        <v>1300</v>
      </c>
      <c r="Q927" t="s">
        <v>1898</v>
      </c>
    </row>
    <row r="928" spans="1:17" x14ac:dyDescent="0.3">
      <c r="A928" t="s">
        <v>17</v>
      </c>
      <c r="B928" t="str">
        <f>"601258"</f>
        <v>601258</v>
      </c>
      <c r="C928" t="s">
        <v>1899</v>
      </c>
      <c r="D928" t="s">
        <v>27</v>
      </c>
      <c r="F928">
        <v>-289109787</v>
      </c>
      <c r="G928">
        <v>-639585912</v>
      </c>
      <c r="H928">
        <v>-4805042299</v>
      </c>
      <c r="I928">
        <v>-12002018056</v>
      </c>
      <c r="J928">
        <v>-2713632011</v>
      </c>
      <c r="K928">
        <v>754596367</v>
      </c>
      <c r="L928">
        <v>-1890144216</v>
      </c>
      <c r="M928">
        <v>4280569886</v>
      </c>
      <c r="N928">
        <v>8855382158</v>
      </c>
      <c r="O928">
        <v>-5818654397</v>
      </c>
      <c r="P928">
        <v>133</v>
      </c>
      <c r="Q928" t="s">
        <v>1900</v>
      </c>
    </row>
    <row r="929" spans="1:17" x14ac:dyDescent="0.3">
      <c r="A929" t="s">
        <v>17</v>
      </c>
      <c r="B929" t="str">
        <f>"601268"</f>
        <v>601268</v>
      </c>
      <c r="C929" t="s">
        <v>1901</v>
      </c>
      <c r="K929">
        <v>-12741101.42</v>
      </c>
      <c r="L929">
        <v>-2103058371.23</v>
      </c>
      <c r="M929">
        <v>-1114199940.22</v>
      </c>
      <c r="N929">
        <v>-864441881.05999994</v>
      </c>
      <c r="O929">
        <v>-2399534703.4200001</v>
      </c>
      <c r="P929">
        <v>2</v>
      </c>
      <c r="Q929" t="s">
        <v>1902</v>
      </c>
    </row>
    <row r="930" spans="1:17" x14ac:dyDescent="0.3">
      <c r="A930" t="s">
        <v>17</v>
      </c>
      <c r="B930" t="str">
        <f>"601279"</f>
        <v>601279</v>
      </c>
      <c r="C930" t="s">
        <v>1903</v>
      </c>
      <c r="D930" t="s">
        <v>27</v>
      </c>
      <c r="F930">
        <v>-162399828</v>
      </c>
      <c r="G930">
        <v>685611863</v>
      </c>
      <c r="H930">
        <v>234412563</v>
      </c>
      <c r="I930">
        <v>-253954060</v>
      </c>
      <c r="J930">
        <v>-143716352</v>
      </c>
      <c r="K930">
        <v>-6964639</v>
      </c>
      <c r="P930">
        <v>43</v>
      </c>
      <c r="Q930" t="s">
        <v>1904</v>
      </c>
    </row>
    <row r="931" spans="1:17" x14ac:dyDescent="0.3">
      <c r="A931" t="s">
        <v>17</v>
      </c>
      <c r="B931" t="str">
        <f>"601288"</f>
        <v>601288</v>
      </c>
      <c r="C931" t="s">
        <v>1905</v>
      </c>
      <c r="D931" t="s">
        <v>19</v>
      </c>
      <c r="F931">
        <v>219372000000</v>
      </c>
      <c r="G931">
        <v>-75430000000</v>
      </c>
      <c r="H931">
        <v>339639000000</v>
      </c>
      <c r="I931">
        <v>94484000000</v>
      </c>
      <c r="J931">
        <v>617406000000</v>
      </c>
      <c r="K931">
        <v>693336000000</v>
      </c>
      <c r="L931">
        <v>798661000000</v>
      </c>
      <c r="M931">
        <v>8618000000</v>
      </c>
      <c r="N931">
        <v>4709000000</v>
      </c>
      <c r="O931">
        <v>312909000000</v>
      </c>
      <c r="P931">
        <v>9499</v>
      </c>
      <c r="Q931" t="s">
        <v>1906</v>
      </c>
    </row>
    <row r="932" spans="1:17" x14ac:dyDescent="0.3">
      <c r="A932" t="s">
        <v>17</v>
      </c>
      <c r="B932" t="str">
        <f>"601298"</f>
        <v>601298</v>
      </c>
      <c r="C932" t="s">
        <v>1907</v>
      </c>
      <c r="D932" t="s">
        <v>22</v>
      </c>
      <c r="F932">
        <v>363917582</v>
      </c>
      <c r="G932">
        <v>640322027</v>
      </c>
      <c r="H932">
        <v>655511432</v>
      </c>
      <c r="I932">
        <v>-280212406</v>
      </c>
      <c r="J932">
        <v>-529426857</v>
      </c>
      <c r="K932">
        <v>-1494627826</v>
      </c>
      <c r="L932">
        <v>-611576298</v>
      </c>
      <c r="P932">
        <v>431</v>
      </c>
      <c r="Q932" t="s">
        <v>1908</v>
      </c>
    </row>
    <row r="933" spans="1:17" x14ac:dyDescent="0.3">
      <c r="A933" t="s">
        <v>17</v>
      </c>
      <c r="B933" t="str">
        <f>"601299"</f>
        <v>601299</v>
      </c>
      <c r="C933" t="s">
        <v>1909</v>
      </c>
      <c r="M933">
        <v>10041247000</v>
      </c>
      <c r="N933">
        <v>-390940000</v>
      </c>
      <c r="O933">
        <v>-4148954000</v>
      </c>
      <c r="P933">
        <v>12</v>
      </c>
      <c r="Q933" t="s">
        <v>1910</v>
      </c>
    </row>
    <row r="934" spans="1:17" x14ac:dyDescent="0.3">
      <c r="A934" t="s">
        <v>17</v>
      </c>
      <c r="B934" t="str">
        <f>"601311"</f>
        <v>601311</v>
      </c>
      <c r="C934" t="s">
        <v>1911</v>
      </c>
      <c r="D934" t="s">
        <v>188</v>
      </c>
      <c r="F934">
        <v>558038783</v>
      </c>
      <c r="G934">
        <v>792198047</v>
      </c>
      <c r="H934">
        <v>445597477</v>
      </c>
      <c r="I934">
        <v>402750243</v>
      </c>
      <c r="J934">
        <v>-610920087</v>
      </c>
      <c r="K934">
        <v>-280670688</v>
      </c>
      <c r="L934">
        <v>529167362</v>
      </c>
      <c r="M934">
        <v>51190564</v>
      </c>
      <c r="N934">
        <v>257970513</v>
      </c>
      <c r="O934">
        <v>46255379</v>
      </c>
      <c r="P934">
        <v>340</v>
      </c>
      <c r="Q934" t="s">
        <v>1912</v>
      </c>
    </row>
    <row r="935" spans="1:17" x14ac:dyDescent="0.3">
      <c r="A935" t="s">
        <v>17</v>
      </c>
      <c r="B935" t="str">
        <f>"601313"</f>
        <v>601313</v>
      </c>
      <c r="C935" t="s">
        <v>1913</v>
      </c>
      <c r="J935">
        <v>3874913000</v>
      </c>
      <c r="K935">
        <v>-6888151</v>
      </c>
      <c r="L935">
        <v>77359399.069999993</v>
      </c>
      <c r="M935">
        <v>108841034.17</v>
      </c>
      <c r="N935">
        <v>124419243.15000001</v>
      </c>
      <c r="O935">
        <v>153138499.71000001</v>
      </c>
      <c r="P935">
        <v>53</v>
      </c>
      <c r="Q935" t="s">
        <v>1914</v>
      </c>
    </row>
    <row r="936" spans="1:17" x14ac:dyDescent="0.3">
      <c r="A936" t="s">
        <v>17</v>
      </c>
      <c r="B936" t="str">
        <f>"601318"</f>
        <v>601318</v>
      </c>
      <c r="C936" t="s">
        <v>1915</v>
      </c>
      <c r="D936" t="s">
        <v>75</v>
      </c>
      <c r="F936">
        <v>78609000000</v>
      </c>
      <c r="G936">
        <v>302470000000</v>
      </c>
      <c r="H936">
        <v>239741000000</v>
      </c>
      <c r="I936">
        <v>199170000000</v>
      </c>
      <c r="J936">
        <v>102026000000</v>
      </c>
      <c r="K936">
        <v>211573000000</v>
      </c>
      <c r="L936">
        <v>119329000000</v>
      </c>
      <c r="M936">
        <v>157431000000</v>
      </c>
      <c r="N936">
        <v>207156000000</v>
      </c>
      <c r="O936">
        <v>272697000000</v>
      </c>
      <c r="P936">
        <v>27843</v>
      </c>
      <c r="Q936" t="s">
        <v>1916</v>
      </c>
    </row>
    <row r="937" spans="1:17" x14ac:dyDescent="0.3">
      <c r="A937" t="s">
        <v>17</v>
      </c>
      <c r="B937" t="str">
        <f>"601319"</f>
        <v>601319</v>
      </c>
      <c r="C937" t="s">
        <v>1917</v>
      </c>
      <c r="D937" t="s">
        <v>75</v>
      </c>
      <c r="F937">
        <v>69570000000</v>
      </c>
      <c r="G937">
        <v>20453000000</v>
      </c>
      <c r="H937">
        <v>31910000000</v>
      </c>
      <c r="I937">
        <v>-21556000000</v>
      </c>
      <c r="J937">
        <v>-4896000000</v>
      </c>
      <c r="K937">
        <v>20511000000</v>
      </c>
      <c r="L937">
        <v>17278000000</v>
      </c>
      <c r="M937">
        <v>-175000000</v>
      </c>
      <c r="N937">
        <v>54209000000</v>
      </c>
      <c r="O937">
        <v>52522000000</v>
      </c>
      <c r="P937">
        <v>901</v>
      </c>
      <c r="Q937" t="s">
        <v>1918</v>
      </c>
    </row>
    <row r="938" spans="1:17" x14ac:dyDescent="0.3">
      <c r="A938" t="s">
        <v>17</v>
      </c>
      <c r="B938" t="str">
        <f>"601326"</f>
        <v>601326</v>
      </c>
      <c r="C938" t="s">
        <v>1919</v>
      </c>
      <c r="D938" t="s">
        <v>22</v>
      </c>
      <c r="F938">
        <v>1186932622</v>
      </c>
      <c r="G938">
        <v>1360395720</v>
      </c>
      <c r="H938">
        <v>1652081673</v>
      </c>
      <c r="I938">
        <v>2255667882</v>
      </c>
      <c r="J938">
        <v>1826569974</v>
      </c>
      <c r="K938">
        <v>886532973</v>
      </c>
      <c r="L938">
        <v>888191338</v>
      </c>
      <c r="M938">
        <v>-340641412</v>
      </c>
      <c r="P938">
        <v>127</v>
      </c>
      <c r="Q938" t="s">
        <v>1920</v>
      </c>
    </row>
    <row r="939" spans="1:17" x14ac:dyDescent="0.3">
      <c r="A939" t="s">
        <v>17</v>
      </c>
      <c r="B939" t="str">
        <f>"601328"</f>
        <v>601328</v>
      </c>
      <c r="C939" t="s">
        <v>1921</v>
      </c>
      <c r="D939" t="s">
        <v>19</v>
      </c>
      <c r="F939">
        <v>-53753000000</v>
      </c>
      <c r="G939">
        <v>130000000000</v>
      </c>
      <c r="H939">
        <v>-111964000000</v>
      </c>
      <c r="I939">
        <v>93294000000</v>
      </c>
      <c r="J939">
        <v>-18544000000</v>
      </c>
      <c r="K939">
        <v>449482000000</v>
      </c>
      <c r="L939">
        <v>352355000000</v>
      </c>
      <c r="M939">
        <v>23856000000</v>
      </c>
      <c r="N939">
        <v>123051000000</v>
      </c>
      <c r="O939">
        <v>65726000000</v>
      </c>
      <c r="P939">
        <v>4577</v>
      </c>
      <c r="Q939" t="s">
        <v>1922</v>
      </c>
    </row>
    <row r="940" spans="1:17" x14ac:dyDescent="0.3">
      <c r="A940" t="s">
        <v>17</v>
      </c>
      <c r="B940" t="str">
        <f>"601330"</f>
        <v>601330</v>
      </c>
      <c r="C940" t="s">
        <v>1923</v>
      </c>
      <c r="D940" t="s">
        <v>33</v>
      </c>
      <c r="F940">
        <v>-1075491608</v>
      </c>
      <c r="G940">
        <v>-1368553957</v>
      </c>
      <c r="H940">
        <v>-2049869738</v>
      </c>
      <c r="I940">
        <v>-1102830822</v>
      </c>
      <c r="J940">
        <v>-601482514</v>
      </c>
      <c r="K940">
        <v>-589054731</v>
      </c>
      <c r="L940">
        <v>-434353163</v>
      </c>
      <c r="P940">
        <v>234</v>
      </c>
      <c r="Q940" t="s">
        <v>1924</v>
      </c>
    </row>
    <row r="941" spans="1:17" x14ac:dyDescent="0.3">
      <c r="A941" t="s">
        <v>17</v>
      </c>
      <c r="B941" t="str">
        <f>"601333"</f>
        <v>601333</v>
      </c>
      <c r="C941" t="s">
        <v>1925</v>
      </c>
      <c r="D941" t="s">
        <v>22</v>
      </c>
      <c r="F941">
        <v>65204206</v>
      </c>
      <c r="G941">
        <v>647511859</v>
      </c>
      <c r="H941">
        <v>221108034</v>
      </c>
      <c r="I941">
        <v>1165864604</v>
      </c>
      <c r="J941">
        <v>361939599</v>
      </c>
      <c r="K941">
        <v>-314710114</v>
      </c>
      <c r="L941">
        <v>975237047</v>
      </c>
      <c r="M941">
        <v>1114302459</v>
      </c>
      <c r="N941">
        <v>749710994</v>
      </c>
      <c r="O941">
        <v>550239955</v>
      </c>
      <c r="P941">
        <v>318</v>
      </c>
      <c r="Q941" t="s">
        <v>1926</v>
      </c>
    </row>
    <row r="942" spans="1:17" x14ac:dyDescent="0.3">
      <c r="A942" t="s">
        <v>17</v>
      </c>
      <c r="B942" t="str">
        <f>"601336"</f>
        <v>601336</v>
      </c>
      <c r="C942" t="s">
        <v>1927</v>
      </c>
      <c r="D942" t="s">
        <v>75</v>
      </c>
      <c r="F942">
        <v>70602000000</v>
      </c>
      <c r="G942">
        <v>64145000000</v>
      </c>
      <c r="H942">
        <v>37101000000</v>
      </c>
      <c r="I942">
        <v>5964000000</v>
      </c>
      <c r="J942">
        <v>4280000000</v>
      </c>
      <c r="K942">
        <v>5401000000</v>
      </c>
      <c r="L942">
        <v>4978000000</v>
      </c>
      <c r="M942">
        <v>22793000000</v>
      </c>
      <c r="N942">
        <v>54216000000</v>
      </c>
      <c r="O942">
        <v>52920000000</v>
      </c>
      <c r="P942">
        <v>1856</v>
      </c>
      <c r="Q942" t="s">
        <v>1928</v>
      </c>
    </row>
    <row r="943" spans="1:17" x14ac:dyDescent="0.3">
      <c r="A943" t="s">
        <v>17</v>
      </c>
      <c r="B943" t="str">
        <f>"601339"</f>
        <v>601339</v>
      </c>
      <c r="C943" t="s">
        <v>1929</v>
      </c>
      <c r="D943" t="s">
        <v>227</v>
      </c>
      <c r="F943">
        <v>890727396</v>
      </c>
      <c r="G943">
        <v>1083222674</v>
      </c>
      <c r="H943">
        <v>-218068287</v>
      </c>
      <c r="I943">
        <v>-1814604867</v>
      </c>
      <c r="J943">
        <v>-40084853</v>
      </c>
      <c r="K943">
        <v>818400727</v>
      </c>
      <c r="L943">
        <v>-595171363</v>
      </c>
      <c r="M943">
        <v>-1356667917</v>
      </c>
      <c r="N943">
        <v>-305360437</v>
      </c>
      <c r="O943">
        <v>992122786</v>
      </c>
      <c r="P943">
        <v>207</v>
      </c>
      <c r="Q943" t="s">
        <v>1930</v>
      </c>
    </row>
    <row r="944" spans="1:17" x14ac:dyDescent="0.3">
      <c r="A944" t="s">
        <v>17</v>
      </c>
      <c r="B944" t="str">
        <f>"601360"</f>
        <v>601360</v>
      </c>
      <c r="C944" t="s">
        <v>1931</v>
      </c>
      <c r="D944" t="s">
        <v>212</v>
      </c>
      <c r="F944">
        <v>-210783000</v>
      </c>
      <c r="G944">
        <v>1395996000</v>
      </c>
      <c r="H944">
        <v>2102491000</v>
      </c>
      <c r="I944">
        <v>3253238000</v>
      </c>
      <c r="J944">
        <v>-38046634</v>
      </c>
      <c r="K944">
        <v>-6888151</v>
      </c>
      <c r="L944">
        <v>77359399</v>
      </c>
      <c r="M944">
        <v>108841034</v>
      </c>
      <c r="N944">
        <v>124419243</v>
      </c>
      <c r="O944">
        <v>153138500</v>
      </c>
      <c r="P944">
        <v>1010</v>
      </c>
      <c r="Q944" t="s">
        <v>1932</v>
      </c>
    </row>
    <row r="945" spans="1:17" x14ac:dyDescent="0.3">
      <c r="A945" t="s">
        <v>17</v>
      </c>
      <c r="B945" t="str">
        <f>"601366"</f>
        <v>601366</v>
      </c>
      <c r="C945" t="s">
        <v>1933</v>
      </c>
      <c r="D945" t="s">
        <v>120</v>
      </c>
      <c r="F945">
        <v>20902886</v>
      </c>
      <c r="G945">
        <v>-578009525</v>
      </c>
      <c r="H945">
        <v>-455350464</v>
      </c>
      <c r="I945">
        <v>-581794212</v>
      </c>
      <c r="J945">
        <v>178317493</v>
      </c>
      <c r="K945">
        <v>722252036</v>
      </c>
      <c r="L945">
        <v>568720232</v>
      </c>
      <c r="M945">
        <v>-462858506</v>
      </c>
      <c r="P945">
        <v>132</v>
      </c>
      <c r="Q945" t="s">
        <v>1934</v>
      </c>
    </row>
    <row r="946" spans="1:17" x14ac:dyDescent="0.3">
      <c r="A946" t="s">
        <v>17</v>
      </c>
      <c r="B946" t="str">
        <f>"601368"</f>
        <v>601368</v>
      </c>
      <c r="C946" t="s">
        <v>1935</v>
      </c>
      <c r="D946" t="s">
        <v>33</v>
      </c>
      <c r="F946">
        <v>-1802595823</v>
      </c>
      <c r="G946">
        <v>-2096826874</v>
      </c>
      <c r="H946">
        <v>-1744894146</v>
      </c>
      <c r="I946">
        <v>-57986205</v>
      </c>
      <c r="J946">
        <v>-64927479</v>
      </c>
      <c r="K946">
        <v>-58822345</v>
      </c>
      <c r="L946">
        <v>-43768269</v>
      </c>
      <c r="M946">
        <v>22042147</v>
      </c>
      <c r="N946">
        <v>-110623479</v>
      </c>
      <c r="O946">
        <v>-21050806</v>
      </c>
      <c r="P946">
        <v>109</v>
      </c>
      <c r="Q946" t="s">
        <v>1936</v>
      </c>
    </row>
    <row r="947" spans="1:17" x14ac:dyDescent="0.3">
      <c r="A947" t="s">
        <v>17</v>
      </c>
      <c r="B947" t="str">
        <f>"601369"</f>
        <v>601369</v>
      </c>
      <c r="C947" t="s">
        <v>1937</v>
      </c>
      <c r="D947" t="s">
        <v>78</v>
      </c>
      <c r="F947">
        <v>398636961</v>
      </c>
      <c r="G947">
        <v>892383329</v>
      </c>
      <c r="H947">
        <v>806782873</v>
      </c>
      <c r="I947">
        <v>597551105</v>
      </c>
      <c r="J947">
        <v>-8991326</v>
      </c>
      <c r="K947">
        <v>-117719124</v>
      </c>
      <c r="L947">
        <v>-424368016</v>
      </c>
      <c r="M947">
        <v>441777856</v>
      </c>
      <c r="N947">
        <v>123187293</v>
      </c>
      <c r="O947">
        <v>10141313</v>
      </c>
      <c r="P947">
        <v>219</v>
      </c>
      <c r="Q947" t="s">
        <v>1938</v>
      </c>
    </row>
    <row r="948" spans="1:17" x14ac:dyDescent="0.3">
      <c r="A948" t="s">
        <v>17</v>
      </c>
      <c r="B948" t="str">
        <f>"601375"</f>
        <v>601375</v>
      </c>
      <c r="C948" t="s">
        <v>1939</v>
      </c>
      <c r="D948" t="s">
        <v>75</v>
      </c>
      <c r="F948">
        <v>-1175765449</v>
      </c>
      <c r="G948">
        <v>1253660791</v>
      </c>
      <c r="H948">
        <v>3424983551</v>
      </c>
      <c r="I948">
        <v>1544050121</v>
      </c>
      <c r="J948">
        <v>-4242166956</v>
      </c>
      <c r="K948">
        <v>-2794266894</v>
      </c>
      <c r="L948">
        <v>-1154266296</v>
      </c>
      <c r="M948">
        <v>2593666706</v>
      </c>
      <c r="N948">
        <v>-1049705672</v>
      </c>
      <c r="O948">
        <v>129920276.2</v>
      </c>
      <c r="P948">
        <v>690</v>
      </c>
      <c r="Q948" t="s">
        <v>1940</v>
      </c>
    </row>
    <row r="949" spans="1:17" x14ac:dyDescent="0.3">
      <c r="A949" t="s">
        <v>17</v>
      </c>
      <c r="B949" t="str">
        <f>"601377"</f>
        <v>601377</v>
      </c>
      <c r="C949" t="s">
        <v>1941</v>
      </c>
      <c r="D949" t="s">
        <v>75</v>
      </c>
      <c r="F949">
        <v>14677203512</v>
      </c>
      <c r="G949">
        <v>7387947689</v>
      </c>
      <c r="H949">
        <v>18065356603</v>
      </c>
      <c r="I949">
        <v>17357565063</v>
      </c>
      <c r="J949">
        <v>-21758128935</v>
      </c>
      <c r="K949">
        <v>-32364036949</v>
      </c>
      <c r="L949">
        <v>-1515732012</v>
      </c>
      <c r="M949">
        <v>2686343271</v>
      </c>
      <c r="N949">
        <v>-4748030377</v>
      </c>
      <c r="O949">
        <v>-547501892</v>
      </c>
      <c r="P949">
        <v>1731</v>
      </c>
      <c r="Q949" t="s">
        <v>1942</v>
      </c>
    </row>
    <row r="950" spans="1:17" x14ac:dyDescent="0.3">
      <c r="A950" t="s">
        <v>17</v>
      </c>
      <c r="B950" t="str">
        <f>"601388"</f>
        <v>601388</v>
      </c>
      <c r="C950" t="s">
        <v>1943</v>
      </c>
      <c r="D950" t="s">
        <v>234</v>
      </c>
      <c r="F950">
        <v>355380198</v>
      </c>
      <c r="G950">
        <v>234944722</v>
      </c>
      <c r="H950">
        <v>591486362</v>
      </c>
      <c r="I950">
        <v>135733366</v>
      </c>
      <c r="J950">
        <v>-146872958</v>
      </c>
      <c r="K950">
        <v>-35876465</v>
      </c>
      <c r="L950">
        <v>123183267</v>
      </c>
      <c r="M950">
        <v>111979284</v>
      </c>
      <c r="N950">
        <v>-125132488</v>
      </c>
      <c r="O950">
        <v>-96163595</v>
      </c>
      <c r="P950">
        <v>207</v>
      </c>
      <c r="Q950" t="s">
        <v>1944</v>
      </c>
    </row>
    <row r="951" spans="1:17" x14ac:dyDescent="0.3">
      <c r="A951" t="s">
        <v>17</v>
      </c>
      <c r="B951" t="str">
        <f>"601390"</f>
        <v>601390</v>
      </c>
      <c r="C951" t="s">
        <v>1945</v>
      </c>
      <c r="D951" t="s">
        <v>95</v>
      </c>
      <c r="F951">
        <v>-40643498000</v>
      </c>
      <c r="G951">
        <v>-10627455000</v>
      </c>
      <c r="H951">
        <v>3936977000</v>
      </c>
      <c r="I951">
        <v>-5357489000</v>
      </c>
      <c r="J951">
        <v>19321763000</v>
      </c>
      <c r="K951">
        <v>43612012000</v>
      </c>
      <c r="L951">
        <v>16805512000</v>
      </c>
      <c r="M951">
        <v>11087612000</v>
      </c>
      <c r="N951">
        <v>-1372695000</v>
      </c>
      <c r="O951">
        <v>-13213349000</v>
      </c>
      <c r="P951">
        <v>1323</v>
      </c>
      <c r="Q951" t="s">
        <v>1946</v>
      </c>
    </row>
    <row r="952" spans="1:17" x14ac:dyDescent="0.3">
      <c r="A952" t="s">
        <v>17</v>
      </c>
      <c r="B952" t="str">
        <f>"601398"</f>
        <v>601398</v>
      </c>
      <c r="C952" t="s">
        <v>1947</v>
      </c>
      <c r="D952" t="s">
        <v>19</v>
      </c>
      <c r="F952">
        <v>352028000000</v>
      </c>
      <c r="G952">
        <v>1535160000000</v>
      </c>
      <c r="H952">
        <v>678070000000</v>
      </c>
      <c r="I952">
        <v>673964000000</v>
      </c>
      <c r="J952">
        <v>763984000000</v>
      </c>
      <c r="K952">
        <v>202306000000</v>
      </c>
      <c r="L952">
        <v>1098278000000</v>
      </c>
      <c r="M952">
        <v>156834000000</v>
      </c>
      <c r="N952">
        <v>-34432000000</v>
      </c>
      <c r="O952">
        <v>514801000000</v>
      </c>
      <c r="P952">
        <v>20386</v>
      </c>
      <c r="Q952" t="s">
        <v>1948</v>
      </c>
    </row>
    <row r="953" spans="1:17" x14ac:dyDescent="0.3">
      <c r="A953" t="s">
        <v>17</v>
      </c>
      <c r="B953" t="str">
        <f>"601399"</f>
        <v>601399</v>
      </c>
      <c r="C953" t="s">
        <v>1949</v>
      </c>
      <c r="D953" t="s">
        <v>78</v>
      </c>
      <c r="F953">
        <v>484289277</v>
      </c>
      <c r="G953">
        <v>-1202207694</v>
      </c>
      <c r="H953">
        <v>-651078802</v>
      </c>
      <c r="I953">
        <v>729133582</v>
      </c>
      <c r="J953">
        <v>64383973</v>
      </c>
      <c r="N953">
        <v>-864441881</v>
      </c>
      <c r="O953">
        <v>-2399534703</v>
      </c>
      <c r="P953">
        <v>53</v>
      </c>
      <c r="Q953" t="s">
        <v>1950</v>
      </c>
    </row>
    <row r="954" spans="1:17" x14ac:dyDescent="0.3">
      <c r="A954" t="s">
        <v>17</v>
      </c>
      <c r="B954" t="str">
        <f>"601456"</f>
        <v>601456</v>
      </c>
      <c r="C954" t="s">
        <v>1951</v>
      </c>
      <c r="D954" t="s">
        <v>75</v>
      </c>
      <c r="F954">
        <v>-5291139319</v>
      </c>
      <c r="G954">
        <v>-4481344029</v>
      </c>
      <c r="H954">
        <v>3712800000</v>
      </c>
      <c r="I954">
        <v>-357191000</v>
      </c>
      <c r="J954">
        <v>-6727405000</v>
      </c>
      <c r="P954">
        <v>310</v>
      </c>
      <c r="Q954" t="s">
        <v>1952</v>
      </c>
    </row>
    <row r="955" spans="1:17" x14ac:dyDescent="0.3">
      <c r="A955" t="s">
        <v>17</v>
      </c>
      <c r="B955" t="str">
        <f>"601500"</f>
        <v>601500</v>
      </c>
      <c r="C955" t="s">
        <v>1953</v>
      </c>
      <c r="D955" t="s">
        <v>27</v>
      </c>
      <c r="F955">
        <v>-784829265</v>
      </c>
      <c r="G955">
        <v>-505870499</v>
      </c>
      <c r="H955">
        <v>-1714794155</v>
      </c>
      <c r="I955">
        <v>-361641612</v>
      </c>
      <c r="J955">
        <v>97709396</v>
      </c>
      <c r="K955">
        <v>91238687</v>
      </c>
      <c r="L955">
        <v>167332154</v>
      </c>
      <c r="M955">
        <v>-29380926</v>
      </c>
      <c r="N955">
        <v>485304608</v>
      </c>
      <c r="P955">
        <v>85</v>
      </c>
      <c r="Q955" t="s">
        <v>1954</v>
      </c>
    </row>
    <row r="956" spans="1:17" x14ac:dyDescent="0.3">
      <c r="A956" t="s">
        <v>17</v>
      </c>
      <c r="B956" t="str">
        <f>"601512"</f>
        <v>601512</v>
      </c>
      <c r="C956" t="s">
        <v>1955</v>
      </c>
      <c r="D956" t="s">
        <v>30</v>
      </c>
      <c r="F956">
        <v>-553061868</v>
      </c>
      <c r="G956">
        <v>-1652597690</v>
      </c>
      <c r="H956">
        <v>-2395551714</v>
      </c>
      <c r="I956">
        <v>844525268</v>
      </c>
      <c r="J956">
        <v>1973768641</v>
      </c>
      <c r="K956">
        <v>2625278495</v>
      </c>
      <c r="P956">
        <v>103</v>
      </c>
      <c r="Q956" t="s">
        <v>1956</v>
      </c>
    </row>
    <row r="957" spans="1:17" x14ac:dyDescent="0.3">
      <c r="A957" t="s">
        <v>17</v>
      </c>
      <c r="B957" t="str">
        <f>"601515"</f>
        <v>601515</v>
      </c>
      <c r="C957" t="s">
        <v>1957</v>
      </c>
      <c r="D957" t="s">
        <v>161</v>
      </c>
      <c r="F957">
        <v>574208889</v>
      </c>
      <c r="G957">
        <v>1047269924</v>
      </c>
      <c r="H957">
        <v>644757244</v>
      </c>
      <c r="I957">
        <v>549137278</v>
      </c>
      <c r="J957">
        <v>1045674829</v>
      </c>
      <c r="K957">
        <v>368229724</v>
      </c>
      <c r="L957">
        <v>358203176</v>
      </c>
      <c r="M957">
        <v>416514898</v>
      </c>
      <c r="N957">
        <v>84685854</v>
      </c>
      <c r="O957">
        <v>472932716</v>
      </c>
      <c r="P957">
        <v>28151</v>
      </c>
      <c r="Q957" t="s">
        <v>1958</v>
      </c>
    </row>
    <row r="958" spans="1:17" x14ac:dyDescent="0.3">
      <c r="A958" t="s">
        <v>17</v>
      </c>
      <c r="B958" t="str">
        <f>"601518"</f>
        <v>601518</v>
      </c>
      <c r="C958" t="s">
        <v>1959</v>
      </c>
      <c r="D958" t="s">
        <v>22</v>
      </c>
      <c r="F958">
        <v>729303843</v>
      </c>
      <c r="G958">
        <v>292058582</v>
      </c>
      <c r="H958">
        <v>381311269</v>
      </c>
      <c r="I958">
        <v>504774135</v>
      </c>
      <c r="J958">
        <v>629946543</v>
      </c>
      <c r="K958">
        <v>58895030</v>
      </c>
      <c r="L958">
        <v>-684633309</v>
      </c>
      <c r="M958">
        <v>-1433268548</v>
      </c>
      <c r="N958">
        <v>-190693130</v>
      </c>
      <c r="O958">
        <v>98768785</v>
      </c>
      <c r="P958">
        <v>111</v>
      </c>
      <c r="Q958" t="s">
        <v>1960</v>
      </c>
    </row>
    <row r="959" spans="1:17" x14ac:dyDescent="0.3">
      <c r="A959" t="s">
        <v>17</v>
      </c>
      <c r="B959" t="str">
        <f>"601519"</f>
        <v>601519</v>
      </c>
      <c r="C959" t="s">
        <v>1961</v>
      </c>
      <c r="D959" t="s">
        <v>212</v>
      </c>
      <c r="F959">
        <v>128894866</v>
      </c>
      <c r="G959">
        <v>-35447042</v>
      </c>
      <c r="H959">
        <v>497646999</v>
      </c>
      <c r="I959">
        <v>-386269708</v>
      </c>
      <c r="J959">
        <v>-427912782</v>
      </c>
      <c r="K959">
        <v>-1085483313</v>
      </c>
      <c r="L959">
        <v>-334579436</v>
      </c>
      <c r="M959">
        <v>-594658222</v>
      </c>
      <c r="N959">
        <v>-315749423</v>
      </c>
      <c r="O959">
        <v>-413945204</v>
      </c>
      <c r="P959">
        <v>209</v>
      </c>
      <c r="Q959" t="s">
        <v>1962</v>
      </c>
    </row>
    <row r="960" spans="1:17" x14ac:dyDescent="0.3">
      <c r="A960" t="s">
        <v>17</v>
      </c>
      <c r="B960" t="str">
        <f>"601528"</f>
        <v>601528</v>
      </c>
      <c r="C960" t="s">
        <v>1963</v>
      </c>
      <c r="D960" t="s">
        <v>19</v>
      </c>
      <c r="F960">
        <v>-397169000</v>
      </c>
      <c r="G960">
        <v>12187984151</v>
      </c>
      <c r="H960">
        <v>5126547677</v>
      </c>
      <c r="I960">
        <v>-4430445007</v>
      </c>
      <c r="K960">
        <v>6320490000</v>
      </c>
      <c r="L960">
        <v>10870303000</v>
      </c>
      <c r="M960">
        <v>6163535000</v>
      </c>
      <c r="P960">
        <v>49</v>
      </c>
      <c r="Q960" t="s">
        <v>1964</v>
      </c>
    </row>
    <row r="961" spans="1:17" x14ac:dyDescent="0.3">
      <c r="A961" t="s">
        <v>17</v>
      </c>
      <c r="B961" t="str">
        <f>"601555"</f>
        <v>601555</v>
      </c>
      <c r="C961" t="s">
        <v>1965</v>
      </c>
      <c r="D961" t="s">
        <v>75</v>
      </c>
      <c r="F961">
        <v>9399397309</v>
      </c>
      <c r="G961">
        <v>-1528284593</v>
      </c>
      <c r="H961">
        <v>1060626211</v>
      </c>
      <c r="I961">
        <v>6965424033</v>
      </c>
      <c r="J961">
        <v>-16830520381</v>
      </c>
      <c r="K961">
        <v>-6340010192</v>
      </c>
      <c r="L961">
        <v>-1959039057</v>
      </c>
      <c r="M961">
        <v>909620739</v>
      </c>
      <c r="N961">
        <v>-3348629616</v>
      </c>
      <c r="O961">
        <v>-1981066166</v>
      </c>
      <c r="P961">
        <v>937</v>
      </c>
      <c r="Q961" t="s">
        <v>1966</v>
      </c>
    </row>
    <row r="962" spans="1:17" x14ac:dyDescent="0.3">
      <c r="A962" t="s">
        <v>17</v>
      </c>
      <c r="B962" t="str">
        <f>"601558"</f>
        <v>601558</v>
      </c>
      <c r="C962" t="s">
        <v>1967</v>
      </c>
      <c r="H962">
        <v>-21063865</v>
      </c>
      <c r="I962">
        <v>-50609354</v>
      </c>
      <c r="J962">
        <v>66561135</v>
      </c>
      <c r="K962">
        <v>-447237532</v>
      </c>
      <c r="L962">
        <v>865060719</v>
      </c>
      <c r="M962">
        <v>-586152935</v>
      </c>
      <c r="N962">
        <v>-2153902436</v>
      </c>
      <c r="O962">
        <v>-710864854</v>
      </c>
      <c r="P962">
        <v>47</v>
      </c>
      <c r="Q962" t="s">
        <v>1968</v>
      </c>
    </row>
    <row r="963" spans="1:17" x14ac:dyDescent="0.3">
      <c r="A963" t="s">
        <v>17</v>
      </c>
      <c r="B963" t="str">
        <f>"601566"</f>
        <v>601566</v>
      </c>
      <c r="C963" t="s">
        <v>1969</v>
      </c>
      <c r="D963" t="s">
        <v>227</v>
      </c>
      <c r="F963">
        <v>108594163</v>
      </c>
      <c r="G963">
        <v>175294038</v>
      </c>
      <c r="H963">
        <v>151320086</v>
      </c>
      <c r="I963">
        <v>357953379</v>
      </c>
      <c r="J963">
        <v>439961527</v>
      </c>
      <c r="K963">
        <v>391986629</v>
      </c>
      <c r="L963">
        <v>456027857</v>
      </c>
      <c r="M963">
        <v>440411547</v>
      </c>
      <c r="N963">
        <v>449490031</v>
      </c>
      <c r="O963">
        <v>365941556</v>
      </c>
      <c r="P963">
        <v>426</v>
      </c>
      <c r="Q963" t="s">
        <v>1970</v>
      </c>
    </row>
    <row r="964" spans="1:17" x14ac:dyDescent="0.3">
      <c r="A964" t="s">
        <v>17</v>
      </c>
      <c r="B964" t="str">
        <f>"601567"</f>
        <v>601567</v>
      </c>
      <c r="C964" t="s">
        <v>1971</v>
      </c>
      <c r="D964" t="s">
        <v>188</v>
      </c>
      <c r="F964">
        <v>-95130072</v>
      </c>
      <c r="G964">
        <v>1063019352</v>
      </c>
      <c r="H964">
        <v>748498774</v>
      </c>
      <c r="I964">
        <v>132278365</v>
      </c>
      <c r="J964">
        <v>718225437</v>
      </c>
      <c r="K964">
        <v>613789449</v>
      </c>
      <c r="L964">
        <v>251671565</v>
      </c>
      <c r="M964">
        <v>50698823</v>
      </c>
      <c r="N964">
        <v>172567658</v>
      </c>
      <c r="O964">
        <v>383747411</v>
      </c>
      <c r="P964">
        <v>325</v>
      </c>
      <c r="Q964" t="s">
        <v>1972</v>
      </c>
    </row>
    <row r="965" spans="1:17" x14ac:dyDescent="0.3">
      <c r="A965" t="s">
        <v>17</v>
      </c>
      <c r="B965" t="str">
        <f>"601568"</f>
        <v>601568</v>
      </c>
      <c r="C965" t="s">
        <v>1973</v>
      </c>
      <c r="D965" t="s">
        <v>133</v>
      </c>
      <c r="F965">
        <v>3049392240</v>
      </c>
      <c r="G965">
        <v>1949951199</v>
      </c>
      <c r="H965">
        <v>1341513932</v>
      </c>
      <c r="I965">
        <v>1878729912</v>
      </c>
      <c r="J965">
        <v>1957982840</v>
      </c>
      <c r="K965">
        <v>2096085419</v>
      </c>
      <c r="P965">
        <v>121</v>
      </c>
      <c r="Q965" t="s">
        <v>1974</v>
      </c>
    </row>
    <row r="966" spans="1:17" x14ac:dyDescent="0.3">
      <c r="A966" t="s">
        <v>17</v>
      </c>
      <c r="B966" t="str">
        <f>"601577"</f>
        <v>601577</v>
      </c>
      <c r="C966" t="s">
        <v>1975</v>
      </c>
      <c r="D966" t="s">
        <v>19</v>
      </c>
      <c r="F966">
        <v>3430868000</v>
      </c>
      <c r="G966">
        <v>20236248000</v>
      </c>
      <c r="H966">
        <v>-26377311000</v>
      </c>
      <c r="I966">
        <v>-38765464000</v>
      </c>
      <c r="J966">
        <v>27532099000</v>
      </c>
      <c r="K966">
        <v>24053755000</v>
      </c>
      <c r="L966">
        <v>32987850000</v>
      </c>
      <c r="M966">
        <v>-11854144000</v>
      </c>
      <c r="N966">
        <v>15101102000</v>
      </c>
      <c r="O966">
        <v>38029088000</v>
      </c>
      <c r="P966">
        <v>927</v>
      </c>
      <c r="Q966" t="s">
        <v>1976</v>
      </c>
    </row>
    <row r="967" spans="1:17" x14ac:dyDescent="0.3">
      <c r="A967" t="s">
        <v>17</v>
      </c>
      <c r="B967" t="str">
        <f>"601579"</f>
        <v>601579</v>
      </c>
      <c r="C967" t="s">
        <v>1977</v>
      </c>
      <c r="D967" t="s">
        <v>123</v>
      </c>
      <c r="F967">
        <v>264219259</v>
      </c>
      <c r="G967">
        <v>151090704</v>
      </c>
      <c r="H967">
        <v>117672939</v>
      </c>
      <c r="I967">
        <v>-210172892</v>
      </c>
      <c r="J967">
        <v>41845148</v>
      </c>
      <c r="K967">
        <v>189308624</v>
      </c>
      <c r="L967">
        <v>-110137728</v>
      </c>
      <c r="M967">
        <v>-40958679</v>
      </c>
      <c r="N967">
        <v>-33173275</v>
      </c>
      <c r="O967">
        <v>-23001012</v>
      </c>
      <c r="P967">
        <v>186</v>
      </c>
      <c r="Q967" t="s">
        <v>1978</v>
      </c>
    </row>
    <row r="968" spans="1:17" x14ac:dyDescent="0.3">
      <c r="A968" t="s">
        <v>17</v>
      </c>
      <c r="B968" t="str">
        <f>"601588"</f>
        <v>601588</v>
      </c>
      <c r="C968" t="s">
        <v>1979</v>
      </c>
      <c r="D968" t="s">
        <v>30</v>
      </c>
      <c r="F968">
        <v>5948922732</v>
      </c>
      <c r="G968">
        <v>-77769592</v>
      </c>
      <c r="H968">
        <v>-13601917</v>
      </c>
      <c r="I968">
        <v>2412224667</v>
      </c>
      <c r="J968">
        <v>-1728050425</v>
      </c>
      <c r="K968">
        <v>1957619870</v>
      </c>
      <c r="L968">
        <v>-3215877938</v>
      </c>
      <c r="M968">
        <v>-1448592326</v>
      </c>
      <c r="N968">
        <v>972930362</v>
      </c>
      <c r="O968">
        <v>428459778</v>
      </c>
      <c r="P968">
        <v>536</v>
      </c>
      <c r="Q968" t="s">
        <v>1980</v>
      </c>
    </row>
    <row r="969" spans="1:17" x14ac:dyDescent="0.3">
      <c r="A969" t="s">
        <v>17</v>
      </c>
      <c r="B969" t="str">
        <f>"601595"</f>
        <v>601595</v>
      </c>
      <c r="C969" t="s">
        <v>1981</v>
      </c>
      <c r="D969" t="s">
        <v>89</v>
      </c>
      <c r="F969">
        <v>208777514</v>
      </c>
      <c r="G969">
        <v>-437039860</v>
      </c>
      <c r="H969">
        <v>353588082</v>
      </c>
      <c r="I969">
        <v>-59469994</v>
      </c>
      <c r="J969">
        <v>16163338</v>
      </c>
      <c r="K969">
        <v>24975987</v>
      </c>
      <c r="L969">
        <v>155377806</v>
      </c>
      <c r="M969">
        <v>186419174</v>
      </c>
      <c r="N969">
        <v>92028170</v>
      </c>
      <c r="P969">
        <v>158</v>
      </c>
      <c r="Q969" t="s">
        <v>1982</v>
      </c>
    </row>
    <row r="970" spans="1:17" x14ac:dyDescent="0.3">
      <c r="A970" t="s">
        <v>17</v>
      </c>
      <c r="B970" t="str">
        <f>"601598"</f>
        <v>601598</v>
      </c>
      <c r="C970" t="s">
        <v>1983</v>
      </c>
      <c r="D970" t="s">
        <v>22</v>
      </c>
      <c r="F970">
        <v>2942628994</v>
      </c>
      <c r="G970">
        <v>2277220860</v>
      </c>
      <c r="H970">
        <v>1716617231</v>
      </c>
      <c r="I970">
        <v>-145295866</v>
      </c>
      <c r="J970">
        <v>137962600</v>
      </c>
      <c r="K970">
        <v>-448633200</v>
      </c>
      <c r="L970">
        <v>1291615600</v>
      </c>
      <c r="P970">
        <v>316</v>
      </c>
      <c r="Q970" t="s">
        <v>1984</v>
      </c>
    </row>
    <row r="971" spans="1:17" x14ac:dyDescent="0.3">
      <c r="A971" t="s">
        <v>17</v>
      </c>
      <c r="B971" t="str">
        <f>"601599"</f>
        <v>601599</v>
      </c>
      <c r="C971" t="s">
        <v>1985</v>
      </c>
      <c r="D971" t="s">
        <v>227</v>
      </c>
      <c r="F971">
        <v>752276493</v>
      </c>
      <c r="G971">
        <v>368005426</v>
      </c>
      <c r="H971">
        <v>329711924</v>
      </c>
      <c r="I971">
        <v>73278744</v>
      </c>
      <c r="J971">
        <v>-508885714</v>
      </c>
      <c r="K971">
        <v>-457675615</v>
      </c>
      <c r="L971">
        <v>136639330</v>
      </c>
      <c r="M971">
        <v>191406351</v>
      </c>
      <c r="N971">
        <v>-26308110</v>
      </c>
      <c r="O971">
        <v>-266921331</v>
      </c>
      <c r="P971">
        <v>60</v>
      </c>
      <c r="Q971" t="s">
        <v>1986</v>
      </c>
    </row>
    <row r="972" spans="1:17" x14ac:dyDescent="0.3">
      <c r="A972" t="s">
        <v>17</v>
      </c>
      <c r="B972" t="str">
        <f>"601600"</f>
        <v>601600</v>
      </c>
      <c r="C972" t="s">
        <v>1987</v>
      </c>
      <c r="D972" t="s">
        <v>234</v>
      </c>
      <c r="F972">
        <v>27213005000</v>
      </c>
      <c r="G972">
        <v>11717115000</v>
      </c>
      <c r="H972">
        <v>4624083000</v>
      </c>
      <c r="I972">
        <v>6898259000</v>
      </c>
      <c r="J972">
        <v>4291345000</v>
      </c>
      <c r="K972">
        <v>5199460000</v>
      </c>
      <c r="L972">
        <v>-272286000</v>
      </c>
      <c r="M972">
        <v>5518067000</v>
      </c>
      <c r="N972">
        <v>426890000</v>
      </c>
      <c r="O972">
        <v>-7897101000</v>
      </c>
      <c r="P972">
        <v>744</v>
      </c>
      <c r="Q972" t="s">
        <v>1988</v>
      </c>
    </row>
    <row r="973" spans="1:17" x14ac:dyDescent="0.3">
      <c r="A973" t="s">
        <v>17</v>
      </c>
      <c r="B973" t="str">
        <f>"601601"</f>
        <v>601601</v>
      </c>
      <c r="C973" t="s">
        <v>1989</v>
      </c>
      <c r="D973" t="s">
        <v>75</v>
      </c>
      <c r="F973">
        <v>104745000000</v>
      </c>
      <c r="G973">
        <v>104456000000</v>
      </c>
      <c r="H973">
        <v>108381000000</v>
      </c>
      <c r="I973">
        <v>85331000000</v>
      </c>
      <c r="J973">
        <v>82167000000</v>
      </c>
      <c r="K973">
        <v>57115000000</v>
      </c>
      <c r="L973">
        <v>37683000000</v>
      </c>
      <c r="M973">
        <v>36461000000</v>
      </c>
      <c r="N973">
        <v>41508000000</v>
      </c>
      <c r="O973">
        <v>49123000000</v>
      </c>
      <c r="P973">
        <v>2648</v>
      </c>
      <c r="Q973" t="s">
        <v>1990</v>
      </c>
    </row>
    <row r="974" spans="1:17" x14ac:dyDescent="0.3">
      <c r="A974" t="s">
        <v>17</v>
      </c>
      <c r="B974" t="str">
        <f>"601606"</f>
        <v>601606</v>
      </c>
      <c r="C974" t="s">
        <v>1991</v>
      </c>
      <c r="D974" t="s">
        <v>92</v>
      </c>
      <c r="F974">
        <v>13665624</v>
      </c>
      <c r="G974">
        <v>-201014219</v>
      </c>
      <c r="H974">
        <v>269874454</v>
      </c>
      <c r="I974">
        <v>-178792485</v>
      </c>
      <c r="J974">
        <v>-25560858</v>
      </c>
      <c r="K974">
        <v>52427225</v>
      </c>
      <c r="L974">
        <v>177993718</v>
      </c>
      <c r="P974">
        <v>180</v>
      </c>
      <c r="Q974" t="s">
        <v>1992</v>
      </c>
    </row>
    <row r="975" spans="1:17" x14ac:dyDescent="0.3">
      <c r="A975" t="s">
        <v>17</v>
      </c>
      <c r="B975" t="str">
        <f>"601607"</f>
        <v>601607</v>
      </c>
      <c r="C975" t="s">
        <v>1527</v>
      </c>
      <c r="D975" t="s">
        <v>113</v>
      </c>
      <c r="F975">
        <v>1133454999</v>
      </c>
      <c r="G975">
        <v>4218608340</v>
      </c>
      <c r="H975">
        <v>3411163621</v>
      </c>
      <c r="I975">
        <v>1256244424</v>
      </c>
      <c r="J975">
        <v>761321695</v>
      </c>
      <c r="K975">
        <v>138661968</v>
      </c>
      <c r="L975">
        <v>16924040</v>
      </c>
      <c r="M975">
        <v>196179640</v>
      </c>
      <c r="N975">
        <v>104225012</v>
      </c>
      <c r="O975">
        <v>461971637</v>
      </c>
      <c r="P975">
        <v>1370</v>
      </c>
      <c r="Q975" t="s">
        <v>1993</v>
      </c>
    </row>
    <row r="976" spans="1:17" x14ac:dyDescent="0.3">
      <c r="A976" t="s">
        <v>17</v>
      </c>
      <c r="B976" t="str">
        <f>"601608"</f>
        <v>601608</v>
      </c>
      <c r="C976" t="s">
        <v>1994</v>
      </c>
      <c r="D976" t="s">
        <v>78</v>
      </c>
      <c r="F976">
        <v>393917477</v>
      </c>
      <c r="G976">
        <v>238378422</v>
      </c>
      <c r="H976">
        <v>62148946</v>
      </c>
      <c r="I976">
        <v>384615858</v>
      </c>
      <c r="J976">
        <v>237059496</v>
      </c>
      <c r="K976">
        <v>-1167043370</v>
      </c>
      <c r="L976">
        <v>-415536722</v>
      </c>
      <c r="M976">
        <v>-424924236</v>
      </c>
      <c r="N976">
        <v>-181119699</v>
      </c>
      <c r="O976">
        <v>133764690</v>
      </c>
      <c r="P976">
        <v>178</v>
      </c>
      <c r="Q976" t="s">
        <v>1995</v>
      </c>
    </row>
    <row r="977" spans="1:17" x14ac:dyDescent="0.3">
      <c r="A977" t="s">
        <v>17</v>
      </c>
      <c r="B977" t="str">
        <f>"601609"</f>
        <v>601609</v>
      </c>
      <c r="C977" t="s">
        <v>1996</v>
      </c>
      <c r="D977" t="s">
        <v>234</v>
      </c>
      <c r="F977">
        <v>-2786333441</v>
      </c>
      <c r="G977">
        <v>-976080844</v>
      </c>
      <c r="H977">
        <v>-451251406</v>
      </c>
      <c r="I977">
        <v>423300408</v>
      </c>
      <c r="J977">
        <v>-975180938</v>
      </c>
      <c r="P977">
        <v>106</v>
      </c>
      <c r="Q977" t="s">
        <v>1997</v>
      </c>
    </row>
    <row r="978" spans="1:17" x14ac:dyDescent="0.3">
      <c r="A978" t="s">
        <v>17</v>
      </c>
      <c r="B978" t="str">
        <f>"601611"</f>
        <v>601611</v>
      </c>
      <c r="C978" t="s">
        <v>1998</v>
      </c>
      <c r="D978" t="s">
        <v>95</v>
      </c>
      <c r="F978">
        <v>-5601384075</v>
      </c>
      <c r="G978">
        <v>-5822828625</v>
      </c>
      <c r="H978">
        <v>-10547941877</v>
      </c>
      <c r="I978">
        <v>-2652957440</v>
      </c>
      <c r="J978">
        <v>1109424529</v>
      </c>
      <c r="K978">
        <v>-3058364093</v>
      </c>
      <c r="L978">
        <v>449431449</v>
      </c>
      <c r="M978">
        <v>-2861699286</v>
      </c>
      <c r="N978">
        <v>-1097928166</v>
      </c>
      <c r="P978">
        <v>346</v>
      </c>
      <c r="Q978" t="s">
        <v>1999</v>
      </c>
    </row>
    <row r="979" spans="1:17" x14ac:dyDescent="0.3">
      <c r="A979" t="s">
        <v>17</v>
      </c>
      <c r="B979" t="str">
        <f>"601615"</f>
        <v>601615</v>
      </c>
      <c r="C979" t="s">
        <v>2000</v>
      </c>
      <c r="D979" t="s">
        <v>188</v>
      </c>
      <c r="F979">
        <v>-1982404711</v>
      </c>
      <c r="G979">
        <v>327039204</v>
      </c>
      <c r="H979">
        <v>3435537140</v>
      </c>
      <c r="I979">
        <v>-1367068889</v>
      </c>
      <c r="J979">
        <v>-467831839</v>
      </c>
      <c r="K979">
        <v>-695834410</v>
      </c>
      <c r="L979">
        <v>-184925046</v>
      </c>
      <c r="P979">
        <v>1068</v>
      </c>
      <c r="Q979" t="s">
        <v>2001</v>
      </c>
    </row>
    <row r="980" spans="1:17" x14ac:dyDescent="0.3">
      <c r="A980" t="s">
        <v>17</v>
      </c>
      <c r="B980" t="str">
        <f>"601616"</f>
        <v>601616</v>
      </c>
      <c r="C980" t="s">
        <v>2002</v>
      </c>
      <c r="D980" t="s">
        <v>188</v>
      </c>
      <c r="F980">
        <v>133039324</v>
      </c>
      <c r="G980">
        <v>125952031</v>
      </c>
      <c r="H980">
        <v>120975729</v>
      </c>
      <c r="I980">
        <v>233371191</v>
      </c>
      <c r="J980">
        <v>26205913</v>
      </c>
      <c r="K980">
        <v>58990871</v>
      </c>
      <c r="L980">
        <v>26819063</v>
      </c>
      <c r="M980">
        <v>5426245</v>
      </c>
      <c r="N980">
        <v>-31508323</v>
      </c>
      <c r="O980">
        <v>-155708860</v>
      </c>
      <c r="P980">
        <v>72</v>
      </c>
      <c r="Q980" t="s">
        <v>2003</v>
      </c>
    </row>
    <row r="981" spans="1:17" x14ac:dyDescent="0.3">
      <c r="A981" t="s">
        <v>17</v>
      </c>
      <c r="B981" t="str">
        <f>"601618"</f>
        <v>601618</v>
      </c>
      <c r="C981" t="s">
        <v>2004</v>
      </c>
      <c r="D981" t="s">
        <v>95</v>
      </c>
      <c r="F981">
        <v>14636751000</v>
      </c>
      <c r="G981">
        <v>24441449000</v>
      </c>
      <c r="H981">
        <v>14073641000</v>
      </c>
      <c r="I981">
        <v>8858374000</v>
      </c>
      <c r="J981">
        <v>14569222000</v>
      </c>
      <c r="K981">
        <v>15726350000</v>
      </c>
      <c r="L981">
        <v>12375107000</v>
      </c>
      <c r="M981">
        <v>12560912000</v>
      </c>
      <c r="N981">
        <v>17422154000</v>
      </c>
      <c r="O981">
        <v>-925268000</v>
      </c>
      <c r="P981">
        <v>584</v>
      </c>
      <c r="Q981" t="s">
        <v>2005</v>
      </c>
    </row>
    <row r="982" spans="1:17" x14ac:dyDescent="0.3">
      <c r="A982" t="s">
        <v>17</v>
      </c>
      <c r="B982" t="str">
        <f>"601619"</f>
        <v>601619</v>
      </c>
      <c r="C982" t="s">
        <v>2006</v>
      </c>
      <c r="D982" t="s">
        <v>41</v>
      </c>
      <c r="F982">
        <v>216657722</v>
      </c>
      <c r="G982">
        <v>58344050</v>
      </c>
      <c r="H982">
        <v>240402804</v>
      </c>
      <c r="I982">
        <v>760195856</v>
      </c>
      <c r="J982">
        <v>-953140548</v>
      </c>
      <c r="K982">
        <v>-547300382</v>
      </c>
      <c r="L982">
        <v>-1038766801</v>
      </c>
      <c r="M982">
        <v>-1019015722</v>
      </c>
      <c r="P982">
        <v>184</v>
      </c>
      <c r="Q982" t="s">
        <v>2007</v>
      </c>
    </row>
    <row r="983" spans="1:17" x14ac:dyDescent="0.3">
      <c r="A983" t="s">
        <v>17</v>
      </c>
      <c r="B983" t="str">
        <f>"601628"</f>
        <v>601628</v>
      </c>
      <c r="C983" t="s">
        <v>2008</v>
      </c>
      <c r="D983" t="s">
        <v>75</v>
      </c>
      <c r="F983">
        <v>281314000000</v>
      </c>
      <c r="G983">
        <v>296614000000</v>
      </c>
      <c r="H983">
        <v>274689000000</v>
      </c>
      <c r="I983">
        <v>128280000000</v>
      </c>
      <c r="J983">
        <v>191474000000</v>
      </c>
      <c r="K983">
        <v>83903000000</v>
      </c>
      <c r="L983">
        <v>-26996000000</v>
      </c>
      <c r="M983">
        <v>73636000000</v>
      </c>
      <c r="N983">
        <v>64727000000</v>
      </c>
      <c r="O983">
        <v>127107000000</v>
      </c>
      <c r="P983">
        <v>1729</v>
      </c>
      <c r="Q983" t="s">
        <v>2009</v>
      </c>
    </row>
    <row r="984" spans="1:17" x14ac:dyDescent="0.3">
      <c r="A984" t="s">
        <v>17</v>
      </c>
      <c r="B984" t="str">
        <f>"601633"</f>
        <v>601633</v>
      </c>
      <c r="C984" t="s">
        <v>2010</v>
      </c>
      <c r="D984" t="s">
        <v>27</v>
      </c>
      <c r="F984">
        <v>22842698896</v>
      </c>
      <c r="G984">
        <v>-2598659689</v>
      </c>
      <c r="H984">
        <v>7187250563</v>
      </c>
      <c r="I984">
        <v>13451100329</v>
      </c>
      <c r="J984">
        <v>-6833969578</v>
      </c>
      <c r="K984">
        <v>2156814549</v>
      </c>
      <c r="L984">
        <v>4195249415</v>
      </c>
      <c r="M984">
        <v>-1127131441</v>
      </c>
      <c r="N984">
        <v>1981545351</v>
      </c>
      <c r="O984">
        <v>71449223</v>
      </c>
      <c r="P984">
        <v>2070</v>
      </c>
      <c r="Q984" t="s">
        <v>2011</v>
      </c>
    </row>
    <row r="985" spans="1:17" x14ac:dyDescent="0.3">
      <c r="A985" t="s">
        <v>17</v>
      </c>
      <c r="B985" t="str">
        <f>"601636"</f>
        <v>601636</v>
      </c>
      <c r="C985" t="s">
        <v>2012</v>
      </c>
      <c r="D985" t="s">
        <v>350</v>
      </c>
      <c r="F985">
        <v>3643246562</v>
      </c>
      <c r="G985">
        <v>1976980090</v>
      </c>
      <c r="H985">
        <v>1303230853</v>
      </c>
      <c r="I985">
        <v>1009740364</v>
      </c>
      <c r="J985">
        <v>939739992</v>
      </c>
      <c r="K985">
        <v>955958300</v>
      </c>
      <c r="L985">
        <v>-211615740</v>
      </c>
      <c r="M985">
        <v>-627517906</v>
      </c>
      <c r="N985">
        <v>-293971105</v>
      </c>
      <c r="O985">
        <v>-1374566510</v>
      </c>
      <c r="P985">
        <v>1517</v>
      </c>
      <c r="Q985" t="s">
        <v>2013</v>
      </c>
    </row>
    <row r="986" spans="1:17" x14ac:dyDescent="0.3">
      <c r="A986" t="s">
        <v>17</v>
      </c>
      <c r="B986" t="str">
        <f>"601658"</f>
        <v>601658</v>
      </c>
      <c r="C986" t="s">
        <v>2014</v>
      </c>
      <c r="D986" t="s">
        <v>19</v>
      </c>
      <c r="F986">
        <v>95854000000</v>
      </c>
      <c r="G986">
        <v>154475000000</v>
      </c>
      <c r="H986">
        <v>19748000000</v>
      </c>
      <c r="I986">
        <v>178821000000</v>
      </c>
      <c r="J986">
        <v>-408202000000</v>
      </c>
      <c r="K986">
        <v>213052000000</v>
      </c>
      <c r="L986">
        <v>926271000000</v>
      </c>
      <c r="M986">
        <v>671573000000</v>
      </c>
      <c r="N986">
        <v>10027000000</v>
      </c>
      <c r="O986">
        <v>184959000000</v>
      </c>
      <c r="P986">
        <v>1192</v>
      </c>
      <c r="Q986" t="s">
        <v>2015</v>
      </c>
    </row>
    <row r="987" spans="1:17" x14ac:dyDescent="0.3">
      <c r="A987" t="s">
        <v>17</v>
      </c>
      <c r="B987" t="str">
        <f>"601665"</f>
        <v>601665</v>
      </c>
      <c r="C987" t="s">
        <v>2016</v>
      </c>
      <c r="D987" t="s">
        <v>19</v>
      </c>
      <c r="F987">
        <v>28308210000</v>
      </c>
      <c r="G987">
        <v>17588082000</v>
      </c>
      <c r="H987">
        <v>9609970000</v>
      </c>
      <c r="I987">
        <v>7852386000</v>
      </c>
      <c r="J987">
        <v>5085280000</v>
      </c>
      <c r="K987">
        <v>15891434000</v>
      </c>
      <c r="P987">
        <v>52</v>
      </c>
      <c r="Q987" t="s">
        <v>2017</v>
      </c>
    </row>
    <row r="988" spans="1:17" x14ac:dyDescent="0.3">
      <c r="A988" t="s">
        <v>17</v>
      </c>
      <c r="B988" t="str">
        <f>"601666"</f>
        <v>601666</v>
      </c>
      <c r="C988" t="s">
        <v>2018</v>
      </c>
      <c r="D988" t="s">
        <v>257</v>
      </c>
      <c r="F988">
        <v>4885577444</v>
      </c>
      <c r="G988">
        <v>-1220288144</v>
      </c>
      <c r="H988">
        <v>-556170984</v>
      </c>
      <c r="I988">
        <v>1748754816</v>
      </c>
      <c r="J988">
        <v>1414530645</v>
      </c>
      <c r="K988">
        <v>2191411287</v>
      </c>
      <c r="L988">
        <v>-1388147206</v>
      </c>
      <c r="M988">
        <v>-2785006782</v>
      </c>
      <c r="N988">
        <v>-3752475586</v>
      </c>
      <c r="O988">
        <v>-773065973</v>
      </c>
      <c r="P988">
        <v>401</v>
      </c>
      <c r="Q988" t="s">
        <v>2019</v>
      </c>
    </row>
    <row r="989" spans="1:17" x14ac:dyDescent="0.3">
      <c r="A989" t="s">
        <v>17</v>
      </c>
      <c r="B989" t="str">
        <f>"601668"</f>
        <v>601668</v>
      </c>
      <c r="C989" t="s">
        <v>2020</v>
      </c>
      <c r="D989" t="s">
        <v>95</v>
      </c>
      <c r="F989">
        <v>-13959856000</v>
      </c>
      <c r="G989">
        <v>-25948687000</v>
      </c>
      <c r="H989">
        <v>-52470469000</v>
      </c>
      <c r="I989">
        <v>-7587471000</v>
      </c>
      <c r="J989">
        <v>-59863291000</v>
      </c>
      <c r="K989">
        <v>96181627000</v>
      </c>
      <c r="L989">
        <v>42004773000</v>
      </c>
      <c r="M989">
        <v>12445209000</v>
      </c>
      <c r="N989">
        <v>-10932060000</v>
      </c>
      <c r="O989">
        <v>-6521607000</v>
      </c>
      <c r="P989">
        <v>10287</v>
      </c>
      <c r="Q989" t="s">
        <v>2021</v>
      </c>
    </row>
    <row r="990" spans="1:17" x14ac:dyDescent="0.3">
      <c r="A990" t="s">
        <v>17</v>
      </c>
      <c r="B990" t="str">
        <f>"601669"</f>
        <v>601669</v>
      </c>
      <c r="C990" t="s">
        <v>2022</v>
      </c>
      <c r="D990" t="s">
        <v>95</v>
      </c>
      <c r="F990">
        <v>-18068062485</v>
      </c>
      <c r="G990">
        <v>-15412812664</v>
      </c>
      <c r="H990">
        <v>-57548578388</v>
      </c>
      <c r="I990">
        <v>-30534025846</v>
      </c>
      <c r="J990">
        <v>-50356481286</v>
      </c>
      <c r="K990">
        <v>-1399384278</v>
      </c>
      <c r="L990">
        <v>-15401293392</v>
      </c>
      <c r="M990">
        <v>-12831212157</v>
      </c>
      <c r="N990">
        <v>-9351149382</v>
      </c>
      <c r="O990">
        <v>-12567069689</v>
      </c>
      <c r="P990">
        <v>752</v>
      </c>
      <c r="Q990" t="s">
        <v>2023</v>
      </c>
    </row>
    <row r="991" spans="1:17" x14ac:dyDescent="0.3">
      <c r="A991" t="s">
        <v>17</v>
      </c>
      <c r="B991" t="str">
        <f>"601677"</f>
        <v>601677</v>
      </c>
      <c r="C991" t="s">
        <v>2024</v>
      </c>
      <c r="D991" t="s">
        <v>234</v>
      </c>
      <c r="F991">
        <v>1667452869</v>
      </c>
      <c r="G991">
        <v>520473588</v>
      </c>
      <c r="H991">
        <v>-31532709</v>
      </c>
      <c r="I991">
        <v>-291821235</v>
      </c>
      <c r="J991">
        <v>-686857132</v>
      </c>
      <c r="K991">
        <v>-252912146</v>
      </c>
      <c r="L991">
        <v>-210335874</v>
      </c>
      <c r="M991">
        <v>806705463</v>
      </c>
      <c r="N991">
        <v>-217799502</v>
      </c>
      <c r="O991">
        <v>-140888769</v>
      </c>
      <c r="P991">
        <v>372</v>
      </c>
      <c r="Q991" t="s">
        <v>2025</v>
      </c>
    </row>
    <row r="992" spans="1:17" x14ac:dyDescent="0.3">
      <c r="A992" t="s">
        <v>17</v>
      </c>
      <c r="B992" t="str">
        <f>"601678"</f>
        <v>601678</v>
      </c>
      <c r="C992" t="s">
        <v>2026</v>
      </c>
      <c r="D992" t="s">
        <v>133</v>
      </c>
      <c r="F992">
        <v>12743095</v>
      </c>
      <c r="G992">
        <v>-123111322</v>
      </c>
      <c r="H992">
        <v>361415305</v>
      </c>
      <c r="I992">
        <v>567104611</v>
      </c>
      <c r="J992">
        <v>814096016</v>
      </c>
      <c r="K992">
        <v>652270919</v>
      </c>
      <c r="L992">
        <v>185197544</v>
      </c>
      <c r="M992">
        <v>118588788</v>
      </c>
      <c r="N992">
        <v>-733447009</v>
      </c>
      <c r="O992">
        <v>11840515</v>
      </c>
      <c r="P992">
        <v>353</v>
      </c>
      <c r="Q992" t="s">
        <v>2027</v>
      </c>
    </row>
    <row r="993" spans="1:17" x14ac:dyDescent="0.3">
      <c r="A993" t="s">
        <v>17</v>
      </c>
      <c r="B993" t="str">
        <f>"601686"</f>
        <v>601686</v>
      </c>
      <c r="C993" t="s">
        <v>2028</v>
      </c>
      <c r="D993" t="s">
        <v>38</v>
      </c>
      <c r="F993">
        <v>-1527883668</v>
      </c>
      <c r="G993">
        <v>-292945675</v>
      </c>
      <c r="H993">
        <v>473138397</v>
      </c>
      <c r="I993">
        <v>24988508</v>
      </c>
      <c r="J993">
        <v>-846982813</v>
      </c>
      <c r="K993">
        <v>112173115</v>
      </c>
      <c r="P993">
        <v>57</v>
      </c>
      <c r="Q993" t="s">
        <v>2029</v>
      </c>
    </row>
    <row r="994" spans="1:17" x14ac:dyDescent="0.3">
      <c r="A994" t="s">
        <v>17</v>
      </c>
      <c r="B994" t="str">
        <f>"601688"</f>
        <v>601688</v>
      </c>
      <c r="C994" t="s">
        <v>2030</v>
      </c>
      <c r="D994" t="s">
        <v>75</v>
      </c>
      <c r="F994">
        <v>-47595592954</v>
      </c>
      <c r="G994">
        <v>25055696512</v>
      </c>
      <c r="H994">
        <v>19355549775</v>
      </c>
      <c r="I994">
        <v>21036135964</v>
      </c>
      <c r="J994">
        <v>-36369894114</v>
      </c>
      <c r="K994">
        <v>-15956096938</v>
      </c>
      <c r="L994">
        <v>13983201268</v>
      </c>
      <c r="M994">
        <v>29745161038</v>
      </c>
      <c r="N994">
        <v>-21355340118</v>
      </c>
      <c r="O994">
        <v>-10932331027</v>
      </c>
      <c r="P994">
        <v>6874</v>
      </c>
      <c r="Q994" t="s">
        <v>2031</v>
      </c>
    </row>
    <row r="995" spans="1:17" x14ac:dyDescent="0.3">
      <c r="A995" t="s">
        <v>17</v>
      </c>
      <c r="B995" t="str">
        <f>"601689"</f>
        <v>601689</v>
      </c>
      <c r="C995" t="s">
        <v>2032</v>
      </c>
      <c r="D995" t="s">
        <v>27</v>
      </c>
      <c r="F995">
        <v>-2282169176</v>
      </c>
      <c r="G995">
        <v>-261759408</v>
      </c>
      <c r="H995">
        <v>300838286</v>
      </c>
      <c r="I995">
        <v>-715892881</v>
      </c>
      <c r="J995">
        <v>-357141212</v>
      </c>
      <c r="K995">
        <v>-463356135</v>
      </c>
      <c r="L995">
        <v>-189002996</v>
      </c>
      <c r="M995">
        <v>78604553</v>
      </c>
      <c r="N995">
        <v>152662769</v>
      </c>
      <c r="O995">
        <v>212193372</v>
      </c>
      <c r="P995">
        <v>663</v>
      </c>
      <c r="Q995" t="s">
        <v>2033</v>
      </c>
    </row>
    <row r="996" spans="1:17" x14ac:dyDescent="0.3">
      <c r="A996" t="s">
        <v>17</v>
      </c>
      <c r="B996" t="str">
        <f>"601696"</f>
        <v>601696</v>
      </c>
      <c r="C996" t="s">
        <v>2034</v>
      </c>
      <c r="D996" t="s">
        <v>75</v>
      </c>
      <c r="F996">
        <v>7105952977</v>
      </c>
      <c r="G996">
        <v>2870678187</v>
      </c>
      <c r="H996">
        <v>10240189460</v>
      </c>
      <c r="I996">
        <v>928752238</v>
      </c>
      <c r="J996">
        <v>-5560043245</v>
      </c>
      <c r="K996">
        <v>-3832161179</v>
      </c>
      <c r="L996">
        <v>1273452700</v>
      </c>
      <c r="M996">
        <v>3910872421</v>
      </c>
      <c r="N996">
        <v>727497550</v>
      </c>
      <c r="O996">
        <v>-1319805496</v>
      </c>
      <c r="P996">
        <v>517</v>
      </c>
      <c r="Q996" t="s">
        <v>2035</v>
      </c>
    </row>
    <row r="997" spans="1:17" x14ac:dyDescent="0.3">
      <c r="A997" t="s">
        <v>17</v>
      </c>
      <c r="B997" t="str">
        <f>"601698"</f>
        <v>601698</v>
      </c>
      <c r="C997" t="s">
        <v>2036</v>
      </c>
      <c r="D997" t="s">
        <v>92</v>
      </c>
      <c r="F997">
        <v>913000391</v>
      </c>
      <c r="G997">
        <v>673366881</v>
      </c>
      <c r="H997">
        <v>73236193</v>
      </c>
      <c r="I997">
        <v>1040622773</v>
      </c>
      <c r="J997">
        <v>-406190780</v>
      </c>
      <c r="K997">
        <v>-221232491</v>
      </c>
      <c r="P997">
        <v>316</v>
      </c>
      <c r="Q997" t="s">
        <v>2037</v>
      </c>
    </row>
    <row r="998" spans="1:17" x14ac:dyDescent="0.3">
      <c r="A998" t="s">
        <v>17</v>
      </c>
      <c r="B998" t="str">
        <f>"601699"</f>
        <v>601699</v>
      </c>
      <c r="C998" t="s">
        <v>2038</v>
      </c>
      <c r="D998" t="s">
        <v>257</v>
      </c>
      <c r="F998">
        <v>5903743896</v>
      </c>
      <c r="G998">
        <v>1145605591</v>
      </c>
      <c r="H998">
        <v>2999700038</v>
      </c>
      <c r="I998">
        <v>8128866168</v>
      </c>
      <c r="J998">
        <v>1937457784</v>
      </c>
      <c r="K998">
        <v>264417146</v>
      </c>
      <c r="L998">
        <v>-1548243791</v>
      </c>
      <c r="M998">
        <v>-906999365</v>
      </c>
      <c r="N998">
        <v>-1954543670</v>
      </c>
      <c r="O998">
        <v>-1305475807</v>
      </c>
      <c r="P998">
        <v>791</v>
      </c>
      <c r="Q998" t="s">
        <v>2039</v>
      </c>
    </row>
    <row r="999" spans="1:17" x14ac:dyDescent="0.3">
      <c r="A999" t="s">
        <v>17</v>
      </c>
      <c r="B999" t="str">
        <f>"601700"</f>
        <v>601700</v>
      </c>
      <c r="C999" t="s">
        <v>2040</v>
      </c>
      <c r="D999" t="s">
        <v>188</v>
      </c>
      <c r="F999">
        <v>-173009160</v>
      </c>
      <c r="G999">
        <v>-559769827</v>
      </c>
      <c r="H999">
        <v>262123220</v>
      </c>
      <c r="I999">
        <v>187139299</v>
      </c>
      <c r="J999">
        <v>96707300</v>
      </c>
      <c r="K999">
        <v>79205239</v>
      </c>
      <c r="L999">
        <v>-100769757</v>
      </c>
      <c r="M999">
        <v>192547420</v>
      </c>
      <c r="N999">
        <v>-464049336</v>
      </c>
      <c r="O999">
        <v>134159765</v>
      </c>
      <c r="P999">
        <v>126</v>
      </c>
      <c r="Q999" t="s">
        <v>2041</v>
      </c>
    </row>
    <row r="1000" spans="1:17" x14ac:dyDescent="0.3">
      <c r="A1000" t="s">
        <v>17</v>
      </c>
      <c r="B1000" t="str">
        <f>"601702"</f>
        <v>601702</v>
      </c>
      <c r="C1000" t="s">
        <v>2042</v>
      </c>
      <c r="D1000" t="s">
        <v>234</v>
      </c>
      <c r="F1000">
        <v>129612816</v>
      </c>
      <c r="G1000">
        <v>-139564985</v>
      </c>
      <c r="H1000">
        <v>-82803556</v>
      </c>
      <c r="I1000">
        <v>-149126283</v>
      </c>
      <c r="J1000">
        <v>-658476459</v>
      </c>
      <c r="P1000">
        <v>117</v>
      </c>
      <c r="Q1000" t="s">
        <v>2043</v>
      </c>
    </row>
    <row r="1001" spans="1:17" x14ac:dyDescent="0.3">
      <c r="A1001" t="s">
        <v>17</v>
      </c>
      <c r="B1001" t="str">
        <f>"601717"</f>
        <v>601717</v>
      </c>
      <c r="C1001" t="s">
        <v>2044</v>
      </c>
      <c r="D1001" t="s">
        <v>78</v>
      </c>
      <c r="F1001">
        <v>2081037925</v>
      </c>
      <c r="G1001">
        <v>1479842250</v>
      </c>
      <c r="H1001">
        <v>1904616171</v>
      </c>
      <c r="I1001">
        <v>126957743</v>
      </c>
      <c r="J1001">
        <v>1044976711</v>
      </c>
      <c r="K1001">
        <v>522283225</v>
      </c>
      <c r="L1001">
        <v>279285132</v>
      </c>
      <c r="M1001">
        <v>162041301</v>
      </c>
      <c r="N1001">
        <v>-717757846</v>
      </c>
      <c r="O1001">
        <v>-23346003</v>
      </c>
      <c r="P1001">
        <v>318</v>
      </c>
      <c r="Q1001" t="s">
        <v>2045</v>
      </c>
    </row>
    <row r="1002" spans="1:17" x14ac:dyDescent="0.3">
      <c r="A1002" t="s">
        <v>17</v>
      </c>
      <c r="B1002" t="str">
        <f>"601718"</f>
        <v>601718</v>
      </c>
      <c r="C1002" t="s">
        <v>2046</v>
      </c>
      <c r="D1002" t="s">
        <v>227</v>
      </c>
      <c r="F1002">
        <v>687938380</v>
      </c>
      <c r="G1002">
        <v>-140388610</v>
      </c>
      <c r="H1002">
        <v>1088486451</v>
      </c>
      <c r="I1002">
        <v>-353006644</v>
      </c>
      <c r="J1002">
        <v>-2740857275</v>
      </c>
      <c r="K1002">
        <v>857883145</v>
      </c>
      <c r="L1002">
        <v>-1645721389</v>
      </c>
      <c r="M1002">
        <v>-1334654367</v>
      </c>
      <c r="N1002">
        <v>-18299942</v>
      </c>
      <c r="O1002">
        <v>-466784811</v>
      </c>
      <c r="P1002">
        <v>180</v>
      </c>
      <c r="Q1002" t="s">
        <v>2047</v>
      </c>
    </row>
    <row r="1003" spans="1:17" x14ac:dyDescent="0.3">
      <c r="A1003" t="s">
        <v>17</v>
      </c>
      <c r="B1003" t="str">
        <f>"601727"</f>
        <v>601727</v>
      </c>
      <c r="C1003" t="s">
        <v>2048</v>
      </c>
      <c r="D1003" t="s">
        <v>188</v>
      </c>
      <c r="F1003">
        <v>-13385155000</v>
      </c>
      <c r="G1003">
        <v>145200000</v>
      </c>
      <c r="H1003">
        <v>6042896000</v>
      </c>
      <c r="I1003">
        <v>-2146590000</v>
      </c>
      <c r="J1003">
        <v>-9710326000</v>
      </c>
      <c r="K1003">
        <v>8630630000</v>
      </c>
      <c r="L1003">
        <v>6812949000</v>
      </c>
      <c r="M1003">
        <v>3768872000</v>
      </c>
      <c r="N1003">
        <v>5727530000</v>
      </c>
      <c r="O1003">
        <v>4560197000</v>
      </c>
      <c r="P1003">
        <v>551</v>
      </c>
      <c r="Q1003" t="s">
        <v>2049</v>
      </c>
    </row>
    <row r="1004" spans="1:17" x14ac:dyDescent="0.3">
      <c r="A1004" t="s">
        <v>17</v>
      </c>
      <c r="B1004" t="str">
        <f>"601728"</f>
        <v>601728</v>
      </c>
      <c r="C1004" t="s">
        <v>2050</v>
      </c>
      <c r="D1004" t="s">
        <v>100</v>
      </c>
      <c r="F1004">
        <v>55738878555</v>
      </c>
      <c r="G1004">
        <v>47100000000</v>
      </c>
      <c r="H1004">
        <v>36124000000</v>
      </c>
      <c r="I1004">
        <v>20395000000</v>
      </c>
      <c r="P1004">
        <v>144</v>
      </c>
      <c r="Q1004" t="s">
        <v>2051</v>
      </c>
    </row>
    <row r="1005" spans="1:17" x14ac:dyDescent="0.3">
      <c r="A1005" t="s">
        <v>17</v>
      </c>
      <c r="B1005" t="str">
        <f>"601766"</f>
        <v>601766</v>
      </c>
      <c r="C1005" t="s">
        <v>2052</v>
      </c>
      <c r="D1005" t="s">
        <v>78</v>
      </c>
      <c r="F1005">
        <v>16051867000</v>
      </c>
      <c r="G1005">
        <v>-8600986000</v>
      </c>
      <c r="H1005">
        <v>17141244000</v>
      </c>
      <c r="I1005">
        <v>11163023000</v>
      </c>
      <c r="J1005">
        <v>8508444000</v>
      </c>
      <c r="K1005">
        <v>10997078000</v>
      </c>
      <c r="L1005">
        <v>6126567000</v>
      </c>
      <c r="M1005">
        <v>8920766418</v>
      </c>
      <c r="N1005">
        <v>955520139</v>
      </c>
      <c r="O1005">
        <v>-1282666652</v>
      </c>
      <c r="P1005">
        <v>1205</v>
      </c>
      <c r="Q1005" t="s">
        <v>2053</v>
      </c>
    </row>
    <row r="1006" spans="1:17" x14ac:dyDescent="0.3">
      <c r="A1006" t="s">
        <v>17</v>
      </c>
      <c r="B1006" t="str">
        <f>"601777"</f>
        <v>601777</v>
      </c>
      <c r="C1006" t="s">
        <v>2054</v>
      </c>
      <c r="D1006" t="s">
        <v>27</v>
      </c>
      <c r="F1006">
        <v>364048881</v>
      </c>
      <c r="G1006">
        <v>145598329</v>
      </c>
      <c r="H1006">
        <v>-540968593</v>
      </c>
      <c r="I1006">
        <v>2055253658</v>
      </c>
      <c r="J1006">
        <v>-775949010</v>
      </c>
      <c r="K1006">
        <v>-1146376477</v>
      </c>
      <c r="L1006">
        <v>-1947873490</v>
      </c>
      <c r="M1006">
        <v>-652528674</v>
      </c>
      <c r="N1006">
        <v>-1117896413</v>
      </c>
      <c r="O1006">
        <v>-1528976267</v>
      </c>
      <c r="P1006">
        <v>154</v>
      </c>
      <c r="Q1006" t="s">
        <v>2055</v>
      </c>
    </row>
    <row r="1007" spans="1:17" x14ac:dyDescent="0.3">
      <c r="A1007" t="s">
        <v>17</v>
      </c>
      <c r="B1007" t="str">
        <f>"601778"</f>
        <v>601778</v>
      </c>
      <c r="C1007" t="s">
        <v>2056</v>
      </c>
      <c r="D1007" t="s">
        <v>41</v>
      </c>
      <c r="F1007">
        <v>-1015056233</v>
      </c>
      <c r="G1007">
        <v>603740662</v>
      </c>
      <c r="H1007">
        <v>-788577884</v>
      </c>
      <c r="I1007">
        <v>-164582418</v>
      </c>
      <c r="J1007">
        <v>-3100737641</v>
      </c>
      <c r="K1007">
        <v>-2453022343</v>
      </c>
      <c r="P1007">
        <v>221</v>
      </c>
      <c r="Q1007" t="s">
        <v>2057</v>
      </c>
    </row>
    <row r="1008" spans="1:17" x14ac:dyDescent="0.3">
      <c r="A1008" t="s">
        <v>17</v>
      </c>
      <c r="B1008" t="str">
        <f>"601788"</f>
        <v>601788</v>
      </c>
      <c r="C1008" t="s">
        <v>2058</v>
      </c>
      <c r="D1008" t="s">
        <v>75</v>
      </c>
      <c r="F1008">
        <v>-5130964880</v>
      </c>
      <c r="G1008">
        <v>25354769822</v>
      </c>
      <c r="H1008">
        <v>35395752304</v>
      </c>
      <c r="I1008">
        <v>-18539482943</v>
      </c>
      <c r="J1008">
        <v>-42255206730</v>
      </c>
      <c r="K1008">
        <v>-19935114390</v>
      </c>
      <c r="L1008">
        <v>282316561</v>
      </c>
      <c r="M1008">
        <v>17381232118</v>
      </c>
      <c r="N1008">
        <v>1240862005</v>
      </c>
      <c r="O1008">
        <v>1109049704</v>
      </c>
      <c r="P1008">
        <v>1149</v>
      </c>
      <c r="Q1008" t="s">
        <v>2059</v>
      </c>
    </row>
    <row r="1009" spans="1:17" x14ac:dyDescent="0.3">
      <c r="A1009" t="s">
        <v>17</v>
      </c>
      <c r="B1009" t="str">
        <f>"601789"</f>
        <v>601789</v>
      </c>
      <c r="C1009" t="s">
        <v>2060</v>
      </c>
      <c r="D1009" t="s">
        <v>95</v>
      </c>
      <c r="F1009">
        <v>-944125253</v>
      </c>
      <c r="G1009">
        <v>768592423</v>
      </c>
      <c r="H1009">
        <v>897304394</v>
      </c>
      <c r="I1009">
        <v>857670091</v>
      </c>
      <c r="J1009">
        <v>185731140</v>
      </c>
      <c r="K1009">
        <v>353089497</v>
      </c>
      <c r="L1009">
        <v>102171764</v>
      </c>
      <c r="M1009">
        <v>-698779287</v>
      </c>
      <c r="N1009">
        <v>-252937510</v>
      </c>
      <c r="O1009">
        <v>-6937015</v>
      </c>
      <c r="P1009">
        <v>147</v>
      </c>
      <c r="Q1009" t="s">
        <v>2061</v>
      </c>
    </row>
    <row r="1010" spans="1:17" x14ac:dyDescent="0.3">
      <c r="A1010" t="s">
        <v>17</v>
      </c>
      <c r="B1010" t="str">
        <f>"601798"</f>
        <v>601798</v>
      </c>
      <c r="C1010" t="s">
        <v>2062</v>
      </c>
      <c r="D1010" t="s">
        <v>78</v>
      </c>
      <c r="F1010">
        <v>17847405</v>
      </c>
      <c r="G1010">
        <v>18491511</v>
      </c>
      <c r="H1010">
        <v>-158429724</v>
      </c>
      <c r="I1010">
        <v>-10487782</v>
      </c>
      <c r="J1010">
        <v>5041168</v>
      </c>
      <c r="K1010">
        <v>34230854</v>
      </c>
      <c r="L1010">
        <v>1509956</v>
      </c>
      <c r="M1010">
        <v>-34780510</v>
      </c>
      <c r="N1010">
        <v>-146265611</v>
      </c>
      <c r="O1010">
        <v>-282073546</v>
      </c>
      <c r="P1010">
        <v>77</v>
      </c>
      <c r="Q1010" t="s">
        <v>2063</v>
      </c>
    </row>
    <row r="1011" spans="1:17" x14ac:dyDescent="0.3">
      <c r="A1011" t="s">
        <v>17</v>
      </c>
      <c r="B1011" t="str">
        <f>"601799"</f>
        <v>601799</v>
      </c>
      <c r="C1011" t="s">
        <v>2064</v>
      </c>
      <c r="D1011" t="s">
        <v>27</v>
      </c>
      <c r="F1011">
        <v>-737081018</v>
      </c>
      <c r="G1011">
        <v>1083657098</v>
      </c>
      <c r="H1011">
        <v>265784821</v>
      </c>
      <c r="I1011">
        <v>366878265</v>
      </c>
      <c r="J1011">
        <v>366021681</v>
      </c>
      <c r="K1011">
        <v>64905000</v>
      </c>
      <c r="L1011">
        <v>-7892570</v>
      </c>
      <c r="M1011">
        <v>144130191</v>
      </c>
      <c r="N1011">
        <v>56714869</v>
      </c>
      <c r="O1011">
        <v>-192206991</v>
      </c>
      <c r="P1011">
        <v>1014</v>
      </c>
      <c r="Q1011" t="s">
        <v>2065</v>
      </c>
    </row>
    <row r="1012" spans="1:17" x14ac:dyDescent="0.3">
      <c r="A1012" t="s">
        <v>17</v>
      </c>
      <c r="B1012" t="str">
        <f>"601800"</f>
        <v>601800</v>
      </c>
      <c r="C1012" t="s">
        <v>2066</v>
      </c>
      <c r="D1012" t="s">
        <v>95</v>
      </c>
      <c r="F1012">
        <v>-48268159951</v>
      </c>
      <c r="G1012">
        <v>-71985243248</v>
      </c>
      <c r="H1012">
        <v>-56382009013</v>
      </c>
      <c r="I1012">
        <v>-28839674207</v>
      </c>
      <c r="J1012">
        <v>2467556162</v>
      </c>
      <c r="K1012">
        <v>-6819474135</v>
      </c>
      <c r="L1012">
        <v>-19356498073</v>
      </c>
      <c r="M1012">
        <v>-37857966304</v>
      </c>
      <c r="N1012">
        <v>-16949844725</v>
      </c>
      <c r="O1012">
        <v>-5659676534</v>
      </c>
      <c r="P1012">
        <v>901</v>
      </c>
      <c r="Q1012" t="s">
        <v>2067</v>
      </c>
    </row>
    <row r="1013" spans="1:17" x14ac:dyDescent="0.3">
      <c r="A1013" t="s">
        <v>17</v>
      </c>
      <c r="B1013" t="str">
        <f>"601801"</f>
        <v>601801</v>
      </c>
      <c r="C1013" t="s">
        <v>2068</v>
      </c>
      <c r="D1013" t="s">
        <v>89</v>
      </c>
      <c r="F1013">
        <v>763491290</v>
      </c>
      <c r="G1013">
        <v>590577852</v>
      </c>
      <c r="H1013">
        <v>1014874873</v>
      </c>
      <c r="I1013">
        <v>819873171</v>
      </c>
      <c r="J1013">
        <v>392361743</v>
      </c>
      <c r="K1013">
        <v>777036633</v>
      </c>
      <c r="L1013">
        <v>248058510</v>
      </c>
      <c r="M1013">
        <v>427390342</v>
      </c>
      <c r="N1013">
        <v>210028912</v>
      </c>
      <c r="O1013">
        <v>402628573</v>
      </c>
      <c r="P1013">
        <v>267</v>
      </c>
      <c r="Q1013" t="s">
        <v>2069</v>
      </c>
    </row>
    <row r="1014" spans="1:17" x14ac:dyDescent="0.3">
      <c r="A1014" t="s">
        <v>17</v>
      </c>
      <c r="B1014" t="str">
        <f>"601808"</f>
        <v>601808</v>
      </c>
      <c r="C1014" t="s">
        <v>2070</v>
      </c>
      <c r="D1014" t="s">
        <v>70</v>
      </c>
      <c r="F1014">
        <v>3694691262</v>
      </c>
      <c r="G1014">
        <v>3371434529</v>
      </c>
      <c r="H1014">
        <v>3991750057</v>
      </c>
      <c r="I1014">
        <v>2216413381</v>
      </c>
      <c r="J1014">
        <v>3416256786</v>
      </c>
      <c r="K1014">
        <v>627050001</v>
      </c>
      <c r="L1014">
        <v>746111295</v>
      </c>
      <c r="M1014">
        <v>415022326</v>
      </c>
      <c r="N1014">
        <v>81933562</v>
      </c>
      <c r="O1014">
        <v>5100578124</v>
      </c>
      <c r="P1014">
        <v>411</v>
      </c>
      <c r="Q1014" t="s">
        <v>2071</v>
      </c>
    </row>
    <row r="1015" spans="1:17" x14ac:dyDescent="0.3">
      <c r="A1015" t="s">
        <v>17</v>
      </c>
      <c r="B1015" t="str">
        <f>"601811"</f>
        <v>601811</v>
      </c>
      <c r="C1015" t="s">
        <v>2072</v>
      </c>
      <c r="D1015" t="s">
        <v>89</v>
      </c>
      <c r="F1015">
        <v>1777526827</v>
      </c>
      <c r="G1015">
        <v>1575302478</v>
      </c>
      <c r="H1015">
        <v>1218145921</v>
      </c>
      <c r="I1015">
        <v>837979185</v>
      </c>
      <c r="J1015">
        <v>100631954</v>
      </c>
      <c r="K1015">
        <v>343308169</v>
      </c>
      <c r="L1015">
        <v>947631962</v>
      </c>
      <c r="M1015">
        <v>683823730</v>
      </c>
      <c r="N1015">
        <v>-154781487</v>
      </c>
      <c r="P1015">
        <v>276</v>
      </c>
      <c r="Q1015" t="s">
        <v>2073</v>
      </c>
    </row>
    <row r="1016" spans="1:17" x14ac:dyDescent="0.3">
      <c r="A1016" t="s">
        <v>17</v>
      </c>
      <c r="B1016" t="str">
        <f>"601816"</f>
        <v>601816</v>
      </c>
      <c r="C1016" t="s">
        <v>2074</v>
      </c>
      <c r="D1016" t="s">
        <v>22</v>
      </c>
      <c r="F1016">
        <v>12089300290</v>
      </c>
      <c r="G1016">
        <v>7574916056</v>
      </c>
      <c r="H1016">
        <v>16572722531</v>
      </c>
      <c r="I1016">
        <v>13244533041</v>
      </c>
      <c r="J1016">
        <v>14268937161</v>
      </c>
      <c r="K1016">
        <v>14057437685</v>
      </c>
      <c r="P1016">
        <v>979</v>
      </c>
      <c r="Q1016" t="s">
        <v>2075</v>
      </c>
    </row>
    <row r="1017" spans="1:17" x14ac:dyDescent="0.3">
      <c r="A1017" t="s">
        <v>17</v>
      </c>
      <c r="B1017" t="str">
        <f>"601818"</f>
        <v>601818</v>
      </c>
      <c r="C1017" t="s">
        <v>2076</v>
      </c>
      <c r="D1017" t="s">
        <v>19</v>
      </c>
      <c r="F1017">
        <v>-117423000000</v>
      </c>
      <c r="G1017">
        <v>110310000000</v>
      </c>
      <c r="H1017">
        <v>60957000000</v>
      </c>
      <c r="I1017">
        <v>15826000000</v>
      </c>
      <c r="J1017">
        <v>-147210000000</v>
      </c>
      <c r="K1017">
        <v>346469000000</v>
      </c>
      <c r="L1017">
        <v>209618000000</v>
      </c>
      <c r="M1017">
        <v>31862000000</v>
      </c>
      <c r="N1017">
        <v>-3322000000</v>
      </c>
      <c r="O1017">
        <v>269257000000</v>
      </c>
      <c r="P1017">
        <v>15856</v>
      </c>
      <c r="Q1017" t="s">
        <v>2077</v>
      </c>
    </row>
    <row r="1018" spans="1:17" x14ac:dyDescent="0.3">
      <c r="A1018" t="s">
        <v>17</v>
      </c>
      <c r="B1018" t="str">
        <f>"601825"</f>
        <v>601825</v>
      </c>
      <c r="C1018" t="s">
        <v>2078</v>
      </c>
      <c r="D1018" t="s">
        <v>19</v>
      </c>
      <c r="F1018">
        <v>-1743619000</v>
      </c>
      <c r="G1018">
        <v>-14594847000</v>
      </c>
      <c r="H1018">
        <v>7091711000</v>
      </c>
      <c r="I1018">
        <v>-5977091000</v>
      </c>
      <c r="J1018">
        <v>-2423010000</v>
      </c>
      <c r="P1018">
        <v>57</v>
      </c>
      <c r="Q1018" t="s">
        <v>2079</v>
      </c>
    </row>
    <row r="1019" spans="1:17" x14ac:dyDescent="0.3">
      <c r="A1019" t="s">
        <v>17</v>
      </c>
      <c r="B1019" t="str">
        <f>"601827"</f>
        <v>601827</v>
      </c>
      <c r="C1019" t="s">
        <v>2080</v>
      </c>
      <c r="D1019" t="s">
        <v>33</v>
      </c>
      <c r="F1019">
        <v>-848112876</v>
      </c>
      <c r="G1019">
        <v>-1519704302</v>
      </c>
      <c r="H1019">
        <v>-1083861487</v>
      </c>
      <c r="I1019">
        <v>-1149277546</v>
      </c>
      <c r="J1019">
        <v>-685987057</v>
      </c>
      <c r="P1019">
        <v>143</v>
      </c>
      <c r="Q1019" t="s">
        <v>2081</v>
      </c>
    </row>
    <row r="1020" spans="1:17" x14ac:dyDescent="0.3">
      <c r="A1020" t="s">
        <v>17</v>
      </c>
      <c r="B1020" t="str">
        <f>"601828"</f>
        <v>601828</v>
      </c>
      <c r="C1020" t="s">
        <v>2082</v>
      </c>
      <c r="D1020" t="s">
        <v>120</v>
      </c>
      <c r="F1020">
        <v>3015059102</v>
      </c>
      <c r="G1020">
        <v>1274981129</v>
      </c>
      <c r="H1020">
        <v>-214963522</v>
      </c>
      <c r="I1020">
        <v>2115873108</v>
      </c>
      <c r="J1020">
        <v>715984286</v>
      </c>
      <c r="K1020">
        <v>718998326</v>
      </c>
      <c r="L1020">
        <v>265982724</v>
      </c>
      <c r="M1020">
        <v>635927617</v>
      </c>
      <c r="P1020">
        <v>351</v>
      </c>
      <c r="Q1020" t="s">
        <v>2083</v>
      </c>
    </row>
    <row r="1021" spans="1:17" x14ac:dyDescent="0.3">
      <c r="A1021" t="s">
        <v>17</v>
      </c>
      <c r="B1021" t="str">
        <f>"601838"</f>
        <v>601838</v>
      </c>
      <c r="C1021" t="s">
        <v>2084</v>
      </c>
      <c r="D1021" t="s">
        <v>19</v>
      </c>
      <c r="F1021">
        <v>-3694782000</v>
      </c>
      <c r="G1021">
        <v>-1017022000</v>
      </c>
      <c r="H1021">
        <v>23660367000</v>
      </c>
      <c r="I1021">
        <v>-12034548000</v>
      </c>
      <c r="J1021">
        <v>42520572000</v>
      </c>
      <c r="K1021">
        <v>13305497000</v>
      </c>
      <c r="L1021">
        <v>8220170000</v>
      </c>
      <c r="M1021">
        <v>24929924000</v>
      </c>
      <c r="N1021">
        <v>2110025000</v>
      </c>
      <c r="O1021">
        <v>25035489000</v>
      </c>
      <c r="P1021">
        <v>1328</v>
      </c>
      <c r="Q1021" t="s">
        <v>2085</v>
      </c>
    </row>
    <row r="1022" spans="1:17" x14ac:dyDescent="0.3">
      <c r="A1022" t="s">
        <v>17</v>
      </c>
      <c r="B1022" t="str">
        <f>"601857"</f>
        <v>601857</v>
      </c>
      <c r="C1022" t="s">
        <v>2086</v>
      </c>
      <c r="D1022" t="s">
        <v>70</v>
      </c>
      <c r="F1022">
        <v>79686000000</v>
      </c>
      <c r="G1022">
        <v>63117000000</v>
      </c>
      <c r="H1022">
        <v>34936000000</v>
      </c>
      <c r="I1022">
        <v>77522000000</v>
      </c>
      <c r="J1022">
        <v>130956000000</v>
      </c>
      <c r="K1022">
        <v>77955000000</v>
      </c>
      <c r="L1022">
        <v>39528000000</v>
      </c>
      <c r="M1022">
        <v>51471000000</v>
      </c>
      <c r="N1022">
        <v>17134000000</v>
      </c>
      <c r="O1022">
        <v>-90966000000</v>
      </c>
      <c r="P1022">
        <v>1280</v>
      </c>
      <c r="Q1022" t="s">
        <v>2087</v>
      </c>
    </row>
    <row r="1023" spans="1:17" x14ac:dyDescent="0.3">
      <c r="A1023" t="s">
        <v>17</v>
      </c>
      <c r="B1023" t="str">
        <f>"601858"</f>
        <v>601858</v>
      </c>
      <c r="C1023" t="s">
        <v>2088</v>
      </c>
      <c r="D1023" t="s">
        <v>89</v>
      </c>
      <c r="F1023">
        <v>438968133</v>
      </c>
      <c r="G1023">
        <v>436403553</v>
      </c>
      <c r="H1023">
        <v>638695263</v>
      </c>
      <c r="I1023">
        <v>475507363</v>
      </c>
      <c r="J1023">
        <v>257695726</v>
      </c>
      <c r="K1023">
        <v>299537797</v>
      </c>
      <c r="L1023">
        <v>274930073</v>
      </c>
      <c r="M1023">
        <v>225320357</v>
      </c>
      <c r="N1023">
        <v>257020958</v>
      </c>
      <c r="P1023">
        <v>178</v>
      </c>
      <c r="Q1023" t="s">
        <v>2089</v>
      </c>
    </row>
    <row r="1024" spans="1:17" x14ac:dyDescent="0.3">
      <c r="A1024" t="s">
        <v>17</v>
      </c>
      <c r="B1024" t="str">
        <f>"601860"</f>
        <v>601860</v>
      </c>
      <c r="C1024" t="s">
        <v>2090</v>
      </c>
      <c r="D1024" t="s">
        <v>19</v>
      </c>
      <c r="F1024">
        <v>-23195384000</v>
      </c>
      <c r="G1024">
        <v>13038302000</v>
      </c>
      <c r="H1024">
        <v>9999227000</v>
      </c>
      <c r="I1024">
        <v>2793092094</v>
      </c>
      <c r="J1024">
        <v>8484155044</v>
      </c>
      <c r="K1024">
        <v>-1048457985</v>
      </c>
      <c r="L1024">
        <v>19042503462</v>
      </c>
      <c r="M1024">
        <v>1404352000</v>
      </c>
      <c r="N1024">
        <v>2793772000</v>
      </c>
      <c r="O1024">
        <v>-9287900818</v>
      </c>
      <c r="P1024">
        <v>332</v>
      </c>
      <c r="Q1024" t="s">
        <v>2091</v>
      </c>
    </row>
    <row r="1025" spans="1:17" x14ac:dyDescent="0.3">
      <c r="A1025" t="s">
        <v>17</v>
      </c>
      <c r="B1025" t="str">
        <f>"601865"</f>
        <v>601865</v>
      </c>
      <c r="C1025" t="s">
        <v>2092</v>
      </c>
      <c r="D1025" t="s">
        <v>188</v>
      </c>
      <c r="F1025">
        <v>-3180044344</v>
      </c>
      <c r="G1025">
        <v>-237346317</v>
      </c>
      <c r="H1025">
        <v>-774957842</v>
      </c>
      <c r="I1025">
        <v>-819065378</v>
      </c>
      <c r="J1025">
        <v>-242419282</v>
      </c>
      <c r="K1025">
        <v>653262125</v>
      </c>
      <c r="L1025">
        <v>448170824</v>
      </c>
      <c r="P1025">
        <v>927</v>
      </c>
      <c r="Q1025" t="s">
        <v>2093</v>
      </c>
    </row>
    <row r="1026" spans="1:17" x14ac:dyDescent="0.3">
      <c r="A1026" t="s">
        <v>17</v>
      </c>
      <c r="B1026" t="str">
        <f>"601866"</f>
        <v>601866</v>
      </c>
      <c r="C1026" t="s">
        <v>2094</v>
      </c>
      <c r="D1026" t="s">
        <v>22</v>
      </c>
      <c r="F1026">
        <v>-19566562698</v>
      </c>
      <c r="G1026">
        <v>-22809616296</v>
      </c>
      <c r="H1026">
        <v>-17312776407</v>
      </c>
      <c r="I1026">
        <v>-13090752609</v>
      </c>
      <c r="J1026">
        <v>-2192509045</v>
      </c>
      <c r="K1026">
        <v>-6652049891</v>
      </c>
      <c r="L1026">
        <v>-2683238544</v>
      </c>
      <c r="M1026">
        <v>-2908418142</v>
      </c>
      <c r="N1026">
        <v>-3496702989</v>
      </c>
      <c r="O1026">
        <v>1497426817</v>
      </c>
      <c r="P1026">
        <v>336</v>
      </c>
      <c r="Q1026" t="s">
        <v>2095</v>
      </c>
    </row>
    <row r="1027" spans="1:17" x14ac:dyDescent="0.3">
      <c r="A1027" t="s">
        <v>17</v>
      </c>
      <c r="B1027" t="str">
        <f>"601868"</f>
        <v>601868</v>
      </c>
      <c r="C1027" t="s">
        <v>2096</v>
      </c>
      <c r="D1027" t="s">
        <v>95</v>
      </c>
      <c r="F1027">
        <v>-4247834000</v>
      </c>
      <c r="P1027">
        <v>152</v>
      </c>
      <c r="Q1027" t="s">
        <v>2097</v>
      </c>
    </row>
    <row r="1028" spans="1:17" x14ac:dyDescent="0.3">
      <c r="A1028" t="s">
        <v>17</v>
      </c>
      <c r="B1028" t="str">
        <f>"601869"</f>
        <v>601869</v>
      </c>
      <c r="C1028" t="s">
        <v>2098</v>
      </c>
      <c r="D1028" t="s">
        <v>100</v>
      </c>
      <c r="F1028">
        <v>-535155417</v>
      </c>
      <c r="G1028">
        <v>-455477448</v>
      </c>
      <c r="H1028">
        <v>108565612</v>
      </c>
      <c r="I1028">
        <v>-777455055</v>
      </c>
      <c r="J1028">
        <v>1120352209</v>
      </c>
      <c r="K1028">
        <v>461920529</v>
      </c>
      <c r="L1028">
        <v>210977726</v>
      </c>
      <c r="P1028">
        <v>404</v>
      </c>
      <c r="Q1028" t="s">
        <v>2099</v>
      </c>
    </row>
    <row r="1029" spans="1:17" x14ac:dyDescent="0.3">
      <c r="A1029" t="s">
        <v>17</v>
      </c>
      <c r="B1029" t="str">
        <f>"601872"</f>
        <v>601872</v>
      </c>
      <c r="C1029" t="s">
        <v>2100</v>
      </c>
      <c r="D1029" t="s">
        <v>22</v>
      </c>
      <c r="F1029">
        <v>6083064345</v>
      </c>
      <c r="G1029">
        <v>6375413890</v>
      </c>
      <c r="H1029">
        <v>1244514597</v>
      </c>
      <c r="I1029">
        <v>-2190249958</v>
      </c>
      <c r="J1029">
        <v>-412821890</v>
      </c>
      <c r="K1029">
        <v>-648952335</v>
      </c>
      <c r="L1029">
        <v>-3502105060</v>
      </c>
      <c r="M1029">
        <v>-9360995555</v>
      </c>
      <c r="N1029">
        <v>-162763583</v>
      </c>
      <c r="O1029">
        <v>256666036</v>
      </c>
      <c r="P1029">
        <v>574</v>
      </c>
      <c r="Q1029" t="s">
        <v>2101</v>
      </c>
    </row>
    <row r="1030" spans="1:17" x14ac:dyDescent="0.3">
      <c r="A1030" t="s">
        <v>17</v>
      </c>
      <c r="B1030" t="str">
        <f>"601877"</f>
        <v>601877</v>
      </c>
      <c r="C1030" t="s">
        <v>2102</v>
      </c>
      <c r="D1030" t="s">
        <v>188</v>
      </c>
      <c r="F1030">
        <v>-4874530179</v>
      </c>
      <c r="G1030">
        <v>-2109605984</v>
      </c>
      <c r="H1030">
        <v>115307285</v>
      </c>
      <c r="I1030">
        <v>-670097189</v>
      </c>
      <c r="J1030">
        <v>-509140752</v>
      </c>
      <c r="K1030">
        <v>1508730617</v>
      </c>
      <c r="L1030">
        <v>1513418260</v>
      </c>
      <c r="M1030">
        <v>1978258658</v>
      </c>
      <c r="N1030">
        <v>127081339</v>
      </c>
      <c r="O1030">
        <v>1645718875</v>
      </c>
      <c r="P1030">
        <v>34818</v>
      </c>
      <c r="Q1030" t="s">
        <v>2103</v>
      </c>
    </row>
    <row r="1031" spans="1:17" x14ac:dyDescent="0.3">
      <c r="A1031" t="s">
        <v>17</v>
      </c>
      <c r="B1031" t="str">
        <f>"601878"</f>
        <v>601878</v>
      </c>
      <c r="C1031" t="s">
        <v>2104</v>
      </c>
      <c r="D1031" t="s">
        <v>75</v>
      </c>
      <c r="F1031">
        <v>1479384943</v>
      </c>
      <c r="G1031">
        <v>-1096909019</v>
      </c>
      <c r="H1031">
        <v>300050493</v>
      </c>
      <c r="I1031">
        <v>-1941236743</v>
      </c>
      <c r="J1031">
        <v>-11115188598</v>
      </c>
      <c r="K1031">
        <v>-5993950114</v>
      </c>
      <c r="L1031">
        <v>3528195351</v>
      </c>
      <c r="M1031">
        <v>7495127491</v>
      </c>
      <c r="N1031">
        <v>-1386608094.6600001</v>
      </c>
      <c r="O1031">
        <v>-1246492566.3199999</v>
      </c>
      <c r="P1031">
        <v>842</v>
      </c>
      <c r="Q1031" t="s">
        <v>2105</v>
      </c>
    </row>
    <row r="1032" spans="1:17" x14ac:dyDescent="0.3">
      <c r="A1032" t="s">
        <v>17</v>
      </c>
      <c r="B1032" t="str">
        <f>"601880"</f>
        <v>601880</v>
      </c>
      <c r="C1032" t="s">
        <v>2106</v>
      </c>
      <c r="D1032" t="s">
        <v>22</v>
      </c>
      <c r="F1032">
        <v>8438998</v>
      </c>
      <c r="G1032">
        <v>1833465780</v>
      </c>
      <c r="H1032">
        <v>1363996713</v>
      </c>
      <c r="I1032">
        <v>1396431445</v>
      </c>
      <c r="J1032">
        <v>846736153</v>
      </c>
      <c r="K1032">
        <v>1533261698</v>
      </c>
      <c r="L1032">
        <v>920427585</v>
      </c>
      <c r="M1032">
        <v>293597934</v>
      </c>
      <c r="N1032">
        <v>831642858</v>
      </c>
      <c r="O1032">
        <v>466660271</v>
      </c>
      <c r="P1032">
        <v>189</v>
      </c>
      <c r="Q1032" t="s">
        <v>2107</v>
      </c>
    </row>
    <row r="1033" spans="1:17" x14ac:dyDescent="0.3">
      <c r="A1033" t="s">
        <v>17</v>
      </c>
      <c r="B1033" t="str">
        <f>"601881"</f>
        <v>601881</v>
      </c>
      <c r="C1033" t="s">
        <v>2108</v>
      </c>
      <c r="D1033" t="s">
        <v>75</v>
      </c>
      <c r="F1033">
        <v>56487086451</v>
      </c>
      <c r="G1033">
        <v>37303484842</v>
      </c>
      <c r="H1033">
        <v>40828776709</v>
      </c>
      <c r="I1033">
        <v>1129247586</v>
      </c>
      <c r="J1033">
        <v>-53117132303</v>
      </c>
      <c r="K1033">
        <v>-14968500315</v>
      </c>
      <c r="L1033">
        <v>10530963350</v>
      </c>
      <c r="M1033">
        <v>18442118504</v>
      </c>
      <c r="N1033">
        <v>-11111129993</v>
      </c>
      <c r="O1033">
        <v>804587104.29999995</v>
      </c>
      <c r="P1033">
        <v>1598</v>
      </c>
      <c r="Q1033" t="s">
        <v>2109</v>
      </c>
    </row>
    <row r="1034" spans="1:17" x14ac:dyDescent="0.3">
      <c r="A1034" t="s">
        <v>17</v>
      </c>
      <c r="B1034" t="str">
        <f>"601882"</f>
        <v>601882</v>
      </c>
      <c r="C1034" t="s">
        <v>2110</v>
      </c>
      <c r="D1034" t="s">
        <v>78</v>
      </c>
      <c r="F1034">
        <v>401834982</v>
      </c>
      <c r="G1034">
        <v>533911369</v>
      </c>
      <c r="H1034">
        <v>208910166</v>
      </c>
      <c r="I1034">
        <v>343828528</v>
      </c>
      <c r="J1034">
        <v>123748542</v>
      </c>
      <c r="K1034">
        <v>97472048</v>
      </c>
      <c r="L1034">
        <v>76236622</v>
      </c>
      <c r="M1034">
        <v>122228999</v>
      </c>
      <c r="N1034">
        <v>14509207</v>
      </c>
      <c r="P1034">
        <v>190</v>
      </c>
      <c r="Q1034" t="s">
        <v>2111</v>
      </c>
    </row>
    <row r="1035" spans="1:17" x14ac:dyDescent="0.3">
      <c r="A1035" t="s">
        <v>17</v>
      </c>
      <c r="B1035" t="str">
        <f>"601886"</f>
        <v>601886</v>
      </c>
      <c r="C1035" t="s">
        <v>2112</v>
      </c>
      <c r="D1035" t="s">
        <v>95</v>
      </c>
      <c r="F1035">
        <v>762636382</v>
      </c>
      <c r="G1035">
        <v>1819603601</v>
      </c>
      <c r="H1035">
        <v>828303421</v>
      </c>
      <c r="I1035">
        <v>1162406859</v>
      </c>
      <c r="J1035">
        <v>1227702126</v>
      </c>
      <c r="K1035">
        <v>1252983839</v>
      </c>
      <c r="L1035">
        <v>934494806</v>
      </c>
      <c r="M1035">
        <v>-2392887</v>
      </c>
      <c r="N1035">
        <v>-465838826</v>
      </c>
      <c r="O1035">
        <v>-381964482</v>
      </c>
      <c r="P1035">
        <v>177</v>
      </c>
      <c r="Q1035" t="s">
        <v>2113</v>
      </c>
    </row>
    <row r="1036" spans="1:17" x14ac:dyDescent="0.3">
      <c r="A1036" t="s">
        <v>17</v>
      </c>
      <c r="B1036" t="str">
        <f>"601888"</f>
        <v>601888</v>
      </c>
      <c r="C1036" t="s">
        <v>2114</v>
      </c>
      <c r="D1036" t="s">
        <v>120</v>
      </c>
      <c r="F1036">
        <v>6175629612</v>
      </c>
      <c r="G1036">
        <v>6968879018</v>
      </c>
      <c r="H1036">
        <v>1428491202</v>
      </c>
      <c r="I1036">
        <v>1143264461</v>
      </c>
      <c r="J1036">
        <v>2724410802</v>
      </c>
      <c r="K1036">
        <v>1770392214</v>
      </c>
      <c r="L1036">
        <v>897912957</v>
      </c>
      <c r="M1036">
        <v>854750567</v>
      </c>
      <c r="N1036">
        <v>895505728</v>
      </c>
      <c r="O1036">
        <v>965352576</v>
      </c>
      <c r="P1036">
        <v>6133</v>
      </c>
      <c r="Q1036" t="s">
        <v>2115</v>
      </c>
    </row>
    <row r="1037" spans="1:17" x14ac:dyDescent="0.3">
      <c r="A1037" t="s">
        <v>17</v>
      </c>
      <c r="B1037" t="str">
        <f>"601890"</f>
        <v>601890</v>
      </c>
      <c r="C1037" t="s">
        <v>2116</v>
      </c>
      <c r="D1037" t="s">
        <v>92</v>
      </c>
      <c r="F1037">
        <v>39449264</v>
      </c>
      <c r="G1037">
        <v>128620246</v>
      </c>
      <c r="H1037">
        <v>-16242646</v>
      </c>
      <c r="I1037">
        <v>-24105545</v>
      </c>
      <c r="J1037">
        <v>-42288647</v>
      </c>
      <c r="K1037">
        <v>230313524</v>
      </c>
      <c r="L1037">
        <v>76888332</v>
      </c>
      <c r="M1037">
        <v>-45120523</v>
      </c>
      <c r="N1037">
        <v>-148611915</v>
      </c>
      <c r="O1037">
        <v>93895802</v>
      </c>
      <c r="P1037">
        <v>144</v>
      </c>
      <c r="Q1037" t="s">
        <v>2117</v>
      </c>
    </row>
    <row r="1038" spans="1:17" x14ac:dyDescent="0.3">
      <c r="A1038" t="s">
        <v>17</v>
      </c>
      <c r="B1038" t="str">
        <f>"601898"</f>
        <v>601898</v>
      </c>
      <c r="C1038" t="s">
        <v>2118</v>
      </c>
      <c r="D1038" t="s">
        <v>257</v>
      </c>
      <c r="F1038">
        <v>37794000000</v>
      </c>
      <c r="G1038">
        <v>12435780000</v>
      </c>
      <c r="H1038">
        <v>11112221000</v>
      </c>
      <c r="I1038">
        <v>11075273000</v>
      </c>
      <c r="J1038">
        <v>10083870000</v>
      </c>
      <c r="K1038">
        <v>4527315000</v>
      </c>
      <c r="L1038">
        <v>-4087080000</v>
      </c>
      <c r="M1038">
        <v>-14439327000</v>
      </c>
      <c r="N1038">
        <v>-15744343000</v>
      </c>
      <c r="O1038">
        <v>-14705768000</v>
      </c>
      <c r="P1038">
        <v>446</v>
      </c>
      <c r="Q1038" t="s">
        <v>2119</v>
      </c>
    </row>
    <row r="1039" spans="1:17" x14ac:dyDescent="0.3">
      <c r="A1039" t="s">
        <v>17</v>
      </c>
      <c r="B1039" t="str">
        <f>"601899"</f>
        <v>601899</v>
      </c>
      <c r="C1039" t="s">
        <v>2120</v>
      </c>
      <c r="D1039" t="s">
        <v>234</v>
      </c>
      <c r="F1039">
        <v>5941022160</v>
      </c>
      <c r="G1039">
        <v>482464927</v>
      </c>
      <c r="H1039">
        <v>-1021340377</v>
      </c>
      <c r="I1039">
        <v>2787546490</v>
      </c>
      <c r="J1039">
        <v>4822736226</v>
      </c>
      <c r="K1039">
        <v>3363349018</v>
      </c>
      <c r="L1039">
        <v>5475807581</v>
      </c>
      <c r="M1039">
        <v>177265757</v>
      </c>
      <c r="N1039">
        <v>323590576</v>
      </c>
      <c r="O1039">
        <v>-2163089632</v>
      </c>
      <c r="P1039">
        <v>2406</v>
      </c>
      <c r="Q1039" t="s">
        <v>2121</v>
      </c>
    </row>
    <row r="1040" spans="1:17" x14ac:dyDescent="0.3">
      <c r="A1040" t="s">
        <v>17</v>
      </c>
      <c r="B1040" t="str">
        <f>"601900"</f>
        <v>601900</v>
      </c>
      <c r="C1040" t="s">
        <v>2122</v>
      </c>
      <c r="D1040" t="s">
        <v>89</v>
      </c>
      <c r="F1040">
        <v>801352766</v>
      </c>
      <c r="G1040">
        <v>447312413</v>
      </c>
      <c r="H1040">
        <v>499612762</v>
      </c>
      <c r="I1040">
        <v>259101551</v>
      </c>
      <c r="J1040">
        <v>-416002854</v>
      </c>
      <c r="K1040">
        <v>-1157363140</v>
      </c>
      <c r="L1040">
        <v>405534780</v>
      </c>
      <c r="M1040">
        <v>430439238</v>
      </c>
      <c r="N1040">
        <v>325175714</v>
      </c>
      <c r="O1040">
        <v>-209118581</v>
      </c>
      <c r="P1040">
        <v>244</v>
      </c>
      <c r="Q1040" t="s">
        <v>2123</v>
      </c>
    </row>
    <row r="1041" spans="1:17" x14ac:dyDescent="0.3">
      <c r="A1041" t="s">
        <v>17</v>
      </c>
      <c r="B1041" t="str">
        <f>"601901"</f>
        <v>601901</v>
      </c>
      <c r="C1041" t="s">
        <v>2124</v>
      </c>
      <c r="D1041" t="s">
        <v>75</v>
      </c>
      <c r="F1041">
        <v>16164748324</v>
      </c>
      <c r="G1041">
        <v>7311637099</v>
      </c>
      <c r="H1041">
        <v>25068793429</v>
      </c>
      <c r="I1041">
        <v>-6597758936</v>
      </c>
      <c r="J1041">
        <v>8435653847</v>
      </c>
      <c r="K1041">
        <v>-25025650532</v>
      </c>
      <c r="L1041">
        <v>-14687330674</v>
      </c>
      <c r="M1041">
        <v>13285975721</v>
      </c>
      <c r="N1041">
        <v>-4189488042</v>
      </c>
      <c r="O1041">
        <v>-4834255428</v>
      </c>
      <c r="P1041">
        <v>931</v>
      </c>
      <c r="Q1041" t="s">
        <v>2125</v>
      </c>
    </row>
    <row r="1042" spans="1:17" x14ac:dyDescent="0.3">
      <c r="A1042" t="s">
        <v>17</v>
      </c>
      <c r="B1042" t="str">
        <f>"601908"</f>
        <v>601908</v>
      </c>
      <c r="C1042" t="s">
        <v>2126</v>
      </c>
      <c r="D1042" t="s">
        <v>41</v>
      </c>
      <c r="F1042">
        <v>-158016909</v>
      </c>
      <c r="G1042">
        <v>-66947618</v>
      </c>
      <c r="H1042">
        <v>-233300598</v>
      </c>
      <c r="I1042">
        <v>-1460174977</v>
      </c>
      <c r="J1042">
        <v>-964871430</v>
      </c>
      <c r="K1042">
        <v>-1085994257</v>
      </c>
      <c r="L1042">
        <v>-1144347489</v>
      </c>
      <c r="M1042">
        <v>-1184307056</v>
      </c>
      <c r="N1042">
        <v>-865259034</v>
      </c>
      <c r="O1042">
        <v>-27842184</v>
      </c>
      <c r="P1042">
        <v>318</v>
      </c>
      <c r="Q1042" t="s">
        <v>2127</v>
      </c>
    </row>
    <row r="1043" spans="1:17" x14ac:dyDescent="0.3">
      <c r="A1043" t="s">
        <v>17</v>
      </c>
      <c r="B1043" t="str">
        <f>"601916"</f>
        <v>601916</v>
      </c>
      <c r="C1043" t="s">
        <v>2128</v>
      </c>
      <c r="D1043" t="s">
        <v>19</v>
      </c>
      <c r="F1043">
        <v>-39626000000</v>
      </c>
      <c r="G1043">
        <v>47877000000</v>
      </c>
      <c r="H1043">
        <v>-16213440000</v>
      </c>
      <c r="I1043">
        <v>-145284569000</v>
      </c>
      <c r="J1043">
        <v>-96546243000</v>
      </c>
      <c r="K1043">
        <v>104893695000</v>
      </c>
      <c r="L1043">
        <v>206474081000</v>
      </c>
      <c r="M1043">
        <v>142674460000</v>
      </c>
      <c r="N1043">
        <v>193368000</v>
      </c>
      <c r="O1043">
        <v>24533302000</v>
      </c>
      <c r="P1043">
        <v>537</v>
      </c>
      <c r="Q1043" t="s">
        <v>2129</v>
      </c>
    </row>
    <row r="1044" spans="1:17" x14ac:dyDescent="0.3">
      <c r="A1044" t="s">
        <v>17</v>
      </c>
      <c r="B1044" t="str">
        <f>"601918"</f>
        <v>601918</v>
      </c>
      <c r="C1044" t="s">
        <v>2130</v>
      </c>
      <c r="D1044" t="s">
        <v>257</v>
      </c>
      <c r="F1044">
        <v>4129823610</v>
      </c>
      <c r="G1044">
        <v>1228993991</v>
      </c>
      <c r="H1044">
        <v>3190297744</v>
      </c>
      <c r="I1044">
        <v>2891183196</v>
      </c>
      <c r="J1044">
        <v>1596563324</v>
      </c>
      <c r="K1044">
        <v>-152938079</v>
      </c>
      <c r="L1044">
        <v>-3618949280</v>
      </c>
      <c r="M1044">
        <v>-2912704982</v>
      </c>
      <c r="N1044">
        <v>-1061399673</v>
      </c>
      <c r="O1044">
        <v>-572876897</v>
      </c>
      <c r="P1044">
        <v>237</v>
      </c>
      <c r="Q1044" t="s">
        <v>2131</v>
      </c>
    </row>
    <row r="1045" spans="1:17" x14ac:dyDescent="0.3">
      <c r="A1045" t="s">
        <v>17</v>
      </c>
      <c r="B1045" t="str">
        <f>"601919"</f>
        <v>601919</v>
      </c>
      <c r="C1045" t="s">
        <v>2132</v>
      </c>
      <c r="D1045" t="s">
        <v>22</v>
      </c>
      <c r="F1045">
        <v>161807490905</v>
      </c>
      <c r="G1045">
        <v>38564415313</v>
      </c>
      <c r="H1045">
        <v>10325611976</v>
      </c>
      <c r="I1045">
        <v>-11530052766</v>
      </c>
      <c r="J1045">
        <v>-3981583384</v>
      </c>
      <c r="K1045">
        <v>-3518348337</v>
      </c>
      <c r="L1045">
        <v>-110759183</v>
      </c>
      <c r="M1045">
        <v>1301554498</v>
      </c>
      <c r="N1045">
        <v>-11440709625</v>
      </c>
      <c r="O1045">
        <v>-16219379251</v>
      </c>
      <c r="P1045">
        <v>1362</v>
      </c>
      <c r="Q1045" t="s">
        <v>2133</v>
      </c>
    </row>
    <row r="1046" spans="1:17" x14ac:dyDescent="0.3">
      <c r="A1046" t="s">
        <v>17</v>
      </c>
      <c r="B1046" t="str">
        <f>"601921"</f>
        <v>601921</v>
      </c>
      <c r="C1046" t="s">
        <v>2134</v>
      </c>
      <c r="D1046" t="s">
        <v>89</v>
      </c>
      <c r="F1046">
        <v>1726920025</v>
      </c>
      <c r="G1046">
        <v>2132491406</v>
      </c>
      <c r="H1046">
        <v>992172207</v>
      </c>
      <c r="I1046">
        <v>258228119</v>
      </c>
      <c r="J1046">
        <v>19348100</v>
      </c>
      <c r="P1046">
        <v>28</v>
      </c>
      <c r="Q1046" t="s">
        <v>2135</v>
      </c>
    </row>
    <row r="1047" spans="1:17" x14ac:dyDescent="0.3">
      <c r="A1047" t="s">
        <v>17</v>
      </c>
      <c r="B1047" t="str">
        <f>"601928"</f>
        <v>601928</v>
      </c>
      <c r="C1047" t="s">
        <v>2136</v>
      </c>
      <c r="D1047" t="s">
        <v>89</v>
      </c>
      <c r="F1047">
        <v>2511131589</v>
      </c>
      <c r="G1047">
        <v>3081714075</v>
      </c>
      <c r="H1047">
        <v>1679939630</v>
      </c>
      <c r="I1047">
        <v>1786275370</v>
      </c>
      <c r="J1047">
        <v>1239377148</v>
      </c>
      <c r="K1047">
        <v>1250428580</v>
      </c>
      <c r="L1047">
        <v>1068028632</v>
      </c>
      <c r="M1047">
        <v>687191918</v>
      </c>
      <c r="N1047">
        <v>-390974850</v>
      </c>
      <c r="O1047">
        <v>779630642</v>
      </c>
      <c r="P1047">
        <v>551</v>
      </c>
      <c r="Q1047" t="s">
        <v>2137</v>
      </c>
    </row>
    <row r="1048" spans="1:17" x14ac:dyDescent="0.3">
      <c r="A1048" t="s">
        <v>17</v>
      </c>
      <c r="B1048" t="str">
        <f>"601929"</f>
        <v>601929</v>
      </c>
      <c r="C1048" t="s">
        <v>2138</v>
      </c>
      <c r="D1048" t="s">
        <v>89</v>
      </c>
      <c r="F1048">
        <v>10261888</v>
      </c>
      <c r="G1048">
        <v>-675866063</v>
      </c>
      <c r="H1048">
        <v>-936776022</v>
      </c>
      <c r="I1048">
        <v>-768656865</v>
      </c>
      <c r="J1048">
        <v>-582318637</v>
      </c>
      <c r="K1048">
        <v>112142048</v>
      </c>
      <c r="L1048">
        <v>188484283</v>
      </c>
      <c r="M1048">
        <v>-29845910</v>
      </c>
      <c r="N1048">
        <v>133522531</v>
      </c>
      <c r="O1048">
        <v>-469715411</v>
      </c>
      <c r="P1048">
        <v>159</v>
      </c>
      <c r="Q1048" t="s">
        <v>2139</v>
      </c>
    </row>
    <row r="1049" spans="1:17" x14ac:dyDescent="0.3">
      <c r="A1049" t="s">
        <v>17</v>
      </c>
      <c r="B1049" t="str">
        <f>"601933"</f>
        <v>601933</v>
      </c>
      <c r="C1049" t="s">
        <v>2140</v>
      </c>
      <c r="D1049" t="s">
        <v>120</v>
      </c>
      <c r="F1049">
        <v>3823352116</v>
      </c>
      <c r="G1049">
        <v>4059222708</v>
      </c>
      <c r="H1049">
        <v>-2682897225</v>
      </c>
      <c r="I1049">
        <v>-1263326076</v>
      </c>
      <c r="J1049">
        <v>389477113</v>
      </c>
      <c r="K1049">
        <v>492371941</v>
      </c>
      <c r="L1049">
        <v>228186629</v>
      </c>
      <c r="M1049">
        <v>819531024</v>
      </c>
      <c r="N1049">
        <v>450747034</v>
      </c>
      <c r="O1049">
        <v>51332526</v>
      </c>
      <c r="P1049">
        <v>2444</v>
      </c>
      <c r="Q1049" t="s">
        <v>2141</v>
      </c>
    </row>
    <row r="1050" spans="1:17" x14ac:dyDescent="0.3">
      <c r="A1050" t="s">
        <v>17</v>
      </c>
      <c r="B1050" t="str">
        <f>"601939"</f>
        <v>601939</v>
      </c>
      <c r="C1050" t="s">
        <v>2142</v>
      </c>
      <c r="D1050" t="s">
        <v>19</v>
      </c>
      <c r="F1050">
        <v>418436000000</v>
      </c>
      <c r="G1050">
        <v>556572000000</v>
      </c>
      <c r="H1050">
        <v>606887000000</v>
      </c>
      <c r="I1050">
        <v>597660000000</v>
      </c>
      <c r="J1050">
        <v>56827000000</v>
      </c>
      <c r="K1050">
        <v>854790000000</v>
      </c>
      <c r="L1050">
        <v>604905000000</v>
      </c>
      <c r="M1050">
        <v>281461000000</v>
      </c>
      <c r="N1050">
        <v>7523000000</v>
      </c>
      <c r="O1050">
        <v>333874000000</v>
      </c>
      <c r="P1050">
        <v>19332</v>
      </c>
      <c r="Q1050" t="s">
        <v>2143</v>
      </c>
    </row>
    <row r="1051" spans="1:17" x14ac:dyDescent="0.3">
      <c r="A1051" t="s">
        <v>17</v>
      </c>
      <c r="B1051" t="str">
        <f>"601949"</f>
        <v>601949</v>
      </c>
      <c r="C1051" t="s">
        <v>2144</v>
      </c>
      <c r="D1051" t="s">
        <v>89</v>
      </c>
      <c r="F1051">
        <v>926108043</v>
      </c>
      <c r="G1051">
        <v>830074054</v>
      </c>
      <c r="H1051">
        <v>511255193</v>
      </c>
      <c r="I1051">
        <v>369466950</v>
      </c>
      <c r="J1051">
        <v>89164934</v>
      </c>
      <c r="K1051">
        <v>43349249</v>
      </c>
      <c r="L1051">
        <v>-177480630</v>
      </c>
      <c r="M1051">
        <v>506445811</v>
      </c>
      <c r="P1051">
        <v>160</v>
      </c>
      <c r="Q1051" t="s">
        <v>2145</v>
      </c>
    </row>
    <row r="1052" spans="1:17" x14ac:dyDescent="0.3">
      <c r="A1052" t="s">
        <v>17</v>
      </c>
      <c r="B1052" t="str">
        <f>"601952"</f>
        <v>601952</v>
      </c>
      <c r="C1052" t="s">
        <v>2146</v>
      </c>
      <c r="D1052" t="s">
        <v>205</v>
      </c>
      <c r="F1052">
        <v>829127942</v>
      </c>
      <c r="G1052">
        <v>509037113</v>
      </c>
      <c r="H1052">
        <v>410282218</v>
      </c>
      <c r="I1052">
        <v>148544066</v>
      </c>
      <c r="J1052">
        <v>347814784</v>
      </c>
      <c r="K1052">
        <v>582410073</v>
      </c>
      <c r="L1052">
        <v>288807873</v>
      </c>
      <c r="M1052">
        <v>61457497</v>
      </c>
      <c r="P1052">
        <v>313</v>
      </c>
      <c r="Q1052" t="s">
        <v>2147</v>
      </c>
    </row>
    <row r="1053" spans="1:17" x14ac:dyDescent="0.3">
      <c r="A1053" t="s">
        <v>17</v>
      </c>
      <c r="B1053" t="str">
        <f>"601956"</f>
        <v>601956</v>
      </c>
      <c r="C1053" t="s">
        <v>2148</v>
      </c>
      <c r="D1053" t="s">
        <v>126</v>
      </c>
      <c r="F1053">
        <v>337755834</v>
      </c>
      <c r="G1053">
        <v>-47536813</v>
      </c>
      <c r="H1053">
        <v>336361455</v>
      </c>
      <c r="P1053">
        <v>23</v>
      </c>
      <c r="Q1053" t="s">
        <v>2149</v>
      </c>
    </row>
    <row r="1054" spans="1:17" x14ac:dyDescent="0.3">
      <c r="A1054" t="s">
        <v>17</v>
      </c>
      <c r="B1054" t="str">
        <f>"601958"</f>
        <v>601958</v>
      </c>
      <c r="C1054" t="s">
        <v>2150</v>
      </c>
      <c r="D1054" t="s">
        <v>234</v>
      </c>
      <c r="F1054">
        <v>760073146</v>
      </c>
      <c r="G1054">
        <v>322339128</v>
      </c>
      <c r="H1054">
        <v>1228458163</v>
      </c>
      <c r="I1054">
        <v>171332125</v>
      </c>
      <c r="J1054">
        <v>103229502</v>
      </c>
      <c r="K1054">
        <v>-302579604</v>
      </c>
      <c r="L1054">
        <v>-379298030</v>
      </c>
      <c r="M1054">
        <v>-499443808</v>
      </c>
      <c r="N1054">
        <v>-458529760</v>
      </c>
      <c r="O1054">
        <v>520398655</v>
      </c>
      <c r="P1054">
        <v>244</v>
      </c>
      <c r="Q1054" t="s">
        <v>2151</v>
      </c>
    </row>
    <row r="1055" spans="1:17" x14ac:dyDescent="0.3">
      <c r="A1055" t="s">
        <v>17</v>
      </c>
      <c r="B1055" t="str">
        <f>"601963"</f>
        <v>601963</v>
      </c>
      <c r="C1055" t="s">
        <v>2152</v>
      </c>
      <c r="D1055" t="s">
        <v>19</v>
      </c>
      <c r="F1055">
        <v>4805468000</v>
      </c>
      <c r="G1055">
        <v>31819313000</v>
      </c>
      <c r="H1055">
        <v>-3036414000</v>
      </c>
      <c r="I1055">
        <v>-34502561000</v>
      </c>
      <c r="J1055">
        <v>-7259693000</v>
      </c>
      <c r="K1055">
        <v>-20414968000</v>
      </c>
      <c r="L1055">
        <v>16344550000</v>
      </c>
      <c r="M1055">
        <v>25137277000</v>
      </c>
      <c r="N1055">
        <v>17209156000</v>
      </c>
      <c r="O1055">
        <v>13626196000</v>
      </c>
      <c r="P1055">
        <v>150</v>
      </c>
      <c r="Q1055" t="s">
        <v>2153</v>
      </c>
    </row>
    <row r="1056" spans="1:17" x14ac:dyDescent="0.3">
      <c r="A1056" t="s">
        <v>17</v>
      </c>
      <c r="B1056" t="str">
        <f>"601965"</f>
        <v>601965</v>
      </c>
      <c r="C1056" t="s">
        <v>2154</v>
      </c>
      <c r="D1056" t="s">
        <v>27</v>
      </c>
      <c r="F1056">
        <v>557066947</v>
      </c>
      <c r="G1056">
        <v>371165351</v>
      </c>
      <c r="H1056">
        <v>217597685</v>
      </c>
      <c r="I1056">
        <v>-50398051</v>
      </c>
      <c r="J1056">
        <v>153762723</v>
      </c>
      <c r="K1056">
        <v>223826207</v>
      </c>
      <c r="L1056">
        <v>176256606</v>
      </c>
      <c r="M1056">
        <v>-4477409</v>
      </c>
      <c r="N1056">
        <v>111816251</v>
      </c>
      <c r="O1056">
        <v>-205390339</v>
      </c>
      <c r="P1056">
        <v>307</v>
      </c>
      <c r="Q1056" t="s">
        <v>2155</v>
      </c>
    </row>
    <row r="1057" spans="1:17" x14ac:dyDescent="0.3">
      <c r="A1057" t="s">
        <v>17</v>
      </c>
      <c r="B1057" t="str">
        <f>"601966"</f>
        <v>601966</v>
      </c>
      <c r="C1057" t="s">
        <v>2156</v>
      </c>
      <c r="D1057" t="s">
        <v>27</v>
      </c>
      <c r="F1057">
        <v>-4293668393</v>
      </c>
      <c r="G1057">
        <v>1865477739</v>
      </c>
      <c r="H1057">
        <v>204795320</v>
      </c>
      <c r="I1057">
        <v>-627620403</v>
      </c>
      <c r="J1057">
        <v>-259128171</v>
      </c>
      <c r="K1057">
        <v>1384759501</v>
      </c>
      <c r="L1057">
        <v>-85747028</v>
      </c>
      <c r="M1057">
        <v>-1288556455</v>
      </c>
      <c r="N1057">
        <v>-671488267</v>
      </c>
      <c r="P1057">
        <v>927</v>
      </c>
      <c r="Q1057" t="s">
        <v>2157</v>
      </c>
    </row>
    <row r="1058" spans="1:17" x14ac:dyDescent="0.3">
      <c r="A1058" t="s">
        <v>17</v>
      </c>
      <c r="B1058" t="str">
        <f>"601968"</f>
        <v>601968</v>
      </c>
      <c r="C1058" t="s">
        <v>2158</v>
      </c>
      <c r="D1058" t="s">
        <v>161</v>
      </c>
      <c r="F1058">
        <v>45782483</v>
      </c>
      <c r="G1058">
        <v>181434399</v>
      </c>
      <c r="H1058">
        <v>425421925</v>
      </c>
      <c r="I1058">
        <v>440467423</v>
      </c>
      <c r="J1058">
        <v>160111478</v>
      </c>
      <c r="K1058">
        <v>-213017321</v>
      </c>
      <c r="L1058">
        <v>-54879394</v>
      </c>
      <c r="M1058">
        <v>-223302686</v>
      </c>
      <c r="N1058">
        <v>223427101</v>
      </c>
      <c r="O1058">
        <v>-675752141</v>
      </c>
      <c r="P1058">
        <v>108</v>
      </c>
      <c r="Q1058" t="s">
        <v>2159</v>
      </c>
    </row>
    <row r="1059" spans="1:17" x14ac:dyDescent="0.3">
      <c r="A1059" t="s">
        <v>17</v>
      </c>
      <c r="B1059" t="str">
        <f>"601969"</f>
        <v>601969</v>
      </c>
      <c r="C1059" t="s">
        <v>2160</v>
      </c>
      <c r="D1059" t="s">
        <v>38</v>
      </c>
      <c r="F1059">
        <v>445425890</v>
      </c>
      <c r="G1059">
        <v>-148837470</v>
      </c>
      <c r="H1059">
        <v>95801020</v>
      </c>
      <c r="I1059">
        <v>-54916563</v>
      </c>
      <c r="J1059">
        <v>-1127104</v>
      </c>
      <c r="K1059">
        <v>47486007</v>
      </c>
      <c r="L1059">
        <v>-462822388</v>
      </c>
      <c r="M1059">
        <v>98094097</v>
      </c>
      <c r="N1059">
        <v>498239526</v>
      </c>
      <c r="O1059">
        <v>692537303</v>
      </c>
      <c r="P1059">
        <v>154</v>
      </c>
      <c r="Q1059" t="s">
        <v>2161</v>
      </c>
    </row>
    <row r="1060" spans="1:17" x14ac:dyDescent="0.3">
      <c r="A1060" t="s">
        <v>17</v>
      </c>
      <c r="B1060" t="str">
        <f>"601975"</f>
        <v>601975</v>
      </c>
      <c r="C1060" t="s">
        <v>2162</v>
      </c>
      <c r="D1060" t="s">
        <v>22</v>
      </c>
      <c r="F1060">
        <v>555833841</v>
      </c>
      <c r="G1060">
        <v>1498347592</v>
      </c>
      <c r="H1060">
        <v>1169015215</v>
      </c>
      <c r="I1060">
        <v>930212931</v>
      </c>
      <c r="J1060">
        <v>856323600</v>
      </c>
      <c r="K1060">
        <v>1392972700</v>
      </c>
      <c r="L1060">
        <v>1120506300</v>
      </c>
      <c r="N1060">
        <v>760157746</v>
      </c>
      <c r="O1060">
        <v>-561295413</v>
      </c>
      <c r="P1060">
        <v>270</v>
      </c>
      <c r="Q1060" t="s">
        <v>2163</v>
      </c>
    </row>
    <row r="1061" spans="1:17" x14ac:dyDescent="0.3">
      <c r="A1061" t="s">
        <v>17</v>
      </c>
      <c r="B1061" t="str">
        <f>"601985"</f>
        <v>601985</v>
      </c>
      <c r="C1061" t="s">
        <v>2164</v>
      </c>
      <c r="D1061" t="s">
        <v>41</v>
      </c>
      <c r="F1061">
        <v>10561393804</v>
      </c>
      <c r="G1061">
        <v>7203424375</v>
      </c>
      <c r="H1061">
        <v>1527737282</v>
      </c>
      <c r="I1061">
        <v>252817906</v>
      </c>
      <c r="J1061">
        <v>-3602842234</v>
      </c>
      <c r="K1061">
        <v>-5326865790</v>
      </c>
      <c r="L1061">
        <v>-9597486988</v>
      </c>
      <c r="M1061">
        <v>-13860192045</v>
      </c>
      <c r="N1061">
        <v>-14343143499</v>
      </c>
      <c r="O1061">
        <v>-11313707261</v>
      </c>
      <c r="P1061">
        <v>998</v>
      </c>
      <c r="Q1061" t="s">
        <v>2165</v>
      </c>
    </row>
    <row r="1062" spans="1:17" x14ac:dyDescent="0.3">
      <c r="A1062" t="s">
        <v>17</v>
      </c>
      <c r="B1062" t="str">
        <f>"601988"</f>
        <v>601988</v>
      </c>
      <c r="C1062" t="s">
        <v>2166</v>
      </c>
      <c r="D1062" t="s">
        <v>19</v>
      </c>
      <c r="F1062">
        <v>820866000000</v>
      </c>
      <c r="G1062">
        <v>37493000000</v>
      </c>
      <c r="H1062">
        <v>-512731000000</v>
      </c>
      <c r="I1062">
        <v>630482000000</v>
      </c>
      <c r="J1062">
        <v>360125000000</v>
      </c>
      <c r="K1062">
        <v>159035000000</v>
      </c>
      <c r="L1062">
        <v>635152000000</v>
      </c>
      <c r="M1062">
        <v>91810000000</v>
      </c>
      <c r="N1062">
        <v>188069000000</v>
      </c>
      <c r="O1062">
        <v>234434000000</v>
      </c>
      <c r="P1062">
        <v>4259</v>
      </c>
      <c r="Q1062" t="s">
        <v>2167</v>
      </c>
    </row>
    <row r="1063" spans="1:17" x14ac:dyDescent="0.3">
      <c r="A1063" t="s">
        <v>17</v>
      </c>
      <c r="B1063" t="str">
        <f>"601989"</f>
        <v>601989</v>
      </c>
      <c r="C1063" t="s">
        <v>2168</v>
      </c>
      <c r="D1063" t="s">
        <v>92</v>
      </c>
      <c r="F1063">
        <v>-1680827614</v>
      </c>
      <c r="G1063">
        <v>8020772604</v>
      </c>
      <c r="H1063">
        <v>-527643882</v>
      </c>
      <c r="I1063">
        <v>-628489266</v>
      </c>
      <c r="J1063">
        <v>-2116528450</v>
      </c>
      <c r="K1063">
        <v>-4403311896</v>
      </c>
      <c r="L1063">
        <v>-2874766631</v>
      </c>
      <c r="M1063">
        <v>-1542426314</v>
      </c>
      <c r="N1063">
        <v>-4125089414</v>
      </c>
      <c r="O1063">
        <v>-10633709947</v>
      </c>
      <c r="P1063">
        <v>669</v>
      </c>
      <c r="Q1063" t="s">
        <v>2169</v>
      </c>
    </row>
    <row r="1064" spans="1:17" x14ac:dyDescent="0.3">
      <c r="A1064" t="s">
        <v>17</v>
      </c>
      <c r="B1064" t="str">
        <f>"601990"</f>
        <v>601990</v>
      </c>
      <c r="C1064" t="s">
        <v>2170</v>
      </c>
      <c r="D1064" t="s">
        <v>75</v>
      </c>
      <c r="F1064">
        <v>-2713839323</v>
      </c>
      <c r="G1064">
        <v>-4714202287</v>
      </c>
      <c r="H1064">
        <v>852775931</v>
      </c>
      <c r="I1064">
        <v>409744799</v>
      </c>
      <c r="J1064">
        <v>-1120951192</v>
      </c>
      <c r="K1064">
        <v>-3279690426</v>
      </c>
      <c r="L1064">
        <v>105837188</v>
      </c>
      <c r="M1064">
        <v>2141881700</v>
      </c>
      <c r="N1064">
        <v>-839801500</v>
      </c>
      <c r="O1064">
        <v>219773200</v>
      </c>
      <c r="P1064">
        <v>722</v>
      </c>
      <c r="Q1064" t="s">
        <v>2171</v>
      </c>
    </row>
    <row r="1065" spans="1:17" x14ac:dyDescent="0.3">
      <c r="A1065" t="s">
        <v>17</v>
      </c>
      <c r="B1065" t="str">
        <f>"601991"</f>
        <v>601991</v>
      </c>
      <c r="C1065" t="s">
        <v>2172</v>
      </c>
      <c r="D1065" t="s">
        <v>41</v>
      </c>
      <c r="F1065">
        <v>-5516068000</v>
      </c>
      <c r="G1065">
        <v>11017980000</v>
      </c>
      <c r="H1065">
        <v>9543955000</v>
      </c>
      <c r="I1065">
        <v>3757804000</v>
      </c>
      <c r="J1065">
        <v>8164143000</v>
      </c>
      <c r="K1065">
        <v>4395969000</v>
      </c>
      <c r="L1065">
        <v>8930841000</v>
      </c>
      <c r="M1065">
        <v>5887232000</v>
      </c>
      <c r="N1065">
        <v>-2179833000</v>
      </c>
      <c r="O1065">
        <v>-3166301000</v>
      </c>
      <c r="P1065">
        <v>283</v>
      </c>
      <c r="Q1065" t="s">
        <v>2173</v>
      </c>
    </row>
    <row r="1066" spans="1:17" x14ac:dyDescent="0.3">
      <c r="A1066" t="s">
        <v>17</v>
      </c>
      <c r="B1066" t="str">
        <f>"601992"</f>
        <v>601992</v>
      </c>
      <c r="C1066" t="s">
        <v>2174</v>
      </c>
      <c r="D1066" t="s">
        <v>350</v>
      </c>
      <c r="F1066">
        <v>10502387143</v>
      </c>
      <c r="G1066">
        <v>13181674572</v>
      </c>
      <c r="H1066">
        <v>2361951369</v>
      </c>
      <c r="I1066">
        <v>-7329857127</v>
      </c>
      <c r="J1066">
        <v>-13237186882</v>
      </c>
      <c r="K1066">
        <v>1506521401</v>
      </c>
      <c r="L1066">
        <v>-2445515888</v>
      </c>
      <c r="M1066">
        <v>-7703867005</v>
      </c>
      <c r="N1066">
        <v>-3807224134</v>
      </c>
      <c r="O1066">
        <v>909646985</v>
      </c>
      <c r="P1066">
        <v>368</v>
      </c>
      <c r="Q1066" t="s">
        <v>2175</v>
      </c>
    </row>
    <row r="1067" spans="1:17" x14ac:dyDescent="0.3">
      <c r="A1067" t="s">
        <v>17</v>
      </c>
      <c r="B1067" t="str">
        <f>"601995"</f>
        <v>601995</v>
      </c>
      <c r="C1067" t="s">
        <v>2176</v>
      </c>
      <c r="D1067" t="s">
        <v>75</v>
      </c>
      <c r="F1067">
        <v>30891302412</v>
      </c>
      <c r="G1067">
        <v>-21679253691</v>
      </c>
      <c r="H1067">
        <v>-17593083413</v>
      </c>
      <c r="I1067">
        <v>4280551221</v>
      </c>
      <c r="J1067">
        <v>-15090036042</v>
      </c>
      <c r="K1067">
        <v>-17805323187</v>
      </c>
      <c r="L1067">
        <v>7895340189</v>
      </c>
      <c r="M1067">
        <v>6828298848</v>
      </c>
      <c r="N1067">
        <v>-4252259630</v>
      </c>
      <c r="O1067">
        <v>-3173247875</v>
      </c>
      <c r="P1067">
        <v>986</v>
      </c>
      <c r="Q1067" t="s">
        <v>2177</v>
      </c>
    </row>
    <row r="1068" spans="1:17" x14ac:dyDescent="0.3">
      <c r="A1068" t="s">
        <v>17</v>
      </c>
      <c r="B1068" t="str">
        <f>"601996"</f>
        <v>601996</v>
      </c>
      <c r="C1068" t="s">
        <v>2178</v>
      </c>
      <c r="D1068" t="s">
        <v>161</v>
      </c>
      <c r="F1068">
        <v>-183083620</v>
      </c>
      <c r="G1068">
        <v>4927515</v>
      </c>
      <c r="H1068">
        <v>-32038476</v>
      </c>
      <c r="I1068">
        <v>-83339417</v>
      </c>
      <c r="J1068">
        <v>15044443</v>
      </c>
      <c r="K1068">
        <v>206030608</v>
      </c>
      <c r="L1068">
        <v>103153989</v>
      </c>
      <c r="M1068">
        <v>-19010071</v>
      </c>
      <c r="N1068">
        <v>-111063281</v>
      </c>
      <c r="O1068">
        <v>7010570</v>
      </c>
      <c r="P1068">
        <v>143</v>
      </c>
      <c r="Q1068" t="s">
        <v>2179</v>
      </c>
    </row>
    <row r="1069" spans="1:17" x14ac:dyDescent="0.3">
      <c r="A1069" t="s">
        <v>17</v>
      </c>
      <c r="B1069" t="str">
        <f>"601997"</f>
        <v>601997</v>
      </c>
      <c r="C1069" t="s">
        <v>2180</v>
      </c>
      <c r="D1069" t="s">
        <v>19</v>
      </c>
      <c r="F1069">
        <v>-14596317000</v>
      </c>
      <c r="G1069">
        <v>12460085000</v>
      </c>
      <c r="H1069">
        <v>5864226000</v>
      </c>
      <c r="I1069">
        <v>-38578100000</v>
      </c>
      <c r="J1069">
        <v>20056043000</v>
      </c>
      <c r="K1069">
        <v>67256168000</v>
      </c>
      <c r="L1069">
        <v>37111856000</v>
      </c>
      <c r="M1069">
        <v>12591353000</v>
      </c>
      <c r="N1069">
        <v>2840047000</v>
      </c>
      <c r="O1069">
        <v>6727049000</v>
      </c>
      <c r="P1069">
        <v>2051</v>
      </c>
      <c r="Q1069" t="s">
        <v>2181</v>
      </c>
    </row>
    <row r="1070" spans="1:17" x14ac:dyDescent="0.3">
      <c r="A1070" t="s">
        <v>17</v>
      </c>
      <c r="B1070" t="str">
        <f>"601998"</f>
        <v>601998</v>
      </c>
      <c r="C1070" t="s">
        <v>2182</v>
      </c>
      <c r="D1070" t="s">
        <v>19</v>
      </c>
      <c r="F1070">
        <v>-79707000000</v>
      </c>
      <c r="G1070">
        <v>152612000000</v>
      </c>
      <c r="H1070">
        <v>113312000000</v>
      </c>
      <c r="I1070">
        <v>98716000000</v>
      </c>
      <c r="J1070">
        <v>46094000000</v>
      </c>
      <c r="K1070">
        <v>211103000000</v>
      </c>
      <c r="L1070">
        <v>-27262000000</v>
      </c>
      <c r="M1070">
        <v>22718000000</v>
      </c>
      <c r="N1070">
        <v>-141520000000</v>
      </c>
      <c r="O1070">
        <v>-59014000000</v>
      </c>
      <c r="P1070">
        <v>1903</v>
      </c>
      <c r="Q1070" t="s">
        <v>2183</v>
      </c>
    </row>
    <row r="1071" spans="1:17" x14ac:dyDescent="0.3">
      <c r="A1071" t="s">
        <v>17</v>
      </c>
      <c r="B1071" t="str">
        <f>"601999"</f>
        <v>601999</v>
      </c>
      <c r="C1071" t="s">
        <v>2184</v>
      </c>
      <c r="D1071" t="s">
        <v>89</v>
      </c>
      <c r="F1071">
        <v>99431349</v>
      </c>
      <c r="G1071">
        <v>287567976</v>
      </c>
      <c r="H1071">
        <v>43959620</v>
      </c>
      <c r="I1071">
        <v>-252897734</v>
      </c>
      <c r="J1071">
        <v>168469292</v>
      </c>
      <c r="K1071">
        <v>-201900511</v>
      </c>
      <c r="L1071">
        <v>47375804</v>
      </c>
      <c r="M1071">
        <v>236906661</v>
      </c>
      <c r="N1071">
        <v>-39304300</v>
      </c>
      <c r="O1071">
        <v>102895590</v>
      </c>
      <c r="P1071">
        <v>82</v>
      </c>
      <c r="Q1071" t="s">
        <v>2185</v>
      </c>
    </row>
    <row r="1072" spans="1:17" x14ac:dyDescent="0.3">
      <c r="A1072" t="s">
        <v>17</v>
      </c>
      <c r="B1072" t="str">
        <f>"603000"</f>
        <v>603000</v>
      </c>
      <c r="C1072" t="s">
        <v>2186</v>
      </c>
      <c r="D1072" t="s">
        <v>89</v>
      </c>
      <c r="F1072">
        <v>386339063</v>
      </c>
      <c r="G1072">
        <v>447393518</v>
      </c>
      <c r="H1072">
        <v>513143437</v>
      </c>
      <c r="I1072">
        <v>270151705</v>
      </c>
      <c r="J1072">
        <v>258668684</v>
      </c>
      <c r="K1072">
        <v>182278085</v>
      </c>
      <c r="L1072">
        <v>173383882</v>
      </c>
      <c r="M1072">
        <v>48243350</v>
      </c>
      <c r="N1072">
        <v>117763563</v>
      </c>
      <c r="O1072">
        <v>37266064</v>
      </c>
      <c r="P1072">
        <v>323</v>
      </c>
      <c r="Q1072" t="s">
        <v>2187</v>
      </c>
    </row>
    <row r="1073" spans="1:17" x14ac:dyDescent="0.3">
      <c r="A1073" t="s">
        <v>17</v>
      </c>
      <c r="B1073" t="str">
        <f>"603001"</f>
        <v>603001</v>
      </c>
      <c r="C1073" t="s">
        <v>2188</v>
      </c>
      <c r="D1073" t="s">
        <v>227</v>
      </c>
      <c r="F1073">
        <v>112088195</v>
      </c>
      <c r="G1073">
        <v>308690168</v>
      </c>
      <c r="H1073">
        <v>-29277854</v>
      </c>
      <c r="I1073">
        <v>183041363</v>
      </c>
      <c r="J1073">
        <v>72974890</v>
      </c>
      <c r="K1073">
        <v>43069164</v>
      </c>
      <c r="L1073">
        <v>1080517856</v>
      </c>
      <c r="M1073">
        <v>1510124</v>
      </c>
      <c r="N1073">
        <v>-307093787</v>
      </c>
      <c r="O1073">
        <v>-202431559</v>
      </c>
      <c r="P1073">
        <v>148</v>
      </c>
      <c r="Q1073" t="s">
        <v>2189</v>
      </c>
    </row>
    <row r="1074" spans="1:17" x14ac:dyDescent="0.3">
      <c r="A1074" t="s">
        <v>17</v>
      </c>
      <c r="B1074" t="str">
        <f>"603002"</f>
        <v>603002</v>
      </c>
      <c r="C1074" t="s">
        <v>2190</v>
      </c>
      <c r="D1074" t="s">
        <v>150</v>
      </c>
      <c r="F1074">
        <v>472272708</v>
      </c>
      <c r="G1074">
        <v>441614746</v>
      </c>
      <c r="H1074">
        <v>20797675</v>
      </c>
      <c r="I1074">
        <v>48884583</v>
      </c>
      <c r="J1074">
        <v>-205546281</v>
      </c>
      <c r="K1074">
        <v>-150818823</v>
      </c>
      <c r="L1074">
        <v>-81605627</v>
      </c>
      <c r="M1074">
        <v>52609811</v>
      </c>
      <c r="N1074">
        <v>41936385</v>
      </c>
      <c r="O1074">
        <v>133498251</v>
      </c>
      <c r="P1074">
        <v>116</v>
      </c>
      <c r="Q1074" t="s">
        <v>2191</v>
      </c>
    </row>
    <row r="1075" spans="1:17" x14ac:dyDescent="0.3">
      <c r="A1075" t="s">
        <v>17</v>
      </c>
      <c r="B1075" t="str">
        <f>"603003"</f>
        <v>603003</v>
      </c>
      <c r="C1075" t="s">
        <v>2192</v>
      </c>
      <c r="D1075" t="s">
        <v>212</v>
      </c>
      <c r="F1075">
        <v>8295958</v>
      </c>
      <c r="G1075">
        <v>117933059</v>
      </c>
      <c r="H1075">
        <v>-403573704</v>
      </c>
      <c r="I1075">
        <v>292334882</v>
      </c>
      <c r="J1075">
        <v>-863745515</v>
      </c>
      <c r="K1075">
        <v>570473050</v>
      </c>
      <c r="L1075">
        <v>-409452511</v>
      </c>
      <c r="M1075">
        <v>232834988</v>
      </c>
      <c r="N1075">
        <v>252620323</v>
      </c>
      <c r="O1075">
        <v>-553945449</v>
      </c>
      <c r="P1075">
        <v>88</v>
      </c>
      <c r="Q1075" t="s">
        <v>2193</v>
      </c>
    </row>
    <row r="1076" spans="1:17" x14ac:dyDescent="0.3">
      <c r="A1076" t="s">
        <v>17</v>
      </c>
      <c r="B1076" t="str">
        <f>"603005"</f>
        <v>603005</v>
      </c>
      <c r="C1076" t="s">
        <v>2194</v>
      </c>
      <c r="D1076" t="s">
        <v>150</v>
      </c>
      <c r="F1076">
        <v>248462048</v>
      </c>
      <c r="G1076">
        <v>359761997</v>
      </c>
      <c r="H1076">
        <v>77060847</v>
      </c>
      <c r="I1076">
        <v>215826111</v>
      </c>
      <c r="J1076">
        <v>137521734</v>
      </c>
      <c r="K1076">
        <v>-14331843</v>
      </c>
      <c r="L1076">
        <v>-237213743</v>
      </c>
      <c r="M1076">
        <v>10032238</v>
      </c>
      <c r="N1076">
        <v>-75862936</v>
      </c>
      <c r="O1076">
        <v>56969199</v>
      </c>
      <c r="P1076">
        <v>3663</v>
      </c>
      <c r="Q1076" t="s">
        <v>2195</v>
      </c>
    </row>
    <row r="1077" spans="1:17" x14ac:dyDescent="0.3">
      <c r="A1077" t="s">
        <v>17</v>
      </c>
      <c r="B1077" t="str">
        <f>"603006"</f>
        <v>603006</v>
      </c>
      <c r="C1077" t="s">
        <v>2196</v>
      </c>
      <c r="D1077" t="s">
        <v>27</v>
      </c>
      <c r="F1077">
        <v>118111155</v>
      </c>
      <c r="G1077">
        <v>215982571</v>
      </c>
      <c r="H1077">
        <v>195676564</v>
      </c>
      <c r="I1077">
        <v>-7288923</v>
      </c>
      <c r="J1077">
        <v>-41256453</v>
      </c>
      <c r="K1077">
        <v>106318510</v>
      </c>
      <c r="L1077">
        <v>-34115990</v>
      </c>
      <c r="M1077">
        <v>-62905756</v>
      </c>
      <c r="N1077">
        <v>-31331239</v>
      </c>
      <c r="O1077">
        <v>49290050</v>
      </c>
      <c r="P1077">
        <v>106</v>
      </c>
      <c r="Q1077" t="s">
        <v>2197</v>
      </c>
    </row>
    <row r="1078" spans="1:17" x14ac:dyDescent="0.3">
      <c r="A1078" t="s">
        <v>17</v>
      </c>
      <c r="B1078" t="str">
        <f>"603007"</f>
        <v>603007</v>
      </c>
      <c r="C1078" t="s">
        <v>2198</v>
      </c>
      <c r="D1078" t="s">
        <v>95</v>
      </c>
      <c r="F1078">
        <v>242810757</v>
      </c>
      <c r="G1078">
        <v>-139705222</v>
      </c>
      <c r="H1078">
        <v>-53367674</v>
      </c>
      <c r="I1078">
        <v>102155088</v>
      </c>
      <c r="J1078">
        <v>-56210159</v>
      </c>
      <c r="K1078">
        <v>23005141</v>
      </c>
      <c r="L1078">
        <v>48481156</v>
      </c>
      <c r="M1078">
        <v>-84455131</v>
      </c>
      <c r="N1078">
        <v>-185650</v>
      </c>
      <c r="P1078">
        <v>81</v>
      </c>
      <c r="Q1078" t="s">
        <v>2199</v>
      </c>
    </row>
    <row r="1079" spans="1:17" x14ac:dyDescent="0.3">
      <c r="A1079" t="s">
        <v>17</v>
      </c>
      <c r="B1079" t="str">
        <f>"603008"</f>
        <v>603008</v>
      </c>
      <c r="C1079" t="s">
        <v>2200</v>
      </c>
      <c r="D1079" t="s">
        <v>161</v>
      </c>
      <c r="F1079">
        <v>213232176</v>
      </c>
      <c r="G1079">
        <v>581962278</v>
      </c>
      <c r="H1079">
        <v>203154347</v>
      </c>
      <c r="I1079">
        <v>-441385230</v>
      </c>
      <c r="J1079">
        <v>-76457464</v>
      </c>
      <c r="K1079">
        <v>50768236</v>
      </c>
      <c r="L1079">
        <v>68746078</v>
      </c>
      <c r="M1079">
        <v>-241630402</v>
      </c>
      <c r="N1079">
        <v>-343911285</v>
      </c>
      <c r="O1079">
        <v>-19008209</v>
      </c>
      <c r="P1079">
        <v>301</v>
      </c>
      <c r="Q1079" t="s">
        <v>2201</v>
      </c>
    </row>
    <row r="1080" spans="1:17" x14ac:dyDescent="0.3">
      <c r="A1080" t="s">
        <v>17</v>
      </c>
      <c r="B1080" t="str">
        <f>"603009"</f>
        <v>603009</v>
      </c>
      <c r="C1080" t="s">
        <v>2202</v>
      </c>
      <c r="D1080" t="s">
        <v>27</v>
      </c>
      <c r="F1080">
        <v>-59352792</v>
      </c>
      <c r="G1080">
        <v>-97607109</v>
      </c>
      <c r="H1080">
        <v>-225611556</v>
      </c>
      <c r="I1080">
        <v>-206972457</v>
      </c>
      <c r="J1080">
        <v>-240479188</v>
      </c>
      <c r="K1080">
        <v>-211629419</v>
      </c>
      <c r="L1080">
        <v>-48134513</v>
      </c>
      <c r="M1080">
        <v>-18959276</v>
      </c>
      <c r="N1080">
        <v>-40464857</v>
      </c>
      <c r="O1080">
        <v>-23336659</v>
      </c>
      <c r="P1080">
        <v>84</v>
      </c>
      <c r="Q1080" t="s">
        <v>2203</v>
      </c>
    </row>
    <row r="1081" spans="1:17" x14ac:dyDescent="0.3">
      <c r="A1081" t="s">
        <v>17</v>
      </c>
      <c r="B1081" t="str">
        <f>"603010"</f>
        <v>603010</v>
      </c>
      <c r="C1081" t="s">
        <v>2204</v>
      </c>
      <c r="D1081" t="s">
        <v>133</v>
      </c>
      <c r="F1081">
        <v>574635601</v>
      </c>
      <c r="G1081">
        <v>224008030</v>
      </c>
      <c r="H1081">
        <v>48928507</v>
      </c>
      <c r="I1081">
        <v>-74160717</v>
      </c>
      <c r="J1081">
        <v>-149346785</v>
      </c>
      <c r="K1081">
        <v>-33776951</v>
      </c>
      <c r="L1081">
        <v>90615418</v>
      </c>
      <c r="M1081">
        <v>-3762601</v>
      </c>
      <c r="N1081">
        <v>-4627795</v>
      </c>
      <c r="O1081">
        <v>-10220667</v>
      </c>
      <c r="P1081">
        <v>278</v>
      </c>
      <c r="Q1081" t="s">
        <v>2205</v>
      </c>
    </row>
    <row r="1082" spans="1:17" x14ac:dyDescent="0.3">
      <c r="A1082" t="s">
        <v>17</v>
      </c>
      <c r="B1082" t="str">
        <f>"603011"</f>
        <v>603011</v>
      </c>
      <c r="C1082" t="s">
        <v>2206</v>
      </c>
      <c r="D1082" t="s">
        <v>78</v>
      </c>
      <c r="F1082">
        <v>-66976454</v>
      </c>
      <c r="G1082">
        <v>13503541</v>
      </c>
      <c r="H1082">
        <v>9788834</v>
      </c>
      <c r="I1082">
        <v>-58945761</v>
      </c>
      <c r="J1082">
        <v>-66005231</v>
      </c>
      <c r="K1082">
        <v>-14804577</v>
      </c>
      <c r="L1082">
        <v>-44334095</v>
      </c>
      <c r="M1082">
        <v>38848392</v>
      </c>
      <c r="N1082">
        <v>-67051130</v>
      </c>
      <c r="O1082">
        <v>-26623599</v>
      </c>
      <c r="P1082">
        <v>82</v>
      </c>
      <c r="Q1082" t="s">
        <v>2207</v>
      </c>
    </row>
    <row r="1083" spans="1:17" x14ac:dyDescent="0.3">
      <c r="A1083" t="s">
        <v>17</v>
      </c>
      <c r="B1083" t="str">
        <f>"603012"</f>
        <v>603012</v>
      </c>
      <c r="C1083" t="s">
        <v>2208</v>
      </c>
      <c r="D1083" t="s">
        <v>78</v>
      </c>
      <c r="F1083">
        <v>159102749</v>
      </c>
      <c r="G1083">
        <v>229288663</v>
      </c>
      <c r="H1083">
        <v>107952602</v>
      </c>
      <c r="I1083">
        <v>206536566</v>
      </c>
      <c r="J1083">
        <v>109538187</v>
      </c>
      <c r="K1083">
        <v>-206882550</v>
      </c>
      <c r="L1083">
        <v>-200454481</v>
      </c>
      <c r="M1083">
        <v>144146012</v>
      </c>
      <c r="N1083">
        <v>146151789</v>
      </c>
      <c r="O1083">
        <v>7748111</v>
      </c>
      <c r="P1083">
        <v>135</v>
      </c>
      <c r="Q1083" t="s">
        <v>2209</v>
      </c>
    </row>
    <row r="1084" spans="1:17" x14ac:dyDescent="0.3">
      <c r="A1084" t="s">
        <v>17</v>
      </c>
      <c r="B1084" t="str">
        <f>"603013"</f>
        <v>603013</v>
      </c>
      <c r="C1084" t="s">
        <v>2210</v>
      </c>
      <c r="D1084" t="s">
        <v>27</v>
      </c>
      <c r="F1084">
        <v>619781618</v>
      </c>
      <c r="G1084">
        <v>1533323431</v>
      </c>
      <c r="H1084">
        <v>455414000</v>
      </c>
      <c r="I1084">
        <v>-83275284</v>
      </c>
      <c r="J1084">
        <v>214369102</v>
      </c>
      <c r="K1084">
        <v>117054184</v>
      </c>
      <c r="L1084">
        <v>180463146</v>
      </c>
      <c r="P1084">
        <v>237</v>
      </c>
      <c r="Q1084" t="s">
        <v>2211</v>
      </c>
    </row>
    <row r="1085" spans="1:17" x14ac:dyDescent="0.3">
      <c r="A1085" t="s">
        <v>17</v>
      </c>
      <c r="B1085" t="str">
        <f>"603015"</f>
        <v>603015</v>
      </c>
      <c r="C1085" t="s">
        <v>2212</v>
      </c>
      <c r="D1085" t="s">
        <v>78</v>
      </c>
      <c r="F1085">
        <v>-76111961</v>
      </c>
      <c r="G1085">
        <v>-25950519</v>
      </c>
      <c r="H1085">
        <v>-111727518</v>
      </c>
      <c r="I1085">
        <v>44890214</v>
      </c>
      <c r="J1085">
        <v>-71892777</v>
      </c>
      <c r="K1085">
        <v>-80171016</v>
      </c>
      <c r="L1085">
        <v>21326689</v>
      </c>
      <c r="M1085">
        <v>29503384</v>
      </c>
      <c r="N1085">
        <v>68661496</v>
      </c>
      <c r="O1085">
        <v>82801218</v>
      </c>
      <c r="P1085">
        <v>91</v>
      </c>
      <c r="Q1085" t="s">
        <v>2213</v>
      </c>
    </row>
    <row r="1086" spans="1:17" x14ac:dyDescent="0.3">
      <c r="A1086" t="s">
        <v>17</v>
      </c>
      <c r="B1086" t="str">
        <f>"603016"</f>
        <v>603016</v>
      </c>
      <c r="C1086" t="s">
        <v>2214</v>
      </c>
      <c r="D1086" t="s">
        <v>188</v>
      </c>
      <c r="F1086">
        <v>26970343</v>
      </c>
      <c r="G1086">
        <v>58027590</v>
      </c>
      <c r="H1086">
        <v>29830497</v>
      </c>
      <c r="I1086">
        <v>13324441</v>
      </c>
      <c r="J1086">
        <v>79421384</v>
      </c>
      <c r="K1086">
        <v>24059975</v>
      </c>
      <c r="L1086">
        <v>59529644</v>
      </c>
      <c r="M1086">
        <v>33121999</v>
      </c>
      <c r="N1086">
        <v>98070403</v>
      </c>
      <c r="P1086">
        <v>93</v>
      </c>
      <c r="Q1086" t="s">
        <v>2215</v>
      </c>
    </row>
    <row r="1087" spans="1:17" x14ac:dyDescent="0.3">
      <c r="A1087" t="s">
        <v>17</v>
      </c>
      <c r="B1087" t="str">
        <f>"603017"</f>
        <v>603017</v>
      </c>
      <c r="C1087" t="s">
        <v>2216</v>
      </c>
      <c r="D1087" t="s">
        <v>95</v>
      </c>
      <c r="F1087">
        <v>293635625</v>
      </c>
      <c r="G1087">
        <v>108606634</v>
      </c>
      <c r="H1087">
        <v>88012678</v>
      </c>
      <c r="I1087">
        <v>48052304</v>
      </c>
      <c r="J1087">
        <v>104645100</v>
      </c>
      <c r="K1087">
        <v>42359669</v>
      </c>
      <c r="L1087">
        <v>-58882224</v>
      </c>
      <c r="M1087">
        <v>-19575910</v>
      </c>
      <c r="N1087">
        <v>43616122</v>
      </c>
      <c r="O1087">
        <v>58399807</v>
      </c>
      <c r="P1087">
        <v>121</v>
      </c>
      <c r="Q1087" t="s">
        <v>2217</v>
      </c>
    </row>
    <row r="1088" spans="1:17" x14ac:dyDescent="0.3">
      <c r="A1088" t="s">
        <v>17</v>
      </c>
      <c r="B1088" t="str">
        <f>"603018"</f>
        <v>603018</v>
      </c>
      <c r="C1088" t="s">
        <v>2218</v>
      </c>
      <c r="D1088" t="s">
        <v>95</v>
      </c>
      <c r="F1088">
        <v>360451196</v>
      </c>
      <c r="G1088">
        <v>335771087</v>
      </c>
      <c r="H1088">
        <v>371792267</v>
      </c>
      <c r="I1088">
        <v>254773597</v>
      </c>
      <c r="J1088">
        <v>221627869</v>
      </c>
      <c r="K1088">
        <v>217122612</v>
      </c>
      <c r="L1088">
        <v>70169642</v>
      </c>
      <c r="M1088">
        <v>-46354927</v>
      </c>
      <c r="N1088">
        <v>-87210296</v>
      </c>
      <c r="O1088">
        <v>81233271</v>
      </c>
      <c r="P1088">
        <v>401</v>
      </c>
      <c r="Q1088" t="s">
        <v>2219</v>
      </c>
    </row>
    <row r="1089" spans="1:17" x14ac:dyDescent="0.3">
      <c r="A1089" t="s">
        <v>17</v>
      </c>
      <c r="B1089" t="str">
        <f>"603019"</f>
        <v>603019</v>
      </c>
      <c r="C1089" t="s">
        <v>2220</v>
      </c>
      <c r="D1089" t="s">
        <v>212</v>
      </c>
      <c r="F1089">
        <v>-2119499300</v>
      </c>
      <c r="G1089">
        <v>1761311831</v>
      </c>
      <c r="H1089">
        <v>2419608742</v>
      </c>
      <c r="I1089">
        <v>-2239300</v>
      </c>
      <c r="J1089">
        <v>-544358912</v>
      </c>
      <c r="K1089">
        <v>-560408141</v>
      </c>
      <c r="L1089">
        <v>-183662592</v>
      </c>
      <c r="M1089">
        <v>-103400941</v>
      </c>
      <c r="N1089">
        <v>-68064588</v>
      </c>
      <c r="O1089">
        <v>-132640725</v>
      </c>
      <c r="P1089">
        <v>1209</v>
      </c>
      <c r="Q1089" t="s">
        <v>2221</v>
      </c>
    </row>
    <row r="1090" spans="1:17" x14ac:dyDescent="0.3">
      <c r="A1090" t="s">
        <v>17</v>
      </c>
      <c r="B1090" t="str">
        <f>"603020"</f>
        <v>603020</v>
      </c>
      <c r="C1090" t="s">
        <v>2222</v>
      </c>
      <c r="D1090" t="s">
        <v>133</v>
      </c>
      <c r="F1090">
        <v>-186717518</v>
      </c>
      <c r="G1090">
        <v>80978447</v>
      </c>
      <c r="H1090">
        <v>107184617</v>
      </c>
      <c r="I1090">
        <v>-115146811</v>
      </c>
      <c r="J1090">
        <v>-19056781</v>
      </c>
      <c r="K1090">
        <v>122771077</v>
      </c>
      <c r="L1090">
        <v>175087885</v>
      </c>
      <c r="M1090">
        <v>102895894</v>
      </c>
      <c r="N1090">
        <v>117757568</v>
      </c>
      <c r="O1090">
        <v>106860050</v>
      </c>
      <c r="P1090">
        <v>195</v>
      </c>
      <c r="Q1090" t="s">
        <v>2223</v>
      </c>
    </row>
    <row r="1091" spans="1:17" x14ac:dyDescent="0.3">
      <c r="A1091" t="s">
        <v>17</v>
      </c>
      <c r="B1091" t="str">
        <f>"603021"</f>
        <v>603021</v>
      </c>
      <c r="C1091" t="s">
        <v>2224</v>
      </c>
      <c r="D1091" t="s">
        <v>161</v>
      </c>
      <c r="F1091">
        <v>-80158988</v>
      </c>
      <c r="G1091">
        <v>-82152710</v>
      </c>
      <c r="H1091">
        <v>-103836648</v>
      </c>
      <c r="I1091">
        <v>-52993367</v>
      </c>
      <c r="J1091">
        <v>-303609115</v>
      </c>
      <c r="K1091">
        <v>-147123050</v>
      </c>
      <c r="L1091">
        <v>-110139380</v>
      </c>
      <c r="M1091">
        <v>3403829</v>
      </c>
      <c r="N1091">
        <v>-17288636</v>
      </c>
      <c r="O1091">
        <v>-32051985</v>
      </c>
      <c r="P1091">
        <v>59</v>
      </c>
      <c r="Q1091" t="s">
        <v>2225</v>
      </c>
    </row>
    <row r="1092" spans="1:17" x14ac:dyDescent="0.3">
      <c r="A1092" t="s">
        <v>17</v>
      </c>
      <c r="B1092" t="str">
        <f>"603022"</f>
        <v>603022</v>
      </c>
      <c r="C1092" t="s">
        <v>2226</v>
      </c>
      <c r="D1092" t="s">
        <v>161</v>
      </c>
      <c r="F1092">
        <v>-4565305</v>
      </c>
      <c r="G1092">
        <v>-13294980</v>
      </c>
      <c r="H1092">
        <v>-10825627</v>
      </c>
      <c r="I1092">
        <v>-27982665</v>
      </c>
      <c r="J1092">
        <v>-85993422</v>
      </c>
      <c r="K1092">
        <v>-69078616</v>
      </c>
      <c r="L1092">
        <v>19509161</v>
      </c>
      <c r="M1092">
        <v>-12441589</v>
      </c>
      <c r="N1092">
        <v>7080501</v>
      </c>
      <c r="O1092">
        <v>-18419072</v>
      </c>
      <c r="P1092">
        <v>51</v>
      </c>
      <c r="Q1092" t="s">
        <v>2227</v>
      </c>
    </row>
    <row r="1093" spans="1:17" x14ac:dyDescent="0.3">
      <c r="A1093" t="s">
        <v>17</v>
      </c>
      <c r="B1093" t="str">
        <f>"603023"</f>
        <v>603023</v>
      </c>
      <c r="C1093" t="s">
        <v>2228</v>
      </c>
      <c r="D1093" t="s">
        <v>27</v>
      </c>
      <c r="F1093">
        <v>34323456</v>
      </c>
      <c r="G1093">
        <v>40409891</v>
      </c>
      <c r="H1093">
        <v>24770234</v>
      </c>
      <c r="I1093">
        <v>58329051</v>
      </c>
      <c r="J1093">
        <v>-38848346</v>
      </c>
      <c r="K1093">
        <v>45150988</v>
      </c>
      <c r="L1093">
        <v>45620403</v>
      </c>
      <c r="M1093">
        <v>75766026</v>
      </c>
      <c r="N1093">
        <v>49930429</v>
      </c>
      <c r="O1093">
        <v>40936254</v>
      </c>
      <c r="P1093">
        <v>150</v>
      </c>
      <c r="Q1093" t="s">
        <v>2229</v>
      </c>
    </row>
    <row r="1094" spans="1:17" x14ac:dyDescent="0.3">
      <c r="A1094" t="s">
        <v>17</v>
      </c>
      <c r="B1094" t="str">
        <f>"603025"</f>
        <v>603025</v>
      </c>
      <c r="C1094" t="s">
        <v>2230</v>
      </c>
      <c r="D1094" t="s">
        <v>78</v>
      </c>
      <c r="F1094">
        <v>236794839</v>
      </c>
      <c r="G1094">
        <v>93490265</v>
      </c>
      <c r="H1094">
        <v>317911224</v>
      </c>
      <c r="I1094">
        <v>287277481</v>
      </c>
      <c r="J1094">
        <v>196043169</v>
      </c>
      <c r="K1094">
        <v>233574712</v>
      </c>
      <c r="L1094">
        <v>192798381</v>
      </c>
      <c r="M1094">
        <v>250591952</v>
      </c>
      <c r="N1094">
        <v>222988950</v>
      </c>
      <c r="O1094">
        <v>86027513</v>
      </c>
      <c r="P1094">
        <v>434</v>
      </c>
      <c r="Q1094" t="s">
        <v>2231</v>
      </c>
    </row>
    <row r="1095" spans="1:17" x14ac:dyDescent="0.3">
      <c r="A1095" t="s">
        <v>17</v>
      </c>
      <c r="B1095" t="str">
        <f>"603026"</f>
        <v>603026</v>
      </c>
      <c r="C1095" t="s">
        <v>2232</v>
      </c>
      <c r="D1095" t="s">
        <v>188</v>
      </c>
      <c r="F1095">
        <v>625092681</v>
      </c>
      <c r="G1095">
        <v>608623097</v>
      </c>
      <c r="H1095">
        <v>-199589366</v>
      </c>
      <c r="I1095">
        <v>368148630</v>
      </c>
      <c r="J1095">
        <v>60097159</v>
      </c>
      <c r="K1095">
        <v>90058526</v>
      </c>
      <c r="L1095">
        <v>242247311</v>
      </c>
      <c r="M1095">
        <v>246366453</v>
      </c>
      <c r="N1095">
        <v>194177694</v>
      </c>
      <c r="O1095">
        <v>-307381734</v>
      </c>
      <c r="P1095">
        <v>420</v>
      </c>
      <c r="Q1095" t="s">
        <v>2233</v>
      </c>
    </row>
    <row r="1096" spans="1:17" x14ac:dyDescent="0.3">
      <c r="A1096" t="s">
        <v>17</v>
      </c>
      <c r="B1096" t="str">
        <f>"603027"</f>
        <v>603027</v>
      </c>
      <c r="C1096" t="s">
        <v>2234</v>
      </c>
      <c r="D1096" t="s">
        <v>123</v>
      </c>
      <c r="F1096">
        <v>-96836535</v>
      </c>
      <c r="G1096">
        <v>167135799</v>
      </c>
      <c r="H1096">
        <v>-44307409</v>
      </c>
      <c r="I1096">
        <v>90875092</v>
      </c>
      <c r="J1096">
        <v>7723301</v>
      </c>
      <c r="K1096">
        <v>-41709009</v>
      </c>
      <c r="L1096">
        <v>12480401</v>
      </c>
      <c r="M1096">
        <v>-17272968</v>
      </c>
      <c r="N1096">
        <v>-1619250</v>
      </c>
      <c r="P1096">
        <v>1884</v>
      </c>
      <c r="Q1096" t="s">
        <v>2235</v>
      </c>
    </row>
    <row r="1097" spans="1:17" x14ac:dyDescent="0.3">
      <c r="A1097" t="s">
        <v>17</v>
      </c>
      <c r="B1097" t="str">
        <f>"603028"</f>
        <v>603028</v>
      </c>
      <c r="C1097" t="s">
        <v>2236</v>
      </c>
      <c r="D1097" t="s">
        <v>78</v>
      </c>
      <c r="F1097">
        <v>-15156316</v>
      </c>
      <c r="G1097">
        <v>40478178</v>
      </c>
      <c r="H1097">
        <v>145852708</v>
      </c>
      <c r="I1097">
        <v>-28284726</v>
      </c>
      <c r="J1097">
        <v>22347893</v>
      </c>
      <c r="K1097">
        <v>-16421030</v>
      </c>
      <c r="L1097">
        <v>27098426</v>
      </c>
      <c r="M1097">
        <v>-17263819</v>
      </c>
      <c r="N1097">
        <v>7580705</v>
      </c>
      <c r="P1097">
        <v>53</v>
      </c>
      <c r="Q1097" t="s">
        <v>2237</v>
      </c>
    </row>
    <row r="1098" spans="1:17" x14ac:dyDescent="0.3">
      <c r="A1098" t="s">
        <v>17</v>
      </c>
      <c r="B1098" t="str">
        <f>"603029"</f>
        <v>603029</v>
      </c>
      <c r="C1098" t="s">
        <v>2238</v>
      </c>
      <c r="D1098" t="s">
        <v>78</v>
      </c>
      <c r="F1098">
        <v>136322393</v>
      </c>
      <c r="G1098">
        <v>-12703958</v>
      </c>
      <c r="H1098">
        <v>96661262</v>
      </c>
      <c r="I1098">
        <v>-41191721</v>
      </c>
      <c r="J1098">
        <v>-1549553</v>
      </c>
      <c r="K1098">
        <v>54931140</v>
      </c>
      <c r="L1098">
        <v>16924861</v>
      </c>
      <c r="M1098">
        <v>12590980</v>
      </c>
      <c r="N1098">
        <v>62224400</v>
      </c>
      <c r="P1098">
        <v>62</v>
      </c>
      <c r="Q1098" t="s">
        <v>2239</v>
      </c>
    </row>
    <row r="1099" spans="1:17" x14ac:dyDescent="0.3">
      <c r="A1099" t="s">
        <v>17</v>
      </c>
      <c r="B1099" t="str">
        <f>"603030"</f>
        <v>603030</v>
      </c>
      <c r="C1099" t="s">
        <v>2240</v>
      </c>
      <c r="D1099" t="s">
        <v>95</v>
      </c>
      <c r="F1099">
        <v>-291813707</v>
      </c>
      <c r="G1099">
        <v>259450629</v>
      </c>
      <c r="H1099">
        <v>115308448</v>
      </c>
      <c r="I1099">
        <v>122852801</v>
      </c>
      <c r="J1099">
        <v>-324672402</v>
      </c>
      <c r="K1099">
        <v>-353424244</v>
      </c>
      <c r="L1099">
        <v>-372889891</v>
      </c>
      <c r="M1099">
        <v>-115389401</v>
      </c>
      <c r="N1099">
        <v>-29616636</v>
      </c>
      <c r="O1099">
        <v>12700931</v>
      </c>
      <c r="P1099">
        <v>126</v>
      </c>
      <c r="Q1099" t="s">
        <v>2241</v>
      </c>
    </row>
    <row r="1100" spans="1:17" x14ac:dyDescent="0.3">
      <c r="A1100" t="s">
        <v>17</v>
      </c>
      <c r="B1100" t="str">
        <f>"603031"</f>
        <v>603031</v>
      </c>
      <c r="C1100" t="s">
        <v>2242</v>
      </c>
      <c r="D1100" t="s">
        <v>120</v>
      </c>
      <c r="F1100">
        <v>1472830</v>
      </c>
      <c r="G1100">
        <v>33408000</v>
      </c>
      <c r="H1100">
        <v>29141772</v>
      </c>
      <c r="I1100">
        <v>-141191740</v>
      </c>
      <c r="J1100">
        <v>46117574</v>
      </c>
      <c r="K1100">
        <v>60022517</v>
      </c>
      <c r="L1100">
        <v>56751596</v>
      </c>
      <c r="M1100">
        <v>-58520869</v>
      </c>
      <c r="N1100">
        <v>-46598013</v>
      </c>
      <c r="P1100">
        <v>70</v>
      </c>
      <c r="Q1100" t="s">
        <v>2243</v>
      </c>
    </row>
    <row r="1101" spans="1:17" x14ac:dyDescent="0.3">
      <c r="A1101" t="s">
        <v>17</v>
      </c>
      <c r="B1101" t="str">
        <f>"603032"</f>
        <v>603032</v>
      </c>
      <c r="C1101" t="s">
        <v>2244</v>
      </c>
      <c r="D1101" t="s">
        <v>22</v>
      </c>
      <c r="F1101">
        <v>48827777</v>
      </c>
      <c r="G1101">
        <v>-14226335</v>
      </c>
      <c r="H1101">
        <v>29152375</v>
      </c>
      <c r="I1101">
        <v>-20642362</v>
      </c>
      <c r="J1101">
        <v>16139530</v>
      </c>
      <c r="K1101">
        <v>96024660</v>
      </c>
      <c r="L1101">
        <v>48202090</v>
      </c>
      <c r="M1101">
        <v>73643210</v>
      </c>
      <c r="N1101">
        <v>47620224</v>
      </c>
      <c r="P1101">
        <v>73</v>
      </c>
      <c r="Q1101" t="s">
        <v>2245</v>
      </c>
    </row>
    <row r="1102" spans="1:17" x14ac:dyDescent="0.3">
      <c r="A1102" t="s">
        <v>17</v>
      </c>
      <c r="B1102" t="str">
        <f>"603033"</f>
        <v>603033</v>
      </c>
      <c r="C1102" t="s">
        <v>2246</v>
      </c>
      <c r="D1102" t="s">
        <v>133</v>
      </c>
      <c r="F1102">
        <v>-104354058</v>
      </c>
      <c r="G1102">
        <v>-379771020</v>
      </c>
      <c r="H1102">
        <v>-686991243</v>
      </c>
      <c r="I1102">
        <v>-342613377</v>
      </c>
      <c r="J1102">
        <v>-138456873</v>
      </c>
      <c r="K1102">
        <v>113281712</v>
      </c>
      <c r="L1102">
        <v>52332755</v>
      </c>
      <c r="M1102">
        <v>-16534455</v>
      </c>
      <c r="N1102">
        <v>44951575</v>
      </c>
      <c r="P1102">
        <v>99</v>
      </c>
      <c r="Q1102" t="s">
        <v>2247</v>
      </c>
    </row>
    <row r="1103" spans="1:17" x14ac:dyDescent="0.3">
      <c r="A1103" t="s">
        <v>17</v>
      </c>
      <c r="B1103" t="str">
        <f>"603035"</f>
        <v>603035</v>
      </c>
      <c r="C1103" t="s">
        <v>2248</v>
      </c>
      <c r="D1103" t="s">
        <v>27</v>
      </c>
      <c r="F1103">
        <v>133447618</v>
      </c>
      <c r="G1103">
        <v>-22935804</v>
      </c>
      <c r="H1103">
        <v>-57237473</v>
      </c>
      <c r="I1103">
        <v>-600714749</v>
      </c>
      <c r="J1103">
        <v>-223861236</v>
      </c>
      <c r="K1103">
        <v>-30525175</v>
      </c>
      <c r="L1103">
        <v>48699744</v>
      </c>
      <c r="M1103">
        <v>30952196</v>
      </c>
      <c r="N1103">
        <v>-70693641</v>
      </c>
      <c r="P1103">
        <v>244</v>
      </c>
      <c r="Q1103" t="s">
        <v>2249</v>
      </c>
    </row>
    <row r="1104" spans="1:17" x14ac:dyDescent="0.3">
      <c r="A1104" t="s">
        <v>17</v>
      </c>
      <c r="B1104" t="str">
        <f>"603036"</f>
        <v>603036</v>
      </c>
      <c r="C1104" t="s">
        <v>2250</v>
      </c>
      <c r="D1104" t="s">
        <v>78</v>
      </c>
      <c r="F1104">
        <v>-8628652</v>
      </c>
      <c r="G1104">
        <v>49077090</v>
      </c>
      <c r="H1104">
        <v>47758029</v>
      </c>
      <c r="I1104">
        <v>13530825</v>
      </c>
      <c r="J1104">
        <v>32911469</v>
      </c>
      <c r="K1104">
        <v>22213130</v>
      </c>
      <c r="L1104">
        <v>53052240</v>
      </c>
      <c r="M1104">
        <v>13236997</v>
      </c>
      <c r="N1104">
        <v>72796333</v>
      </c>
      <c r="P1104">
        <v>61</v>
      </c>
      <c r="Q1104" t="s">
        <v>2251</v>
      </c>
    </row>
    <row r="1105" spans="1:17" x14ac:dyDescent="0.3">
      <c r="A1105" t="s">
        <v>17</v>
      </c>
      <c r="B1105" t="str">
        <f>"603037"</f>
        <v>603037</v>
      </c>
      <c r="C1105" t="s">
        <v>2252</v>
      </c>
      <c r="D1105" t="s">
        <v>27</v>
      </c>
      <c r="F1105">
        <v>38020721</v>
      </c>
      <c r="G1105">
        <v>123714923</v>
      </c>
      <c r="H1105">
        <v>38096840</v>
      </c>
      <c r="I1105">
        <v>53812397</v>
      </c>
      <c r="J1105">
        <v>31412255</v>
      </c>
      <c r="K1105">
        <v>5275835</v>
      </c>
      <c r="L1105">
        <v>45421213</v>
      </c>
      <c r="M1105">
        <v>19522353</v>
      </c>
      <c r="N1105">
        <v>-4907708</v>
      </c>
      <c r="P1105">
        <v>230</v>
      </c>
      <c r="Q1105" t="s">
        <v>2253</v>
      </c>
    </row>
    <row r="1106" spans="1:17" x14ac:dyDescent="0.3">
      <c r="A1106" t="s">
        <v>17</v>
      </c>
      <c r="B1106" t="str">
        <f>"603038"</f>
        <v>603038</v>
      </c>
      <c r="C1106" t="s">
        <v>2254</v>
      </c>
      <c r="D1106" t="s">
        <v>350</v>
      </c>
      <c r="F1106">
        <v>-312369204</v>
      </c>
      <c r="G1106">
        <v>-43302404</v>
      </c>
      <c r="H1106">
        <v>33194090</v>
      </c>
      <c r="I1106">
        <v>-11265538</v>
      </c>
      <c r="J1106">
        <v>-102920073</v>
      </c>
      <c r="K1106">
        <v>33528424</v>
      </c>
      <c r="L1106">
        <v>84387952</v>
      </c>
      <c r="M1106">
        <v>-11043212</v>
      </c>
      <c r="N1106">
        <v>-21096639</v>
      </c>
      <c r="P1106">
        <v>70</v>
      </c>
      <c r="Q1106" t="s">
        <v>2255</v>
      </c>
    </row>
    <row r="1107" spans="1:17" x14ac:dyDescent="0.3">
      <c r="A1107" t="s">
        <v>17</v>
      </c>
      <c r="B1107" t="str">
        <f>"603039"</f>
        <v>603039</v>
      </c>
      <c r="C1107" t="s">
        <v>2256</v>
      </c>
      <c r="D1107" t="s">
        <v>212</v>
      </c>
      <c r="F1107">
        <v>324380629</v>
      </c>
      <c r="G1107">
        <v>237635013</v>
      </c>
      <c r="H1107">
        <v>191971011</v>
      </c>
      <c r="I1107">
        <v>157691901</v>
      </c>
      <c r="J1107">
        <v>125532820</v>
      </c>
      <c r="K1107">
        <v>111395260</v>
      </c>
      <c r="L1107">
        <v>27099826</v>
      </c>
      <c r="M1107">
        <v>58892016</v>
      </c>
      <c r="N1107">
        <v>60828504</v>
      </c>
      <c r="P1107">
        <v>609</v>
      </c>
      <c r="Q1107" t="s">
        <v>2257</v>
      </c>
    </row>
    <row r="1108" spans="1:17" x14ac:dyDescent="0.3">
      <c r="A1108" t="s">
        <v>17</v>
      </c>
      <c r="B1108" t="str">
        <f>"603040"</f>
        <v>603040</v>
      </c>
      <c r="C1108" t="s">
        <v>2258</v>
      </c>
      <c r="D1108" t="s">
        <v>27</v>
      </c>
      <c r="F1108">
        <v>-8770569</v>
      </c>
      <c r="G1108">
        <v>48738281</v>
      </c>
      <c r="H1108">
        <v>36334002</v>
      </c>
      <c r="I1108">
        <v>24264648</v>
      </c>
      <c r="J1108">
        <v>61862967</v>
      </c>
      <c r="K1108">
        <v>31147060</v>
      </c>
      <c r="L1108">
        <v>8149167</v>
      </c>
      <c r="M1108">
        <v>2127836</v>
      </c>
      <c r="N1108">
        <v>1530972</v>
      </c>
      <c r="P1108">
        <v>616</v>
      </c>
      <c r="Q1108" t="s">
        <v>2259</v>
      </c>
    </row>
    <row r="1109" spans="1:17" x14ac:dyDescent="0.3">
      <c r="A1109" t="s">
        <v>17</v>
      </c>
      <c r="B1109" t="str">
        <f>"603041"</f>
        <v>603041</v>
      </c>
      <c r="C1109" t="s">
        <v>2260</v>
      </c>
      <c r="D1109" t="s">
        <v>133</v>
      </c>
      <c r="F1109">
        <v>-56153791</v>
      </c>
      <c r="G1109">
        <v>104151792</v>
      </c>
      <c r="H1109">
        <v>70411709</v>
      </c>
      <c r="I1109">
        <v>-3898413</v>
      </c>
      <c r="J1109">
        <v>50479385</v>
      </c>
      <c r="K1109">
        <v>77217619</v>
      </c>
      <c r="L1109">
        <v>68539591</v>
      </c>
      <c r="M1109">
        <v>3019394</v>
      </c>
      <c r="P1109">
        <v>98</v>
      </c>
      <c r="Q1109" t="s">
        <v>2261</v>
      </c>
    </row>
    <row r="1110" spans="1:17" x14ac:dyDescent="0.3">
      <c r="A1110" t="s">
        <v>17</v>
      </c>
      <c r="B1110" t="str">
        <f>"603042"</f>
        <v>603042</v>
      </c>
      <c r="C1110" t="s">
        <v>2262</v>
      </c>
      <c r="D1110" t="s">
        <v>100</v>
      </c>
      <c r="F1110">
        <v>-102137627</v>
      </c>
      <c r="G1110">
        <v>26864279</v>
      </c>
      <c r="H1110">
        <v>-139138108</v>
      </c>
      <c r="I1110">
        <v>-380934690</v>
      </c>
      <c r="J1110">
        <v>-188968867</v>
      </c>
      <c r="K1110">
        <v>76734039</v>
      </c>
      <c r="L1110">
        <v>36599155</v>
      </c>
      <c r="M1110">
        <v>14939206</v>
      </c>
      <c r="P1110">
        <v>122</v>
      </c>
      <c r="Q1110" t="s">
        <v>2263</v>
      </c>
    </row>
    <row r="1111" spans="1:17" x14ac:dyDescent="0.3">
      <c r="A1111" t="s">
        <v>17</v>
      </c>
      <c r="B1111" t="str">
        <f>"603043"</f>
        <v>603043</v>
      </c>
      <c r="C1111" t="s">
        <v>2264</v>
      </c>
      <c r="D1111" t="s">
        <v>123</v>
      </c>
      <c r="F1111">
        <v>421198027</v>
      </c>
      <c r="G1111">
        <v>520701295</v>
      </c>
      <c r="H1111">
        <v>90447945</v>
      </c>
      <c r="I1111">
        <v>177798286</v>
      </c>
      <c r="J1111">
        <v>334338183</v>
      </c>
      <c r="K1111">
        <v>294133602</v>
      </c>
      <c r="L1111">
        <v>190100060</v>
      </c>
      <c r="M1111">
        <v>224099594</v>
      </c>
      <c r="P1111">
        <v>1511</v>
      </c>
      <c r="Q1111" t="s">
        <v>2265</v>
      </c>
    </row>
    <row r="1112" spans="1:17" x14ac:dyDescent="0.3">
      <c r="A1112" t="s">
        <v>17</v>
      </c>
      <c r="B1112" t="str">
        <f>"603045"</f>
        <v>603045</v>
      </c>
      <c r="C1112" t="s">
        <v>2266</v>
      </c>
      <c r="D1112" t="s">
        <v>234</v>
      </c>
      <c r="F1112">
        <v>-269746202</v>
      </c>
      <c r="G1112">
        <v>-99632010</v>
      </c>
      <c r="H1112">
        <v>-181904132</v>
      </c>
      <c r="I1112">
        <v>29895502</v>
      </c>
      <c r="J1112">
        <v>-86279662</v>
      </c>
      <c r="K1112">
        <v>-19843702</v>
      </c>
      <c r="L1112">
        <v>57679315</v>
      </c>
      <c r="M1112">
        <v>-3923709</v>
      </c>
      <c r="P1112">
        <v>54</v>
      </c>
      <c r="Q1112" t="s">
        <v>2267</v>
      </c>
    </row>
    <row r="1113" spans="1:17" x14ac:dyDescent="0.3">
      <c r="A1113" t="s">
        <v>17</v>
      </c>
      <c r="B1113" t="str">
        <f>"603048"</f>
        <v>603048</v>
      </c>
      <c r="C1113" t="s">
        <v>2268</v>
      </c>
      <c r="D1113" t="s">
        <v>27</v>
      </c>
      <c r="F1113">
        <v>-1393627</v>
      </c>
      <c r="G1113">
        <v>105060780</v>
      </c>
      <c r="H1113">
        <v>61912316</v>
      </c>
      <c r="I1113">
        <v>79360655</v>
      </c>
      <c r="J1113">
        <v>11015638</v>
      </c>
      <c r="P1113">
        <v>16</v>
      </c>
      <c r="Q1113" t="s">
        <v>2269</v>
      </c>
    </row>
    <row r="1114" spans="1:17" x14ac:dyDescent="0.3">
      <c r="A1114" t="s">
        <v>17</v>
      </c>
      <c r="B1114" t="str">
        <f>"603050"</f>
        <v>603050</v>
      </c>
      <c r="C1114" t="s">
        <v>2270</v>
      </c>
      <c r="D1114" t="s">
        <v>188</v>
      </c>
      <c r="F1114">
        <v>-274535068</v>
      </c>
      <c r="G1114">
        <v>-81746943</v>
      </c>
      <c r="H1114">
        <v>-36874217</v>
      </c>
      <c r="I1114">
        <v>-57269054</v>
      </c>
      <c r="J1114">
        <v>-134549320</v>
      </c>
      <c r="K1114">
        <v>51872397</v>
      </c>
      <c r="L1114">
        <v>43154611</v>
      </c>
      <c r="M1114">
        <v>-38351185</v>
      </c>
      <c r="P1114">
        <v>124</v>
      </c>
      <c r="Q1114" t="s">
        <v>2271</v>
      </c>
    </row>
    <row r="1115" spans="1:17" x14ac:dyDescent="0.3">
      <c r="A1115" t="s">
        <v>17</v>
      </c>
      <c r="B1115" t="str">
        <f>"603051"</f>
        <v>603051</v>
      </c>
      <c r="C1115" t="s">
        <v>2272</v>
      </c>
      <c r="F1115">
        <v>-90512798</v>
      </c>
      <c r="G1115">
        <v>-99330224</v>
      </c>
      <c r="H1115">
        <v>42520743</v>
      </c>
      <c r="I1115">
        <v>6519985</v>
      </c>
      <c r="P1115">
        <v>3</v>
      </c>
      <c r="Q1115" t="s">
        <v>2273</v>
      </c>
    </row>
    <row r="1116" spans="1:17" x14ac:dyDescent="0.3">
      <c r="A1116" t="s">
        <v>17</v>
      </c>
      <c r="B1116" t="str">
        <f>"603053"</f>
        <v>603053</v>
      </c>
      <c r="C1116" t="s">
        <v>2274</v>
      </c>
      <c r="D1116" t="s">
        <v>41</v>
      </c>
      <c r="F1116">
        <v>388123981</v>
      </c>
      <c r="G1116">
        <v>313527915</v>
      </c>
      <c r="H1116">
        <v>387011852</v>
      </c>
      <c r="I1116">
        <v>308928164</v>
      </c>
      <c r="J1116">
        <v>499411201</v>
      </c>
      <c r="K1116">
        <v>247343438</v>
      </c>
      <c r="P1116">
        <v>118</v>
      </c>
      <c r="Q1116" t="s">
        <v>2275</v>
      </c>
    </row>
    <row r="1117" spans="1:17" x14ac:dyDescent="0.3">
      <c r="A1117" t="s">
        <v>17</v>
      </c>
      <c r="B1117" t="str">
        <f>"603055"</f>
        <v>603055</v>
      </c>
      <c r="C1117" t="s">
        <v>2276</v>
      </c>
      <c r="D1117" t="s">
        <v>227</v>
      </c>
      <c r="F1117">
        <v>-147719206</v>
      </c>
      <c r="G1117">
        <v>-474240301</v>
      </c>
      <c r="H1117">
        <v>-516700557</v>
      </c>
      <c r="I1117">
        <v>-75898207</v>
      </c>
      <c r="J1117">
        <v>247992912</v>
      </c>
      <c r="K1117">
        <v>741707075</v>
      </c>
      <c r="L1117">
        <v>432987611</v>
      </c>
      <c r="M1117">
        <v>141234384</v>
      </c>
      <c r="P1117">
        <v>146</v>
      </c>
      <c r="Q1117" t="s">
        <v>2277</v>
      </c>
    </row>
    <row r="1118" spans="1:17" x14ac:dyDescent="0.3">
      <c r="A1118" t="s">
        <v>17</v>
      </c>
      <c r="B1118" t="str">
        <f>"603056"</f>
        <v>603056</v>
      </c>
      <c r="C1118" t="s">
        <v>2278</v>
      </c>
      <c r="D1118" t="s">
        <v>22</v>
      </c>
      <c r="F1118">
        <v>-587233279</v>
      </c>
      <c r="G1118">
        <v>-206541622</v>
      </c>
      <c r="H1118">
        <v>-818483551</v>
      </c>
      <c r="I1118">
        <v>784258496</v>
      </c>
      <c r="J1118">
        <v>1019556502</v>
      </c>
      <c r="K1118">
        <v>-822966619</v>
      </c>
      <c r="L1118">
        <v>495715719</v>
      </c>
      <c r="M1118">
        <v>764744530</v>
      </c>
      <c r="P1118">
        <v>412</v>
      </c>
      <c r="Q1118" t="s">
        <v>2279</v>
      </c>
    </row>
    <row r="1119" spans="1:17" x14ac:dyDescent="0.3">
      <c r="A1119" t="s">
        <v>17</v>
      </c>
      <c r="B1119" t="str">
        <f>"603058"</f>
        <v>603058</v>
      </c>
      <c r="C1119" t="s">
        <v>2280</v>
      </c>
      <c r="D1119" t="s">
        <v>161</v>
      </c>
      <c r="F1119">
        <v>-118510396</v>
      </c>
      <c r="G1119">
        <v>90228503</v>
      </c>
      <c r="H1119">
        <v>23929206</v>
      </c>
      <c r="I1119">
        <v>74437218</v>
      </c>
      <c r="J1119">
        <v>68391823</v>
      </c>
      <c r="K1119">
        <v>98215754</v>
      </c>
      <c r="L1119">
        <v>103209826</v>
      </c>
      <c r="M1119">
        <v>62214925</v>
      </c>
      <c r="N1119">
        <v>117671739</v>
      </c>
      <c r="P1119">
        <v>121</v>
      </c>
      <c r="Q1119" t="s">
        <v>2281</v>
      </c>
    </row>
    <row r="1120" spans="1:17" x14ac:dyDescent="0.3">
      <c r="A1120" t="s">
        <v>17</v>
      </c>
      <c r="B1120" t="str">
        <f>"603059"</f>
        <v>603059</v>
      </c>
      <c r="C1120" t="s">
        <v>2282</v>
      </c>
      <c r="D1120" t="s">
        <v>481</v>
      </c>
      <c r="F1120">
        <v>-70463676</v>
      </c>
      <c r="G1120">
        <v>-21822200</v>
      </c>
      <c r="H1120">
        <v>20553313</v>
      </c>
      <c r="I1120">
        <v>-31417885</v>
      </c>
      <c r="J1120">
        <v>41130754</v>
      </c>
      <c r="K1120">
        <v>28061216</v>
      </c>
      <c r="L1120">
        <v>54518668</v>
      </c>
      <c r="P1120">
        <v>99</v>
      </c>
      <c r="Q1120" t="s">
        <v>2283</v>
      </c>
    </row>
    <row r="1121" spans="1:17" x14ac:dyDescent="0.3">
      <c r="A1121" t="s">
        <v>17</v>
      </c>
      <c r="B1121" t="str">
        <f>"603060"</f>
        <v>603060</v>
      </c>
      <c r="C1121" t="s">
        <v>2284</v>
      </c>
      <c r="D1121" t="s">
        <v>110</v>
      </c>
      <c r="F1121">
        <v>9808381</v>
      </c>
      <c r="G1121">
        <v>-4904958</v>
      </c>
      <c r="H1121">
        <v>-94472861</v>
      </c>
      <c r="I1121">
        <v>139160642</v>
      </c>
      <c r="J1121">
        <v>60657621</v>
      </c>
      <c r="K1121">
        <v>144158671</v>
      </c>
      <c r="L1121">
        <v>133736485</v>
      </c>
      <c r="M1121">
        <v>112738308</v>
      </c>
      <c r="N1121">
        <v>-92668807</v>
      </c>
      <c r="P1121">
        <v>508</v>
      </c>
      <c r="Q1121" t="s">
        <v>2285</v>
      </c>
    </row>
    <row r="1122" spans="1:17" x14ac:dyDescent="0.3">
      <c r="A1122" t="s">
        <v>17</v>
      </c>
      <c r="B1122" t="str">
        <f>"603063"</f>
        <v>603063</v>
      </c>
      <c r="C1122" t="s">
        <v>2286</v>
      </c>
      <c r="D1122" t="s">
        <v>188</v>
      </c>
      <c r="F1122">
        <v>-561016121</v>
      </c>
      <c r="G1122">
        <v>-154909355</v>
      </c>
      <c r="H1122">
        <v>-51165139</v>
      </c>
      <c r="I1122">
        <v>-42736031</v>
      </c>
      <c r="J1122">
        <v>63246345</v>
      </c>
      <c r="K1122">
        <v>165473148</v>
      </c>
      <c r="L1122">
        <v>7073249</v>
      </c>
      <c r="M1122">
        <v>78374340</v>
      </c>
      <c r="P1122">
        <v>213</v>
      </c>
      <c r="Q1122" t="s">
        <v>2287</v>
      </c>
    </row>
    <row r="1123" spans="1:17" x14ac:dyDescent="0.3">
      <c r="A1123" t="s">
        <v>17</v>
      </c>
      <c r="B1123" t="str">
        <f>"603066"</f>
        <v>603066</v>
      </c>
      <c r="C1123" t="s">
        <v>2288</v>
      </c>
      <c r="D1123" t="s">
        <v>22</v>
      </c>
      <c r="F1123">
        <v>7841884</v>
      </c>
      <c r="G1123">
        <v>53398603</v>
      </c>
      <c r="H1123">
        <v>12591300</v>
      </c>
      <c r="I1123">
        <v>-9335799</v>
      </c>
      <c r="J1123">
        <v>34623200</v>
      </c>
      <c r="K1123">
        <v>21609612</v>
      </c>
      <c r="L1123">
        <v>81905715</v>
      </c>
      <c r="M1123">
        <v>25232382</v>
      </c>
      <c r="N1123">
        <v>10924557</v>
      </c>
      <c r="O1123">
        <v>46440838</v>
      </c>
      <c r="P1123">
        <v>116</v>
      </c>
      <c r="Q1123" t="s">
        <v>2289</v>
      </c>
    </row>
    <row r="1124" spans="1:17" x14ac:dyDescent="0.3">
      <c r="A1124" t="s">
        <v>17</v>
      </c>
      <c r="B1124" t="str">
        <f>"603067"</f>
        <v>603067</v>
      </c>
      <c r="C1124" t="s">
        <v>2290</v>
      </c>
      <c r="D1124" t="s">
        <v>133</v>
      </c>
      <c r="F1124">
        <v>81043744</v>
      </c>
      <c r="G1124">
        <v>-90245909</v>
      </c>
      <c r="H1124">
        <v>210484561</v>
      </c>
      <c r="I1124">
        <v>70749216</v>
      </c>
      <c r="J1124">
        <v>-26585163</v>
      </c>
      <c r="K1124">
        <v>48674635</v>
      </c>
      <c r="L1124">
        <v>5259869</v>
      </c>
      <c r="M1124">
        <v>46705022</v>
      </c>
      <c r="N1124">
        <v>-15209276</v>
      </c>
      <c r="P1124">
        <v>137</v>
      </c>
      <c r="Q1124" t="s">
        <v>2291</v>
      </c>
    </row>
    <row r="1125" spans="1:17" x14ac:dyDescent="0.3">
      <c r="A1125" t="s">
        <v>17</v>
      </c>
      <c r="B1125" t="str">
        <f>"603068"</f>
        <v>603068</v>
      </c>
      <c r="C1125" t="s">
        <v>2292</v>
      </c>
      <c r="D1125" t="s">
        <v>150</v>
      </c>
      <c r="F1125">
        <v>120083362</v>
      </c>
      <c r="G1125">
        <v>-87084291</v>
      </c>
      <c r="H1125">
        <v>-1505338</v>
      </c>
      <c r="I1125">
        <v>80405798</v>
      </c>
      <c r="J1125">
        <v>45465937</v>
      </c>
      <c r="K1125">
        <v>55151309</v>
      </c>
      <c r="P1125">
        <v>345</v>
      </c>
      <c r="Q1125" t="s">
        <v>2293</v>
      </c>
    </row>
    <row r="1126" spans="1:17" x14ac:dyDescent="0.3">
      <c r="A1126" t="s">
        <v>17</v>
      </c>
      <c r="B1126" t="str">
        <f>"603069"</f>
        <v>603069</v>
      </c>
      <c r="C1126" t="s">
        <v>2294</v>
      </c>
      <c r="D1126" t="s">
        <v>22</v>
      </c>
      <c r="F1126">
        <v>-182415335</v>
      </c>
      <c r="G1126">
        <v>-152766922</v>
      </c>
      <c r="H1126">
        <v>-106033424</v>
      </c>
      <c r="I1126">
        <v>-541515</v>
      </c>
      <c r="J1126">
        <v>2182698</v>
      </c>
      <c r="K1126">
        <v>9596447</v>
      </c>
      <c r="L1126">
        <v>116344163</v>
      </c>
      <c r="M1126">
        <v>159829947</v>
      </c>
      <c r="N1126">
        <v>23560322</v>
      </c>
      <c r="P1126">
        <v>98</v>
      </c>
      <c r="Q1126" t="s">
        <v>2295</v>
      </c>
    </row>
    <row r="1127" spans="1:17" x14ac:dyDescent="0.3">
      <c r="A1127" t="s">
        <v>17</v>
      </c>
      <c r="B1127" t="str">
        <f>"603070"</f>
        <v>603070</v>
      </c>
      <c r="C1127" t="s">
        <v>2296</v>
      </c>
      <c r="F1127">
        <v>-67151417</v>
      </c>
      <c r="G1127">
        <v>144899406</v>
      </c>
      <c r="H1127">
        <v>151294498</v>
      </c>
      <c r="I1127">
        <v>-32394620</v>
      </c>
      <c r="P1127">
        <v>10</v>
      </c>
      <c r="Q1127" t="s">
        <v>2297</v>
      </c>
    </row>
    <row r="1128" spans="1:17" x14ac:dyDescent="0.3">
      <c r="A1128" t="s">
        <v>17</v>
      </c>
      <c r="B1128" t="str">
        <f>"603071"</f>
        <v>603071</v>
      </c>
      <c r="C1128" t="s">
        <v>2298</v>
      </c>
      <c r="D1128" t="s">
        <v>41</v>
      </c>
      <c r="F1128">
        <v>1441105985</v>
      </c>
      <c r="G1128">
        <v>104300765</v>
      </c>
      <c r="H1128">
        <v>1101169083</v>
      </c>
      <c r="I1128">
        <v>863947567</v>
      </c>
      <c r="J1128">
        <v>38159701</v>
      </c>
      <c r="P1128">
        <v>19</v>
      </c>
      <c r="Q1128" t="s">
        <v>2299</v>
      </c>
    </row>
    <row r="1129" spans="1:17" x14ac:dyDescent="0.3">
      <c r="A1129" t="s">
        <v>17</v>
      </c>
      <c r="B1129" t="str">
        <f>"603076"</f>
        <v>603076</v>
      </c>
      <c r="C1129" t="s">
        <v>2300</v>
      </c>
      <c r="D1129" t="s">
        <v>78</v>
      </c>
      <c r="F1129">
        <v>-401318421</v>
      </c>
      <c r="G1129">
        <v>82678668</v>
      </c>
      <c r="H1129">
        <v>98910494</v>
      </c>
      <c r="I1129">
        <v>-61100406</v>
      </c>
      <c r="J1129">
        <v>61042030</v>
      </c>
      <c r="K1129">
        <v>96350970</v>
      </c>
      <c r="L1129">
        <v>86599738</v>
      </c>
      <c r="M1129">
        <v>55271979</v>
      </c>
      <c r="P1129">
        <v>87</v>
      </c>
      <c r="Q1129" t="s">
        <v>2301</v>
      </c>
    </row>
    <row r="1130" spans="1:17" x14ac:dyDescent="0.3">
      <c r="A1130" t="s">
        <v>17</v>
      </c>
      <c r="B1130" t="str">
        <f>"603077"</f>
        <v>603077</v>
      </c>
      <c r="C1130" t="s">
        <v>2302</v>
      </c>
      <c r="D1130" t="s">
        <v>133</v>
      </c>
      <c r="F1130">
        <v>1462021552</v>
      </c>
      <c r="G1130">
        <v>176803136</v>
      </c>
      <c r="H1130">
        <v>-498792785</v>
      </c>
      <c r="I1130">
        <v>581064695</v>
      </c>
      <c r="J1130">
        <v>-329435199</v>
      </c>
      <c r="K1130">
        <v>-86339082</v>
      </c>
      <c r="L1130">
        <v>-681272460</v>
      </c>
      <c r="M1130">
        <v>-512092359</v>
      </c>
      <c r="N1130">
        <v>-1006012472</v>
      </c>
      <c r="O1130">
        <v>-138868250</v>
      </c>
      <c r="P1130">
        <v>265</v>
      </c>
      <c r="Q1130" t="s">
        <v>2303</v>
      </c>
    </row>
    <row r="1131" spans="1:17" x14ac:dyDescent="0.3">
      <c r="A1131" t="s">
        <v>17</v>
      </c>
      <c r="B1131" t="str">
        <f>"603078"</f>
        <v>603078</v>
      </c>
      <c r="C1131" t="s">
        <v>2304</v>
      </c>
      <c r="D1131" t="s">
        <v>150</v>
      </c>
      <c r="F1131">
        <v>-278815861</v>
      </c>
      <c r="G1131">
        <v>-288007356</v>
      </c>
      <c r="H1131">
        <v>-154675756</v>
      </c>
      <c r="I1131">
        <v>-145449233</v>
      </c>
      <c r="J1131">
        <v>-44395597</v>
      </c>
      <c r="K1131">
        <v>62793872</v>
      </c>
      <c r="L1131">
        <v>74375795</v>
      </c>
      <c r="M1131">
        <v>46726747</v>
      </c>
      <c r="P1131">
        <v>226</v>
      </c>
      <c r="Q1131" t="s">
        <v>2305</v>
      </c>
    </row>
    <row r="1132" spans="1:17" x14ac:dyDescent="0.3">
      <c r="A1132" t="s">
        <v>17</v>
      </c>
      <c r="B1132" t="str">
        <f>"603079"</f>
        <v>603079</v>
      </c>
      <c r="C1132" t="s">
        <v>2306</v>
      </c>
      <c r="D1132" t="s">
        <v>113</v>
      </c>
      <c r="F1132">
        <v>-24567788</v>
      </c>
      <c r="G1132">
        <v>248784898</v>
      </c>
      <c r="H1132">
        <v>-125902379</v>
      </c>
      <c r="I1132">
        <v>-55719236</v>
      </c>
      <c r="J1132">
        <v>48572774</v>
      </c>
      <c r="K1132">
        <v>19292953</v>
      </c>
      <c r="L1132">
        <v>126848088</v>
      </c>
      <c r="M1132">
        <v>12183546</v>
      </c>
      <c r="P1132">
        <v>239</v>
      </c>
      <c r="Q1132" t="s">
        <v>2307</v>
      </c>
    </row>
    <row r="1133" spans="1:17" x14ac:dyDescent="0.3">
      <c r="A1133" t="s">
        <v>17</v>
      </c>
      <c r="B1133" t="str">
        <f>"603080"</f>
        <v>603080</v>
      </c>
      <c r="C1133" t="s">
        <v>2308</v>
      </c>
      <c r="D1133" t="s">
        <v>41</v>
      </c>
      <c r="F1133">
        <v>48678285</v>
      </c>
      <c r="G1133">
        <v>124281823</v>
      </c>
      <c r="H1133">
        <v>95333575</v>
      </c>
      <c r="I1133">
        <v>46169408</v>
      </c>
      <c r="J1133">
        <v>6633868</v>
      </c>
      <c r="K1133">
        <v>-3502392</v>
      </c>
      <c r="L1133">
        <v>79730736</v>
      </c>
      <c r="M1133">
        <v>59429846</v>
      </c>
      <c r="P1133">
        <v>93</v>
      </c>
      <c r="Q1133" t="s">
        <v>2309</v>
      </c>
    </row>
    <row r="1134" spans="1:17" x14ac:dyDescent="0.3">
      <c r="A1134" t="s">
        <v>17</v>
      </c>
      <c r="B1134" t="str">
        <f>"603081"</f>
        <v>603081</v>
      </c>
      <c r="C1134" t="s">
        <v>2310</v>
      </c>
      <c r="D1134" t="s">
        <v>95</v>
      </c>
      <c r="F1134">
        <v>-594961829</v>
      </c>
      <c r="G1134">
        <v>-329498938</v>
      </c>
      <c r="H1134">
        <v>20680258</v>
      </c>
      <c r="I1134">
        <v>-56655835</v>
      </c>
      <c r="J1134">
        <v>86310504</v>
      </c>
      <c r="K1134">
        <v>197094341</v>
      </c>
      <c r="L1134">
        <v>82207887</v>
      </c>
      <c r="M1134">
        <v>-10624079</v>
      </c>
      <c r="P1134">
        <v>144</v>
      </c>
      <c r="Q1134" t="s">
        <v>2311</v>
      </c>
    </row>
    <row r="1135" spans="1:17" x14ac:dyDescent="0.3">
      <c r="A1135" t="s">
        <v>17</v>
      </c>
      <c r="B1135" t="str">
        <f>"603083"</f>
        <v>603083</v>
      </c>
      <c r="C1135" t="s">
        <v>2312</v>
      </c>
      <c r="D1135" t="s">
        <v>100</v>
      </c>
      <c r="F1135">
        <v>-48677118</v>
      </c>
      <c r="G1135">
        <v>-823473955</v>
      </c>
      <c r="H1135">
        <v>-4218862</v>
      </c>
      <c r="I1135">
        <v>-583289142</v>
      </c>
      <c r="J1135">
        <v>-75563612</v>
      </c>
      <c r="K1135">
        <v>-148698348</v>
      </c>
      <c r="L1135">
        <v>125168819</v>
      </c>
      <c r="M1135">
        <v>139940153</v>
      </c>
      <c r="P1135">
        <v>272</v>
      </c>
      <c r="Q1135" t="s">
        <v>2313</v>
      </c>
    </row>
    <row r="1136" spans="1:17" x14ac:dyDescent="0.3">
      <c r="A1136" t="s">
        <v>17</v>
      </c>
      <c r="B1136" t="str">
        <f>"603085"</f>
        <v>603085</v>
      </c>
      <c r="C1136" t="s">
        <v>2314</v>
      </c>
      <c r="D1136" t="s">
        <v>27</v>
      </c>
      <c r="F1136">
        <v>-57937223</v>
      </c>
      <c r="G1136">
        <v>-25750470</v>
      </c>
      <c r="H1136">
        <v>-111379757</v>
      </c>
      <c r="I1136">
        <v>-258890245</v>
      </c>
      <c r="J1136">
        <v>-268008305</v>
      </c>
      <c r="K1136">
        <v>-101539574</v>
      </c>
      <c r="L1136">
        <v>-10754792</v>
      </c>
      <c r="M1136">
        <v>14383847</v>
      </c>
      <c r="N1136">
        <v>-18281914</v>
      </c>
      <c r="O1136">
        <v>20691945</v>
      </c>
      <c r="P1136">
        <v>81</v>
      </c>
      <c r="Q1136" t="s">
        <v>2315</v>
      </c>
    </row>
    <row r="1137" spans="1:17" x14ac:dyDescent="0.3">
      <c r="A1137" t="s">
        <v>17</v>
      </c>
      <c r="B1137" t="str">
        <f>"603086"</f>
        <v>603086</v>
      </c>
      <c r="C1137" t="s">
        <v>2316</v>
      </c>
      <c r="D1137" t="s">
        <v>133</v>
      </c>
      <c r="F1137">
        <v>27054643</v>
      </c>
      <c r="G1137">
        <v>233078717</v>
      </c>
      <c r="H1137">
        <v>64196380</v>
      </c>
      <c r="I1137">
        <v>-169504075</v>
      </c>
      <c r="J1137">
        <v>43439908</v>
      </c>
      <c r="K1137">
        <v>56978849</v>
      </c>
      <c r="L1137">
        <v>-43211589</v>
      </c>
      <c r="M1137">
        <v>86329309</v>
      </c>
      <c r="P1137">
        <v>124</v>
      </c>
      <c r="Q1137" t="s">
        <v>2317</v>
      </c>
    </row>
    <row r="1138" spans="1:17" x14ac:dyDescent="0.3">
      <c r="A1138" t="s">
        <v>17</v>
      </c>
      <c r="B1138" t="str">
        <f>"603087"</f>
        <v>603087</v>
      </c>
      <c r="C1138" t="s">
        <v>2318</v>
      </c>
      <c r="D1138" t="s">
        <v>113</v>
      </c>
      <c r="F1138">
        <v>387110272</v>
      </c>
      <c r="G1138">
        <v>660055546</v>
      </c>
      <c r="H1138">
        <v>750987491</v>
      </c>
      <c r="I1138">
        <v>-95258289</v>
      </c>
      <c r="J1138">
        <v>518652054</v>
      </c>
      <c r="K1138">
        <v>427658273</v>
      </c>
      <c r="P1138">
        <v>677</v>
      </c>
      <c r="Q1138" t="s">
        <v>2319</v>
      </c>
    </row>
    <row r="1139" spans="1:17" x14ac:dyDescent="0.3">
      <c r="A1139" t="s">
        <v>17</v>
      </c>
      <c r="B1139" t="str">
        <f>"603088"</f>
        <v>603088</v>
      </c>
      <c r="C1139" t="s">
        <v>2320</v>
      </c>
      <c r="D1139" t="s">
        <v>78</v>
      </c>
      <c r="F1139">
        <v>145600522</v>
      </c>
      <c r="G1139">
        <v>113100451</v>
      </c>
      <c r="H1139">
        <v>37758913</v>
      </c>
      <c r="I1139">
        <v>75190665</v>
      </c>
      <c r="J1139">
        <v>19791377</v>
      </c>
      <c r="K1139">
        <v>37819772</v>
      </c>
      <c r="L1139">
        <v>-52737298</v>
      </c>
      <c r="M1139">
        <v>18043843</v>
      </c>
      <c r="N1139">
        <v>10627663</v>
      </c>
      <c r="O1139">
        <v>-12375538</v>
      </c>
      <c r="P1139">
        <v>107</v>
      </c>
      <c r="Q1139" t="s">
        <v>2321</v>
      </c>
    </row>
    <row r="1140" spans="1:17" x14ac:dyDescent="0.3">
      <c r="A1140" t="s">
        <v>17</v>
      </c>
      <c r="B1140" t="str">
        <f>"603089"</f>
        <v>603089</v>
      </c>
      <c r="C1140" t="s">
        <v>2322</v>
      </c>
      <c r="D1140" t="s">
        <v>27</v>
      </c>
      <c r="F1140">
        <v>-252343186</v>
      </c>
      <c r="G1140">
        <v>8052286</v>
      </c>
      <c r="H1140">
        <v>-7861369</v>
      </c>
      <c r="I1140">
        <v>19059900</v>
      </c>
      <c r="J1140">
        <v>26895845</v>
      </c>
      <c r="K1140">
        <v>51628424</v>
      </c>
      <c r="L1140">
        <v>83432195</v>
      </c>
      <c r="M1140">
        <v>56943096</v>
      </c>
      <c r="N1140">
        <v>91732090</v>
      </c>
      <c r="P1140">
        <v>111</v>
      </c>
      <c r="Q1140" t="s">
        <v>2323</v>
      </c>
    </row>
    <row r="1141" spans="1:17" x14ac:dyDescent="0.3">
      <c r="A1141" t="s">
        <v>17</v>
      </c>
      <c r="B1141" t="str">
        <f>"603090"</f>
        <v>603090</v>
      </c>
      <c r="C1141" t="s">
        <v>2324</v>
      </c>
      <c r="D1141" t="s">
        <v>78</v>
      </c>
      <c r="F1141">
        <v>-79687866</v>
      </c>
      <c r="G1141">
        <v>21991422</v>
      </c>
      <c r="H1141">
        <v>-7001615</v>
      </c>
      <c r="I1141">
        <v>-15882034</v>
      </c>
      <c r="J1141">
        <v>-34645429</v>
      </c>
      <c r="K1141">
        <v>14789575</v>
      </c>
      <c r="L1141">
        <v>25307910</v>
      </c>
      <c r="M1141">
        <v>23522415</v>
      </c>
      <c r="N1141">
        <v>10948190</v>
      </c>
      <c r="P1141">
        <v>51</v>
      </c>
      <c r="Q1141" t="s">
        <v>2325</v>
      </c>
    </row>
    <row r="1142" spans="1:17" x14ac:dyDescent="0.3">
      <c r="A1142" t="s">
        <v>17</v>
      </c>
      <c r="B1142" t="str">
        <f>"603093"</f>
        <v>603093</v>
      </c>
      <c r="C1142" t="s">
        <v>2326</v>
      </c>
      <c r="D1142" t="s">
        <v>75</v>
      </c>
      <c r="F1142">
        <v>4888656852</v>
      </c>
      <c r="G1142">
        <v>4907375742</v>
      </c>
      <c r="H1142">
        <v>278506345</v>
      </c>
      <c r="I1142">
        <v>-1573942872</v>
      </c>
      <c r="J1142">
        <v>-2726212438</v>
      </c>
      <c r="K1142">
        <v>455924349</v>
      </c>
      <c r="L1142">
        <v>2604897600</v>
      </c>
      <c r="M1142">
        <v>1291589834</v>
      </c>
      <c r="N1142">
        <v>497069200</v>
      </c>
      <c r="O1142">
        <v>408736800</v>
      </c>
      <c r="P1142">
        <v>84</v>
      </c>
      <c r="Q1142" t="s">
        <v>2327</v>
      </c>
    </row>
    <row r="1143" spans="1:17" x14ac:dyDescent="0.3">
      <c r="A1143" t="s">
        <v>17</v>
      </c>
      <c r="B1143" t="str">
        <f>"603095"</f>
        <v>603095</v>
      </c>
      <c r="C1143" t="s">
        <v>2328</v>
      </c>
      <c r="D1143" t="s">
        <v>78</v>
      </c>
      <c r="F1143">
        <v>-8539125</v>
      </c>
      <c r="G1143">
        <v>16970068</v>
      </c>
      <c r="H1143">
        <v>141810640</v>
      </c>
      <c r="I1143">
        <v>-41136221</v>
      </c>
      <c r="J1143">
        <v>73689247</v>
      </c>
      <c r="P1143">
        <v>64</v>
      </c>
      <c r="Q1143" t="s">
        <v>2329</v>
      </c>
    </row>
    <row r="1144" spans="1:17" x14ac:dyDescent="0.3">
      <c r="A1144" t="s">
        <v>17</v>
      </c>
      <c r="B1144" t="str">
        <f>"603096"</f>
        <v>603096</v>
      </c>
      <c r="C1144" t="s">
        <v>2330</v>
      </c>
      <c r="D1144" t="s">
        <v>89</v>
      </c>
      <c r="F1144">
        <v>101978059</v>
      </c>
      <c r="G1144">
        <v>135521784</v>
      </c>
      <c r="H1144">
        <v>209435313</v>
      </c>
      <c r="I1144">
        <v>-23807834</v>
      </c>
      <c r="J1144">
        <v>113689094</v>
      </c>
      <c r="K1144">
        <v>147695796</v>
      </c>
      <c r="L1144">
        <v>217622728</v>
      </c>
      <c r="M1144">
        <v>-5990161</v>
      </c>
      <c r="P1144">
        <v>222</v>
      </c>
      <c r="Q1144" t="s">
        <v>2331</v>
      </c>
    </row>
    <row r="1145" spans="1:17" x14ac:dyDescent="0.3">
      <c r="A1145" t="s">
        <v>17</v>
      </c>
      <c r="B1145" t="str">
        <f>"603097"</f>
        <v>603097</v>
      </c>
      <c r="C1145" t="s">
        <v>2332</v>
      </c>
      <c r="F1145">
        <v>-58480577</v>
      </c>
      <c r="G1145">
        <v>31322502</v>
      </c>
      <c r="H1145">
        <v>48397908</v>
      </c>
      <c r="I1145">
        <v>-5055704</v>
      </c>
      <c r="Q1145" t="s">
        <v>2333</v>
      </c>
    </row>
    <row r="1146" spans="1:17" x14ac:dyDescent="0.3">
      <c r="A1146" t="s">
        <v>17</v>
      </c>
      <c r="B1146" t="str">
        <f>"603098"</f>
        <v>603098</v>
      </c>
      <c r="C1146" t="s">
        <v>2334</v>
      </c>
      <c r="D1146" t="s">
        <v>95</v>
      </c>
      <c r="F1146">
        <v>-35532610</v>
      </c>
      <c r="G1146">
        <v>-24660781</v>
      </c>
      <c r="H1146">
        <v>203932989</v>
      </c>
      <c r="I1146">
        <v>-200278320</v>
      </c>
      <c r="J1146">
        <v>-178901429</v>
      </c>
      <c r="K1146">
        <v>13156735</v>
      </c>
      <c r="L1146">
        <v>34065418</v>
      </c>
      <c r="M1146">
        <v>-52460526</v>
      </c>
      <c r="N1146">
        <v>-79908115</v>
      </c>
      <c r="P1146">
        <v>158</v>
      </c>
      <c r="Q1146" t="s">
        <v>2335</v>
      </c>
    </row>
    <row r="1147" spans="1:17" x14ac:dyDescent="0.3">
      <c r="A1147" t="s">
        <v>17</v>
      </c>
      <c r="B1147" t="str">
        <f>"603099"</f>
        <v>603099</v>
      </c>
      <c r="C1147" t="s">
        <v>2336</v>
      </c>
      <c r="D1147" t="s">
        <v>110</v>
      </c>
      <c r="F1147">
        <v>-22958486</v>
      </c>
      <c r="G1147">
        <v>-47029064</v>
      </c>
      <c r="H1147">
        <v>55393145</v>
      </c>
      <c r="I1147">
        <v>-35421612</v>
      </c>
      <c r="J1147">
        <v>-79174582</v>
      </c>
      <c r="K1147">
        <v>-185675297</v>
      </c>
      <c r="L1147">
        <v>-13605166</v>
      </c>
      <c r="M1147">
        <v>41917623</v>
      </c>
      <c r="N1147">
        <v>45631104</v>
      </c>
      <c r="O1147">
        <v>71858123</v>
      </c>
      <c r="P1147">
        <v>97</v>
      </c>
      <c r="Q1147" t="s">
        <v>2337</v>
      </c>
    </row>
    <row r="1148" spans="1:17" x14ac:dyDescent="0.3">
      <c r="A1148" t="s">
        <v>17</v>
      </c>
      <c r="B1148" t="str">
        <f>"603100"</f>
        <v>603100</v>
      </c>
      <c r="C1148" t="s">
        <v>2338</v>
      </c>
      <c r="D1148" t="s">
        <v>78</v>
      </c>
      <c r="F1148">
        <v>884121651</v>
      </c>
      <c r="G1148">
        <v>507274512</v>
      </c>
      <c r="H1148">
        <v>512919759</v>
      </c>
      <c r="I1148">
        <v>122144667</v>
      </c>
      <c r="J1148">
        <v>-227534197</v>
      </c>
      <c r="K1148">
        <v>59923073</v>
      </c>
      <c r="L1148">
        <v>108989027</v>
      </c>
      <c r="M1148">
        <v>-16668660</v>
      </c>
      <c r="N1148">
        <v>-221587186</v>
      </c>
      <c r="O1148">
        <v>145511166</v>
      </c>
      <c r="P1148">
        <v>194</v>
      </c>
      <c r="Q1148" t="s">
        <v>2339</v>
      </c>
    </row>
    <row r="1149" spans="1:17" x14ac:dyDescent="0.3">
      <c r="A1149" t="s">
        <v>17</v>
      </c>
      <c r="B1149" t="str">
        <f>"603101"</f>
        <v>603101</v>
      </c>
      <c r="C1149" t="s">
        <v>2340</v>
      </c>
      <c r="D1149" t="s">
        <v>120</v>
      </c>
      <c r="F1149">
        <v>62592497</v>
      </c>
      <c r="G1149">
        <v>-59721668</v>
      </c>
      <c r="H1149">
        <v>302565937</v>
      </c>
      <c r="I1149">
        <v>-388878766</v>
      </c>
      <c r="J1149">
        <v>193714710</v>
      </c>
      <c r="K1149">
        <v>-65752025</v>
      </c>
      <c r="L1149">
        <v>144353558</v>
      </c>
      <c r="M1149">
        <v>-61074019</v>
      </c>
      <c r="N1149">
        <v>-60899637</v>
      </c>
      <c r="P1149">
        <v>69</v>
      </c>
      <c r="Q1149" t="s">
        <v>2341</v>
      </c>
    </row>
    <row r="1150" spans="1:17" x14ac:dyDescent="0.3">
      <c r="A1150" t="s">
        <v>17</v>
      </c>
      <c r="B1150" t="str">
        <f>"603102"</f>
        <v>603102</v>
      </c>
      <c r="C1150" t="s">
        <v>2342</v>
      </c>
      <c r="F1150">
        <v>44604828</v>
      </c>
      <c r="G1150">
        <v>116028236</v>
      </c>
      <c r="H1150">
        <v>101432342</v>
      </c>
      <c r="I1150">
        <v>28212410</v>
      </c>
      <c r="J1150">
        <v>58902877</v>
      </c>
      <c r="P1150">
        <v>13</v>
      </c>
      <c r="Q1150" t="s">
        <v>2343</v>
      </c>
    </row>
    <row r="1151" spans="1:17" x14ac:dyDescent="0.3">
      <c r="A1151" t="s">
        <v>17</v>
      </c>
      <c r="B1151" t="str">
        <f>"603103"</f>
        <v>603103</v>
      </c>
      <c r="C1151" t="s">
        <v>2344</v>
      </c>
      <c r="D1151" t="s">
        <v>89</v>
      </c>
      <c r="F1151">
        <v>296392449</v>
      </c>
      <c r="G1151">
        <v>-227287527</v>
      </c>
      <c r="H1151">
        <v>161854960</v>
      </c>
      <c r="I1151">
        <v>242924473</v>
      </c>
      <c r="J1151">
        <v>187477814</v>
      </c>
      <c r="K1151">
        <v>132286739</v>
      </c>
      <c r="L1151">
        <v>462250564</v>
      </c>
      <c r="M1151">
        <v>-85586454</v>
      </c>
      <c r="P1151">
        <v>241</v>
      </c>
      <c r="Q1151" t="s">
        <v>2345</v>
      </c>
    </row>
    <row r="1152" spans="1:17" x14ac:dyDescent="0.3">
      <c r="A1152" t="s">
        <v>17</v>
      </c>
      <c r="B1152" t="str">
        <f>"603105"</f>
        <v>603105</v>
      </c>
      <c r="C1152" t="s">
        <v>2346</v>
      </c>
      <c r="D1152" t="s">
        <v>41</v>
      </c>
      <c r="F1152">
        <v>38112204</v>
      </c>
      <c r="G1152">
        <v>52609922</v>
      </c>
      <c r="H1152">
        <v>-55108866</v>
      </c>
      <c r="I1152">
        <v>-592928942</v>
      </c>
      <c r="J1152">
        <v>-169465017</v>
      </c>
      <c r="K1152">
        <v>-352085818</v>
      </c>
      <c r="L1152">
        <v>71838961</v>
      </c>
      <c r="P1152">
        <v>146</v>
      </c>
      <c r="Q1152" t="s">
        <v>2347</v>
      </c>
    </row>
    <row r="1153" spans="1:17" x14ac:dyDescent="0.3">
      <c r="A1153" t="s">
        <v>17</v>
      </c>
      <c r="B1153" t="str">
        <f>"603106"</f>
        <v>603106</v>
      </c>
      <c r="C1153" t="s">
        <v>2348</v>
      </c>
      <c r="D1153" t="s">
        <v>212</v>
      </c>
      <c r="F1153">
        <v>-93106083</v>
      </c>
      <c r="G1153">
        <v>-88568084</v>
      </c>
      <c r="H1153">
        <v>21143829</v>
      </c>
      <c r="I1153">
        <v>83233065</v>
      </c>
      <c r="J1153">
        <v>210414898</v>
      </c>
      <c r="K1153">
        <v>93476356</v>
      </c>
      <c r="L1153">
        <v>-1394978</v>
      </c>
      <c r="M1153">
        <v>158634813</v>
      </c>
      <c r="P1153">
        <v>2938</v>
      </c>
      <c r="Q1153" t="s">
        <v>2349</v>
      </c>
    </row>
    <row r="1154" spans="1:17" x14ac:dyDescent="0.3">
      <c r="A1154" t="s">
        <v>17</v>
      </c>
      <c r="B1154" t="str">
        <f>"603108"</f>
        <v>603108</v>
      </c>
      <c r="C1154" t="s">
        <v>2350</v>
      </c>
      <c r="D1154" t="s">
        <v>113</v>
      </c>
      <c r="F1154">
        <v>86467195</v>
      </c>
      <c r="G1154">
        <v>5893662</v>
      </c>
      <c r="H1154">
        <v>17010902</v>
      </c>
      <c r="I1154">
        <v>286965481</v>
      </c>
      <c r="J1154">
        <v>-430991252</v>
      </c>
      <c r="K1154">
        <v>-408148998</v>
      </c>
      <c r="L1154">
        <v>-454652599</v>
      </c>
      <c r="M1154">
        <v>-87332871</v>
      </c>
      <c r="N1154">
        <v>-52683449</v>
      </c>
      <c r="O1154">
        <v>-8653743</v>
      </c>
      <c r="P1154">
        <v>336</v>
      </c>
      <c r="Q1154" t="s">
        <v>2351</v>
      </c>
    </row>
    <row r="1155" spans="1:17" x14ac:dyDescent="0.3">
      <c r="A1155" t="s">
        <v>17</v>
      </c>
      <c r="B1155" t="str">
        <f>"603109"</f>
        <v>603109</v>
      </c>
      <c r="C1155" t="s">
        <v>2352</v>
      </c>
      <c r="D1155" t="s">
        <v>27</v>
      </c>
      <c r="F1155">
        <v>-200541473</v>
      </c>
      <c r="G1155">
        <v>114960714</v>
      </c>
      <c r="H1155">
        <v>135427936</v>
      </c>
      <c r="I1155">
        <v>127268653</v>
      </c>
      <c r="J1155">
        <v>17371100</v>
      </c>
      <c r="K1155">
        <v>107707919</v>
      </c>
      <c r="P1155">
        <v>80</v>
      </c>
      <c r="Q1155" t="s">
        <v>2353</v>
      </c>
    </row>
    <row r="1156" spans="1:17" x14ac:dyDescent="0.3">
      <c r="A1156" t="s">
        <v>17</v>
      </c>
      <c r="B1156" t="str">
        <f>"603110"</f>
        <v>603110</v>
      </c>
      <c r="C1156" t="s">
        <v>2354</v>
      </c>
      <c r="D1156" t="s">
        <v>133</v>
      </c>
      <c r="F1156">
        <v>80128882</v>
      </c>
      <c r="G1156">
        <v>43637033</v>
      </c>
      <c r="H1156">
        <v>71924212</v>
      </c>
      <c r="I1156">
        <v>19304980</v>
      </c>
      <c r="J1156">
        <v>46356004</v>
      </c>
      <c r="K1156">
        <v>45563636</v>
      </c>
      <c r="L1156">
        <v>57472006</v>
      </c>
      <c r="M1156">
        <v>30273108</v>
      </c>
      <c r="P1156">
        <v>71</v>
      </c>
      <c r="Q1156" t="s">
        <v>2355</v>
      </c>
    </row>
    <row r="1157" spans="1:17" x14ac:dyDescent="0.3">
      <c r="A1157" t="s">
        <v>17</v>
      </c>
      <c r="B1157" t="str">
        <f>"603111"</f>
        <v>603111</v>
      </c>
      <c r="C1157" t="s">
        <v>2356</v>
      </c>
      <c r="D1157" t="s">
        <v>78</v>
      </c>
      <c r="F1157">
        <v>393669452</v>
      </c>
      <c r="G1157">
        <v>507182991</v>
      </c>
      <c r="H1157">
        <v>322290709</v>
      </c>
      <c r="I1157">
        <v>-474096714</v>
      </c>
      <c r="J1157">
        <v>62401671</v>
      </c>
      <c r="K1157">
        <v>-62291314</v>
      </c>
      <c r="L1157">
        <v>-34289177</v>
      </c>
      <c r="M1157">
        <v>161095644</v>
      </c>
      <c r="N1157">
        <v>71175403</v>
      </c>
      <c r="O1157">
        <v>101213841</v>
      </c>
      <c r="P1157">
        <v>440</v>
      </c>
      <c r="Q1157" t="s">
        <v>2357</v>
      </c>
    </row>
    <row r="1158" spans="1:17" x14ac:dyDescent="0.3">
      <c r="A1158" t="s">
        <v>17</v>
      </c>
      <c r="B1158" t="str">
        <f>"603112"</f>
        <v>603112</v>
      </c>
      <c r="C1158" t="s">
        <v>2358</v>
      </c>
      <c r="D1158" t="s">
        <v>126</v>
      </c>
      <c r="F1158">
        <v>-182049625</v>
      </c>
      <c r="G1158">
        <v>35144258</v>
      </c>
      <c r="H1158">
        <v>6855441</v>
      </c>
      <c r="I1158">
        <v>111094753</v>
      </c>
      <c r="J1158">
        <v>-5471142</v>
      </c>
      <c r="K1158">
        <v>113301289</v>
      </c>
      <c r="P1158">
        <v>48</v>
      </c>
      <c r="Q1158" t="s">
        <v>2359</v>
      </c>
    </row>
    <row r="1159" spans="1:17" x14ac:dyDescent="0.3">
      <c r="A1159" t="s">
        <v>17</v>
      </c>
      <c r="B1159" t="str">
        <f>"603113"</f>
        <v>603113</v>
      </c>
      <c r="C1159" t="s">
        <v>2360</v>
      </c>
      <c r="D1159" t="s">
        <v>257</v>
      </c>
      <c r="F1159">
        <v>-601984044</v>
      </c>
      <c r="G1159">
        <v>-1071060738</v>
      </c>
      <c r="H1159">
        <v>-867132983</v>
      </c>
      <c r="I1159">
        <v>925305694</v>
      </c>
      <c r="J1159">
        <v>124497448</v>
      </c>
      <c r="K1159">
        <v>268550020</v>
      </c>
      <c r="L1159">
        <v>288963259</v>
      </c>
      <c r="M1159">
        <v>330101993</v>
      </c>
      <c r="P1159">
        <v>302</v>
      </c>
      <c r="Q1159" t="s">
        <v>2361</v>
      </c>
    </row>
    <row r="1160" spans="1:17" x14ac:dyDescent="0.3">
      <c r="A1160" t="s">
        <v>17</v>
      </c>
      <c r="B1160" t="str">
        <f>"603115"</f>
        <v>603115</v>
      </c>
      <c r="C1160" t="s">
        <v>2362</v>
      </c>
      <c r="D1160" t="s">
        <v>234</v>
      </c>
      <c r="F1160">
        <v>109932031</v>
      </c>
      <c r="G1160">
        <v>-126612243</v>
      </c>
      <c r="H1160">
        <v>33047244</v>
      </c>
      <c r="I1160">
        <v>139928816</v>
      </c>
      <c r="J1160">
        <v>117986841</v>
      </c>
      <c r="K1160">
        <v>98832270</v>
      </c>
      <c r="P1160">
        <v>89</v>
      </c>
      <c r="Q1160" t="s">
        <v>2363</v>
      </c>
    </row>
    <row r="1161" spans="1:17" x14ac:dyDescent="0.3">
      <c r="A1161" t="s">
        <v>17</v>
      </c>
      <c r="B1161" t="str">
        <f>"603116"</f>
        <v>603116</v>
      </c>
      <c r="C1161" t="s">
        <v>2364</v>
      </c>
      <c r="D1161" t="s">
        <v>227</v>
      </c>
      <c r="F1161">
        <v>75558064</v>
      </c>
      <c r="G1161">
        <v>233586824</v>
      </c>
      <c r="H1161">
        <v>81825840</v>
      </c>
      <c r="I1161">
        <v>155152965</v>
      </c>
      <c r="J1161">
        <v>49455434</v>
      </c>
      <c r="K1161">
        <v>34623424</v>
      </c>
      <c r="L1161">
        <v>326668558</v>
      </c>
      <c r="M1161">
        <v>545911003</v>
      </c>
      <c r="N1161">
        <v>273225174</v>
      </c>
      <c r="O1161">
        <v>28426655</v>
      </c>
      <c r="P1161">
        <v>102</v>
      </c>
      <c r="Q1161" t="s">
        <v>2365</v>
      </c>
    </row>
    <row r="1162" spans="1:17" x14ac:dyDescent="0.3">
      <c r="A1162" t="s">
        <v>17</v>
      </c>
      <c r="B1162" t="str">
        <f>"603117"</f>
        <v>603117</v>
      </c>
      <c r="C1162" t="s">
        <v>2366</v>
      </c>
      <c r="D1162" t="s">
        <v>22</v>
      </c>
      <c r="F1162">
        <v>-930028965</v>
      </c>
      <c r="G1162">
        <v>-1194694090</v>
      </c>
      <c r="H1162">
        <v>-903171824</v>
      </c>
      <c r="I1162">
        <v>-760396807</v>
      </c>
      <c r="J1162">
        <v>-640544552</v>
      </c>
      <c r="K1162">
        <v>-309893035</v>
      </c>
      <c r="L1162">
        <v>-56830918</v>
      </c>
      <c r="M1162">
        <v>122057066</v>
      </c>
      <c r="N1162">
        <v>219989236</v>
      </c>
      <c r="O1162">
        <v>92416238</v>
      </c>
      <c r="P1162">
        <v>64</v>
      </c>
      <c r="Q1162" t="s">
        <v>2367</v>
      </c>
    </row>
    <row r="1163" spans="1:17" x14ac:dyDescent="0.3">
      <c r="A1163" t="s">
        <v>17</v>
      </c>
      <c r="B1163" t="str">
        <f>"603118"</f>
        <v>603118</v>
      </c>
      <c r="C1163" t="s">
        <v>2368</v>
      </c>
      <c r="D1163" t="s">
        <v>100</v>
      </c>
      <c r="F1163">
        <v>77168141</v>
      </c>
      <c r="G1163">
        <v>21020555</v>
      </c>
      <c r="H1163">
        <v>621977688</v>
      </c>
      <c r="I1163">
        <v>37517995</v>
      </c>
      <c r="J1163">
        <v>-335390244</v>
      </c>
      <c r="K1163">
        <v>547862778</v>
      </c>
      <c r="L1163">
        <v>-628592779</v>
      </c>
      <c r="M1163">
        <v>122181410</v>
      </c>
      <c r="N1163">
        <v>-52587762</v>
      </c>
      <c r="O1163">
        <v>-203045078</v>
      </c>
      <c r="P1163">
        <v>243</v>
      </c>
      <c r="Q1163" t="s">
        <v>2369</v>
      </c>
    </row>
    <row r="1164" spans="1:17" x14ac:dyDescent="0.3">
      <c r="A1164" t="s">
        <v>17</v>
      </c>
      <c r="B1164" t="str">
        <f>"603121"</f>
        <v>603121</v>
      </c>
      <c r="C1164" t="s">
        <v>2370</v>
      </c>
      <c r="D1164" t="s">
        <v>27</v>
      </c>
      <c r="F1164">
        <v>-53387918</v>
      </c>
      <c r="G1164">
        <v>47612172</v>
      </c>
      <c r="H1164">
        <v>-60021366</v>
      </c>
      <c r="I1164">
        <v>-64339938</v>
      </c>
      <c r="J1164">
        <v>14005452</v>
      </c>
      <c r="K1164">
        <v>9092849</v>
      </c>
      <c r="L1164">
        <v>79640600</v>
      </c>
      <c r="P1164">
        <v>77</v>
      </c>
      <c r="Q1164" t="s">
        <v>2371</v>
      </c>
    </row>
    <row r="1165" spans="1:17" x14ac:dyDescent="0.3">
      <c r="A1165" t="s">
        <v>17</v>
      </c>
      <c r="B1165" t="str">
        <f>"603122"</f>
        <v>603122</v>
      </c>
      <c r="C1165" t="s">
        <v>2372</v>
      </c>
      <c r="F1165">
        <v>-15081472</v>
      </c>
      <c r="G1165">
        <v>66047488</v>
      </c>
      <c r="H1165">
        <v>-64193131</v>
      </c>
      <c r="I1165">
        <v>-88340155</v>
      </c>
      <c r="J1165">
        <v>-5783600</v>
      </c>
      <c r="P1165">
        <v>12</v>
      </c>
      <c r="Q1165" t="s">
        <v>2373</v>
      </c>
    </row>
    <row r="1166" spans="1:17" x14ac:dyDescent="0.3">
      <c r="A1166" t="s">
        <v>17</v>
      </c>
      <c r="B1166" t="str">
        <f>"603123"</f>
        <v>603123</v>
      </c>
      <c r="C1166" t="s">
        <v>2374</v>
      </c>
      <c r="D1166" t="s">
        <v>120</v>
      </c>
      <c r="F1166">
        <v>-55711367</v>
      </c>
      <c r="G1166">
        <v>-70757639</v>
      </c>
      <c r="H1166">
        <v>200975092</v>
      </c>
      <c r="I1166">
        <v>187099893</v>
      </c>
      <c r="J1166">
        <v>118841886</v>
      </c>
      <c r="K1166">
        <v>177331518</v>
      </c>
      <c r="L1166">
        <v>182322795</v>
      </c>
      <c r="M1166">
        <v>-9385759</v>
      </c>
      <c r="N1166">
        <v>63145370</v>
      </c>
      <c r="O1166">
        <v>365845964</v>
      </c>
      <c r="P1166">
        <v>100</v>
      </c>
      <c r="Q1166" t="s">
        <v>2375</v>
      </c>
    </row>
    <row r="1167" spans="1:17" x14ac:dyDescent="0.3">
      <c r="A1167" t="s">
        <v>17</v>
      </c>
      <c r="B1167" t="str">
        <f>"603126"</f>
        <v>603126</v>
      </c>
      <c r="C1167" t="s">
        <v>2376</v>
      </c>
      <c r="D1167" t="s">
        <v>33</v>
      </c>
      <c r="F1167">
        <v>-125502184</v>
      </c>
      <c r="G1167">
        <v>142679225</v>
      </c>
      <c r="H1167">
        <v>136937906</v>
      </c>
      <c r="I1167">
        <v>279640569</v>
      </c>
      <c r="J1167">
        <v>-44637604</v>
      </c>
      <c r="K1167">
        <v>313683375</v>
      </c>
      <c r="L1167">
        <v>59633330</v>
      </c>
      <c r="M1167">
        <v>-15383932</v>
      </c>
      <c r="N1167">
        <v>49831951</v>
      </c>
      <c r="O1167">
        <v>-108867055</v>
      </c>
      <c r="P1167">
        <v>196</v>
      </c>
      <c r="Q1167" t="s">
        <v>2377</v>
      </c>
    </row>
    <row r="1168" spans="1:17" x14ac:dyDescent="0.3">
      <c r="A1168" t="s">
        <v>17</v>
      </c>
      <c r="B1168" t="str">
        <f>"603127"</f>
        <v>603127</v>
      </c>
      <c r="C1168" t="s">
        <v>2378</v>
      </c>
      <c r="D1168" t="s">
        <v>113</v>
      </c>
      <c r="F1168">
        <v>448657126</v>
      </c>
      <c r="G1168">
        <v>279594615</v>
      </c>
      <c r="H1168">
        <v>21328595</v>
      </c>
      <c r="I1168">
        <v>46152866</v>
      </c>
      <c r="J1168">
        <v>94814536</v>
      </c>
      <c r="K1168">
        <v>66397516</v>
      </c>
      <c r="L1168">
        <v>63061476</v>
      </c>
      <c r="M1168">
        <v>43534981</v>
      </c>
      <c r="P1168">
        <v>1812</v>
      </c>
      <c r="Q1168" t="s">
        <v>2379</v>
      </c>
    </row>
    <row r="1169" spans="1:17" x14ac:dyDescent="0.3">
      <c r="A1169" t="s">
        <v>17</v>
      </c>
      <c r="B1169" t="str">
        <f>"603128"</f>
        <v>603128</v>
      </c>
      <c r="C1169" t="s">
        <v>2380</v>
      </c>
      <c r="D1169" t="s">
        <v>22</v>
      </c>
      <c r="F1169">
        <v>190013803</v>
      </c>
      <c r="G1169">
        <v>741834561</v>
      </c>
      <c r="H1169">
        <v>252994114</v>
      </c>
      <c r="I1169">
        <v>92793118</v>
      </c>
      <c r="J1169">
        <v>263975504</v>
      </c>
      <c r="K1169">
        <v>330946556</v>
      </c>
      <c r="L1169">
        <v>223268283</v>
      </c>
      <c r="M1169">
        <v>178730443</v>
      </c>
      <c r="N1169">
        <v>-273072035</v>
      </c>
      <c r="O1169">
        <v>-240350246</v>
      </c>
      <c r="P1169">
        <v>273</v>
      </c>
      <c r="Q1169" t="s">
        <v>2381</v>
      </c>
    </row>
    <row r="1170" spans="1:17" x14ac:dyDescent="0.3">
      <c r="A1170" t="s">
        <v>17</v>
      </c>
      <c r="B1170" t="str">
        <f>"603129"</f>
        <v>603129</v>
      </c>
      <c r="C1170" t="s">
        <v>2382</v>
      </c>
      <c r="D1170" t="s">
        <v>27</v>
      </c>
      <c r="F1170">
        <v>-121799755</v>
      </c>
      <c r="G1170">
        <v>594714934</v>
      </c>
      <c r="H1170">
        <v>256480299</v>
      </c>
      <c r="I1170">
        <v>85161602</v>
      </c>
      <c r="J1170">
        <v>102423526</v>
      </c>
      <c r="K1170">
        <v>222037904</v>
      </c>
      <c r="L1170">
        <v>97943100</v>
      </c>
      <c r="M1170">
        <v>7317487</v>
      </c>
      <c r="P1170">
        <v>627</v>
      </c>
      <c r="Q1170" t="s">
        <v>2383</v>
      </c>
    </row>
    <row r="1171" spans="1:17" x14ac:dyDescent="0.3">
      <c r="A1171" t="s">
        <v>17</v>
      </c>
      <c r="B1171" t="str">
        <f>"603131"</f>
        <v>603131</v>
      </c>
      <c r="C1171" t="s">
        <v>2384</v>
      </c>
      <c r="D1171" t="s">
        <v>78</v>
      </c>
      <c r="F1171">
        <v>-38549418</v>
      </c>
      <c r="G1171">
        <v>106278885</v>
      </c>
      <c r="H1171">
        <v>-59450050</v>
      </c>
      <c r="I1171">
        <v>-22694377</v>
      </c>
      <c r="J1171">
        <v>77421693</v>
      </c>
      <c r="K1171">
        <v>52371628</v>
      </c>
      <c r="L1171">
        <v>62136758</v>
      </c>
      <c r="M1171">
        <v>36421954</v>
      </c>
      <c r="N1171">
        <v>46412233</v>
      </c>
      <c r="P1171">
        <v>143</v>
      </c>
      <c r="Q1171" t="s">
        <v>2385</v>
      </c>
    </row>
    <row r="1172" spans="1:17" x14ac:dyDescent="0.3">
      <c r="A1172" t="s">
        <v>17</v>
      </c>
      <c r="B1172" t="str">
        <f>"603132"</f>
        <v>603132</v>
      </c>
      <c r="C1172" t="s">
        <v>2386</v>
      </c>
      <c r="F1172">
        <v>665566548</v>
      </c>
      <c r="G1172">
        <v>573714146</v>
      </c>
      <c r="H1172">
        <v>136468500</v>
      </c>
      <c r="I1172">
        <v>-208473041</v>
      </c>
      <c r="P1172">
        <v>10</v>
      </c>
      <c r="Q1172" t="s">
        <v>2387</v>
      </c>
    </row>
    <row r="1173" spans="1:17" x14ac:dyDescent="0.3">
      <c r="A1173" t="s">
        <v>17</v>
      </c>
      <c r="B1173" t="str">
        <f>"603133"</f>
        <v>603133</v>
      </c>
      <c r="C1173" t="s">
        <v>2388</v>
      </c>
      <c r="D1173" t="s">
        <v>150</v>
      </c>
      <c r="F1173">
        <v>143525622</v>
      </c>
      <c r="G1173">
        <v>-23085206</v>
      </c>
      <c r="H1173">
        <v>-411631738</v>
      </c>
      <c r="I1173">
        <v>-220230059</v>
      </c>
      <c r="J1173">
        <v>44683731</v>
      </c>
      <c r="K1173">
        <v>81689104</v>
      </c>
      <c r="L1173">
        <v>53788464</v>
      </c>
      <c r="M1173">
        <v>32535613</v>
      </c>
      <c r="P1173">
        <v>138</v>
      </c>
      <c r="Q1173" t="s">
        <v>2389</v>
      </c>
    </row>
    <row r="1174" spans="1:17" x14ac:dyDescent="0.3">
      <c r="A1174" t="s">
        <v>17</v>
      </c>
      <c r="B1174" t="str">
        <f>"603136"</f>
        <v>603136</v>
      </c>
      <c r="C1174" t="s">
        <v>2390</v>
      </c>
      <c r="D1174" t="s">
        <v>110</v>
      </c>
      <c r="F1174">
        <v>-18905839</v>
      </c>
      <c r="G1174">
        <v>-13191084</v>
      </c>
      <c r="H1174">
        <v>100318473</v>
      </c>
      <c r="I1174">
        <v>171800751</v>
      </c>
      <c r="J1174">
        <v>182176025</v>
      </c>
      <c r="K1174">
        <v>167677314</v>
      </c>
      <c r="L1174">
        <v>129236301</v>
      </c>
      <c r="M1174">
        <v>41155211</v>
      </c>
      <c r="P1174">
        <v>194</v>
      </c>
      <c r="Q1174" t="s">
        <v>2391</v>
      </c>
    </row>
    <row r="1175" spans="1:17" x14ac:dyDescent="0.3">
      <c r="A1175" t="s">
        <v>17</v>
      </c>
      <c r="B1175" t="str">
        <f>"603138"</f>
        <v>603138</v>
      </c>
      <c r="C1175" t="s">
        <v>2392</v>
      </c>
      <c r="D1175" t="s">
        <v>212</v>
      </c>
      <c r="F1175">
        <v>-22423974</v>
      </c>
      <c r="G1175">
        <v>83907934</v>
      </c>
      <c r="H1175">
        <v>26946699</v>
      </c>
      <c r="I1175">
        <v>70530359</v>
      </c>
      <c r="J1175">
        <v>11300746</v>
      </c>
      <c r="K1175">
        <v>34016893</v>
      </c>
      <c r="L1175">
        <v>37468606</v>
      </c>
      <c r="M1175">
        <v>7575670</v>
      </c>
      <c r="P1175">
        <v>147</v>
      </c>
      <c r="Q1175" t="s">
        <v>2393</v>
      </c>
    </row>
    <row r="1176" spans="1:17" x14ac:dyDescent="0.3">
      <c r="A1176" t="s">
        <v>17</v>
      </c>
      <c r="B1176" t="str">
        <f>"603139"</f>
        <v>603139</v>
      </c>
      <c r="C1176" t="s">
        <v>2394</v>
      </c>
      <c r="D1176" t="s">
        <v>113</v>
      </c>
      <c r="F1176">
        <v>-282807571</v>
      </c>
      <c r="G1176">
        <v>-169155603</v>
      </c>
      <c r="H1176">
        <v>26116738</v>
      </c>
      <c r="I1176">
        <v>57059616</v>
      </c>
      <c r="J1176">
        <v>40026069</v>
      </c>
      <c r="K1176">
        <v>66908806</v>
      </c>
      <c r="L1176">
        <v>15910906</v>
      </c>
      <c r="M1176">
        <v>3435369</v>
      </c>
      <c r="P1176">
        <v>97</v>
      </c>
      <c r="Q1176" t="s">
        <v>2395</v>
      </c>
    </row>
    <row r="1177" spans="1:17" x14ac:dyDescent="0.3">
      <c r="A1177" t="s">
        <v>17</v>
      </c>
      <c r="B1177" t="str">
        <f>"603150"</f>
        <v>603150</v>
      </c>
      <c r="C1177" t="s">
        <v>2396</v>
      </c>
      <c r="F1177">
        <v>-90367781</v>
      </c>
      <c r="G1177">
        <v>-167587699</v>
      </c>
      <c r="H1177">
        <v>-207429240</v>
      </c>
      <c r="I1177">
        <v>-130590061</v>
      </c>
      <c r="P1177">
        <v>5</v>
      </c>
      <c r="Q1177" t="s">
        <v>2397</v>
      </c>
    </row>
    <row r="1178" spans="1:17" x14ac:dyDescent="0.3">
      <c r="A1178" t="s">
        <v>17</v>
      </c>
      <c r="B1178" t="str">
        <f>"603155"</f>
        <v>603155</v>
      </c>
      <c r="C1178" t="s">
        <v>2398</v>
      </c>
      <c r="D1178" t="s">
        <v>133</v>
      </c>
      <c r="F1178">
        <v>102875679</v>
      </c>
      <c r="G1178">
        <v>100854285</v>
      </c>
      <c r="H1178">
        <v>168146902</v>
      </c>
      <c r="I1178">
        <v>154438738</v>
      </c>
      <c r="J1178">
        <v>52127136</v>
      </c>
      <c r="P1178">
        <v>76</v>
      </c>
      <c r="Q1178" t="s">
        <v>2399</v>
      </c>
    </row>
    <row r="1179" spans="1:17" x14ac:dyDescent="0.3">
      <c r="A1179" t="s">
        <v>17</v>
      </c>
      <c r="B1179" t="str">
        <f>"603156"</f>
        <v>603156</v>
      </c>
      <c r="C1179" t="s">
        <v>2400</v>
      </c>
      <c r="D1179" t="s">
        <v>123</v>
      </c>
      <c r="F1179">
        <v>1973994356</v>
      </c>
      <c r="G1179">
        <v>810396916</v>
      </c>
      <c r="H1179">
        <v>1474585340</v>
      </c>
      <c r="I1179">
        <v>1934194384</v>
      </c>
      <c r="J1179">
        <v>2070575142</v>
      </c>
      <c r="K1179">
        <v>2298265226</v>
      </c>
      <c r="L1179">
        <v>2338501349</v>
      </c>
      <c r="M1179">
        <v>2264812788</v>
      </c>
      <c r="P1179">
        <v>1237</v>
      </c>
      <c r="Q1179" t="s">
        <v>2401</v>
      </c>
    </row>
    <row r="1180" spans="1:17" x14ac:dyDescent="0.3">
      <c r="A1180" t="s">
        <v>17</v>
      </c>
      <c r="B1180" t="str">
        <f>"603157"</f>
        <v>603157</v>
      </c>
      <c r="C1180" t="s">
        <v>2402</v>
      </c>
      <c r="D1180" t="s">
        <v>227</v>
      </c>
      <c r="F1180">
        <v>34091000</v>
      </c>
      <c r="G1180">
        <v>57237000</v>
      </c>
      <c r="H1180">
        <v>1151599000</v>
      </c>
      <c r="I1180">
        <v>-841948000</v>
      </c>
      <c r="J1180">
        <v>-387862000</v>
      </c>
      <c r="K1180">
        <v>-139688000</v>
      </c>
      <c r="L1180">
        <v>612433000</v>
      </c>
      <c r="M1180">
        <v>352880000</v>
      </c>
      <c r="P1180">
        <v>88</v>
      </c>
      <c r="Q1180" t="s">
        <v>2403</v>
      </c>
    </row>
    <row r="1181" spans="1:17" x14ac:dyDescent="0.3">
      <c r="A1181" t="s">
        <v>17</v>
      </c>
      <c r="B1181" t="str">
        <f>"603158"</f>
        <v>603158</v>
      </c>
      <c r="C1181" t="s">
        <v>2404</v>
      </c>
      <c r="D1181" t="s">
        <v>27</v>
      </c>
      <c r="F1181">
        <v>-77324153</v>
      </c>
      <c r="G1181">
        <v>90835318</v>
      </c>
      <c r="H1181">
        <v>46067747</v>
      </c>
      <c r="I1181">
        <v>49899043</v>
      </c>
      <c r="J1181">
        <v>28269495</v>
      </c>
      <c r="K1181">
        <v>-84562663</v>
      </c>
      <c r="L1181">
        <v>4420206</v>
      </c>
      <c r="M1181">
        <v>78401626</v>
      </c>
      <c r="N1181">
        <v>5896354</v>
      </c>
      <c r="O1181">
        <v>66279946</v>
      </c>
      <c r="P1181">
        <v>145</v>
      </c>
      <c r="Q1181" t="s">
        <v>2405</v>
      </c>
    </row>
    <row r="1182" spans="1:17" x14ac:dyDescent="0.3">
      <c r="A1182" t="s">
        <v>17</v>
      </c>
      <c r="B1182" t="str">
        <f>"603159"</f>
        <v>603159</v>
      </c>
      <c r="C1182" t="s">
        <v>2406</v>
      </c>
      <c r="D1182" t="s">
        <v>78</v>
      </c>
      <c r="F1182">
        <v>28869037</v>
      </c>
      <c r="G1182">
        <v>67369180</v>
      </c>
      <c r="H1182">
        <v>58134134</v>
      </c>
      <c r="I1182">
        <v>-2065247</v>
      </c>
      <c r="J1182">
        <v>-36392915</v>
      </c>
      <c r="K1182">
        <v>-18143418</v>
      </c>
      <c r="L1182">
        <v>38191421</v>
      </c>
      <c r="M1182">
        <v>-10411003</v>
      </c>
      <c r="N1182">
        <v>-11033852</v>
      </c>
      <c r="P1182">
        <v>62</v>
      </c>
      <c r="Q1182" t="s">
        <v>2407</v>
      </c>
    </row>
    <row r="1183" spans="1:17" x14ac:dyDescent="0.3">
      <c r="A1183" t="s">
        <v>17</v>
      </c>
      <c r="B1183" t="str">
        <f>"603160"</f>
        <v>603160</v>
      </c>
      <c r="C1183" t="s">
        <v>2408</v>
      </c>
      <c r="D1183" t="s">
        <v>150</v>
      </c>
      <c r="F1183">
        <v>-276389534</v>
      </c>
      <c r="G1183">
        <v>10245006</v>
      </c>
      <c r="H1183">
        <v>2380802024</v>
      </c>
      <c r="I1183">
        <v>869558907</v>
      </c>
      <c r="J1183">
        <v>1028283888</v>
      </c>
      <c r="K1183">
        <v>-210360344</v>
      </c>
      <c r="L1183">
        <v>194194111</v>
      </c>
      <c r="M1183">
        <v>261694033</v>
      </c>
      <c r="N1183">
        <v>112415977</v>
      </c>
      <c r="P1183">
        <v>2243</v>
      </c>
      <c r="Q1183" t="s">
        <v>2409</v>
      </c>
    </row>
    <row r="1184" spans="1:17" x14ac:dyDescent="0.3">
      <c r="A1184" t="s">
        <v>17</v>
      </c>
      <c r="B1184" t="str">
        <f>"603161"</f>
        <v>603161</v>
      </c>
      <c r="C1184" t="s">
        <v>2410</v>
      </c>
      <c r="D1184" t="s">
        <v>27</v>
      </c>
      <c r="F1184">
        <v>112825651</v>
      </c>
      <c r="G1184">
        <v>-318835027</v>
      </c>
      <c r="H1184">
        <v>-59220409</v>
      </c>
      <c r="I1184">
        <v>-664764665</v>
      </c>
      <c r="J1184">
        <v>-325766506</v>
      </c>
      <c r="K1184">
        <v>-205196689</v>
      </c>
      <c r="L1184">
        <v>-112869739</v>
      </c>
      <c r="M1184">
        <v>-46097742</v>
      </c>
      <c r="P1184">
        <v>81</v>
      </c>
      <c r="Q1184" t="s">
        <v>2411</v>
      </c>
    </row>
    <row r="1185" spans="1:17" x14ac:dyDescent="0.3">
      <c r="A1185" t="s">
        <v>17</v>
      </c>
      <c r="B1185" t="str">
        <f>"603165"</f>
        <v>603165</v>
      </c>
      <c r="C1185" t="s">
        <v>2412</v>
      </c>
      <c r="D1185" t="s">
        <v>161</v>
      </c>
      <c r="F1185">
        <v>8457696</v>
      </c>
      <c r="G1185">
        <v>44311813</v>
      </c>
      <c r="H1185">
        <v>356718581</v>
      </c>
      <c r="I1185">
        <v>312845948</v>
      </c>
      <c r="J1185">
        <v>31452367</v>
      </c>
      <c r="K1185">
        <v>-34310028</v>
      </c>
      <c r="L1185">
        <v>92434324</v>
      </c>
      <c r="M1185">
        <v>54156071</v>
      </c>
      <c r="N1185">
        <v>33784239</v>
      </c>
      <c r="P1185">
        <v>593</v>
      </c>
      <c r="Q1185" t="s">
        <v>2413</v>
      </c>
    </row>
    <row r="1186" spans="1:17" x14ac:dyDescent="0.3">
      <c r="A1186" t="s">
        <v>17</v>
      </c>
      <c r="B1186" t="str">
        <f>"603166"</f>
        <v>603166</v>
      </c>
      <c r="C1186" t="s">
        <v>2414</v>
      </c>
      <c r="D1186" t="s">
        <v>27</v>
      </c>
      <c r="F1186">
        <v>101582066</v>
      </c>
      <c r="G1186">
        <v>125670178</v>
      </c>
      <c r="H1186">
        <v>150027746</v>
      </c>
      <c r="I1186">
        <v>108600365</v>
      </c>
      <c r="J1186">
        <v>-234024927</v>
      </c>
      <c r="K1186">
        <v>173774816</v>
      </c>
      <c r="L1186">
        <v>78432686</v>
      </c>
      <c r="M1186">
        <v>-30277439</v>
      </c>
      <c r="N1186">
        <v>151010857</v>
      </c>
      <c r="O1186">
        <v>-62078389</v>
      </c>
      <c r="P1186">
        <v>141</v>
      </c>
      <c r="Q1186" t="s">
        <v>2415</v>
      </c>
    </row>
    <row r="1187" spans="1:17" x14ac:dyDescent="0.3">
      <c r="A1187" t="s">
        <v>17</v>
      </c>
      <c r="B1187" t="str">
        <f>"603167"</f>
        <v>603167</v>
      </c>
      <c r="C1187" t="s">
        <v>2416</v>
      </c>
      <c r="D1187" t="s">
        <v>22</v>
      </c>
      <c r="F1187">
        <v>244794976</v>
      </c>
      <c r="G1187">
        <v>60083254</v>
      </c>
      <c r="H1187">
        <v>218379955</v>
      </c>
      <c r="I1187">
        <v>160033029</v>
      </c>
      <c r="J1187">
        <v>466052641</v>
      </c>
      <c r="K1187">
        <v>303769763</v>
      </c>
      <c r="L1187">
        <v>175499506</v>
      </c>
      <c r="M1187">
        <v>-321855101</v>
      </c>
      <c r="N1187">
        <v>107398119</v>
      </c>
      <c r="O1187">
        <v>-209105738</v>
      </c>
      <c r="P1187">
        <v>239</v>
      </c>
      <c r="Q1187" t="s">
        <v>2417</v>
      </c>
    </row>
    <row r="1188" spans="1:17" x14ac:dyDescent="0.3">
      <c r="A1188" t="s">
        <v>17</v>
      </c>
      <c r="B1188" t="str">
        <f>"603168"</f>
        <v>603168</v>
      </c>
      <c r="C1188" t="s">
        <v>2418</v>
      </c>
      <c r="D1188" t="s">
        <v>113</v>
      </c>
      <c r="F1188">
        <v>-52175124</v>
      </c>
      <c r="G1188">
        <v>39811472</v>
      </c>
      <c r="H1188">
        <v>39218707</v>
      </c>
      <c r="I1188">
        <v>41999022</v>
      </c>
      <c r="J1188">
        <v>-66893446</v>
      </c>
      <c r="K1188">
        <v>255099290</v>
      </c>
      <c r="L1188">
        <v>16348201</v>
      </c>
      <c r="M1188">
        <v>46562670</v>
      </c>
      <c r="N1188">
        <v>46151531</v>
      </c>
      <c r="O1188">
        <v>-4583996</v>
      </c>
      <c r="P1188">
        <v>528</v>
      </c>
      <c r="Q1188" t="s">
        <v>2419</v>
      </c>
    </row>
    <row r="1189" spans="1:17" x14ac:dyDescent="0.3">
      <c r="A1189" t="s">
        <v>17</v>
      </c>
      <c r="B1189" t="str">
        <f>"603169"</f>
        <v>603169</v>
      </c>
      <c r="C1189" t="s">
        <v>2420</v>
      </c>
      <c r="D1189" t="s">
        <v>78</v>
      </c>
      <c r="F1189">
        <v>69792125</v>
      </c>
      <c r="G1189">
        <v>642070657</v>
      </c>
      <c r="H1189">
        <v>682508186</v>
      </c>
      <c r="I1189">
        <v>-474837092</v>
      </c>
      <c r="J1189">
        <v>-1400850277</v>
      </c>
      <c r="K1189">
        <v>-893787231</v>
      </c>
      <c r="L1189">
        <v>-937139009</v>
      </c>
      <c r="M1189">
        <v>-374771577</v>
      </c>
      <c r="N1189">
        <v>-200223702</v>
      </c>
      <c r="O1189">
        <v>487116</v>
      </c>
      <c r="P1189">
        <v>81</v>
      </c>
      <c r="Q1189" t="s">
        <v>2421</v>
      </c>
    </row>
    <row r="1190" spans="1:17" x14ac:dyDescent="0.3">
      <c r="A1190" t="s">
        <v>17</v>
      </c>
      <c r="B1190" t="str">
        <f>"603171"</f>
        <v>603171</v>
      </c>
      <c r="C1190" t="s">
        <v>2422</v>
      </c>
      <c r="D1190" t="s">
        <v>212</v>
      </c>
      <c r="F1190">
        <v>18726824</v>
      </c>
      <c r="G1190">
        <v>205771004</v>
      </c>
      <c r="H1190">
        <v>192833469</v>
      </c>
      <c r="I1190">
        <v>234506286</v>
      </c>
      <c r="J1190">
        <v>247836679</v>
      </c>
      <c r="P1190">
        <v>54</v>
      </c>
      <c r="Q1190" t="s">
        <v>2423</v>
      </c>
    </row>
    <row r="1191" spans="1:17" x14ac:dyDescent="0.3">
      <c r="A1191" t="s">
        <v>17</v>
      </c>
      <c r="B1191" t="str">
        <f>"603176"</f>
        <v>603176</v>
      </c>
      <c r="C1191" t="s">
        <v>2424</v>
      </c>
      <c r="D1191" t="s">
        <v>95</v>
      </c>
      <c r="F1191">
        <v>-58332361</v>
      </c>
      <c r="G1191">
        <v>272341363</v>
      </c>
      <c r="H1191">
        <v>-32869745</v>
      </c>
      <c r="I1191">
        <v>136356094</v>
      </c>
      <c r="J1191">
        <v>-263908508</v>
      </c>
      <c r="P1191">
        <v>17</v>
      </c>
      <c r="Q1191" t="s">
        <v>2425</v>
      </c>
    </row>
    <row r="1192" spans="1:17" x14ac:dyDescent="0.3">
      <c r="A1192" t="s">
        <v>17</v>
      </c>
      <c r="B1192" t="str">
        <f>"603177"</f>
        <v>603177</v>
      </c>
      <c r="C1192" t="s">
        <v>2426</v>
      </c>
      <c r="D1192" t="s">
        <v>33</v>
      </c>
      <c r="F1192">
        <v>-121238879</v>
      </c>
      <c r="G1192">
        <v>-171910521</v>
      </c>
      <c r="H1192">
        <v>-37059998</v>
      </c>
      <c r="I1192">
        <v>-88062966</v>
      </c>
      <c r="J1192">
        <v>-22897188</v>
      </c>
      <c r="K1192">
        <v>43627430</v>
      </c>
      <c r="L1192">
        <v>69994436</v>
      </c>
      <c r="M1192">
        <v>9683860</v>
      </c>
      <c r="N1192">
        <v>24828868</v>
      </c>
      <c r="P1192">
        <v>68</v>
      </c>
      <c r="Q1192" t="s">
        <v>2427</v>
      </c>
    </row>
    <row r="1193" spans="1:17" x14ac:dyDescent="0.3">
      <c r="A1193" t="s">
        <v>17</v>
      </c>
      <c r="B1193" t="str">
        <f>"603178"</f>
        <v>603178</v>
      </c>
      <c r="C1193" t="s">
        <v>2428</v>
      </c>
      <c r="D1193" t="s">
        <v>27</v>
      </c>
      <c r="F1193">
        <v>106667278</v>
      </c>
      <c r="G1193">
        <v>115882691</v>
      </c>
      <c r="H1193">
        <v>1997126</v>
      </c>
      <c r="I1193">
        <v>-58516309</v>
      </c>
      <c r="J1193">
        <v>-153478267</v>
      </c>
      <c r="K1193">
        <v>-79874360</v>
      </c>
      <c r="L1193">
        <v>-147187530</v>
      </c>
      <c r="M1193">
        <v>-65708874</v>
      </c>
      <c r="N1193">
        <v>-39372470</v>
      </c>
      <c r="P1193">
        <v>80</v>
      </c>
      <c r="Q1193" t="s">
        <v>2429</v>
      </c>
    </row>
    <row r="1194" spans="1:17" x14ac:dyDescent="0.3">
      <c r="A1194" t="s">
        <v>17</v>
      </c>
      <c r="B1194" t="str">
        <f>"603179"</f>
        <v>603179</v>
      </c>
      <c r="C1194" t="s">
        <v>2430</v>
      </c>
      <c r="D1194" t="s">
        <v>27</v>
      </c>
      <c r="F1194">
        <v>-359580903</v>
      </c>
      <c r="G1194">
        <v>-311361760</v>
      </c>
      <c r="H1194">
        <v>-486733674</v>
      </c>
      <c r="I1194">
        <v>128366532</v>
      </c>
      <c r="J1194">
        <v>-328560502</v>
      </c>
      <c r="K1194">
        <v>-31801843</v>
      </c>
      <c r="L1194">
        <v>-13563771</v>
      </c>
      <c r="M1194">
        <v>47815990</v>
      </c>
      <c r="P1194">
        <v>303</v>
      </c>
      <c r="Q1194" t="s">
        <v>2431</v>
      </c>
    </row>
    <row r="1195" spans="1:17" x14ac:dyDescent="0.3">
      <c r="A1195" t="s">
        <v>17</v>
      </c>
      <c r="B1195" t="str">
        <f>"603180"</f>
        <v>603180</v>
      </c>
      <c r="C1195" t="s">
        <v>2432</v>
      </c>
      <c r="D1195" t="s">
        <v>161</v>
      </c>
      <c r="F1195">
        <v>-12146772</v>
      </c>
      <c r="G1195">
        <v>184881148</v>
      </c>
      <c r="H1195">
        <v>141072222</v>
      </c>
      <c r="I1195">
        <v>-11498397</v>
      </c>
      <c r="J1195">
        <v>164912122</v>
      </c>
      <c r="K1195">
        <v>156492528</v>
      </c>
      <c r="L1195">
        <v>57137886</v>
      </c>
      <c r="M1195">
        <v>-13385415</v>
      </c>
      <c r="P1195">
        <v>1303</v>
      </c>
      <c r="Q1195" t="s">
        <v>2433</v>
      </c>
    </row>
    <row r="1196" spans="1:17" x14ac:dyDescent="0.3">
      <c r="A1196" t="s">
        <v>17</v>
      </c>
      <c r="B1196" t="str">
        <f>"603181"</f>
        <v>603181</v>
      </c>
      <c r="C1196" t="s">
        <v>2434</v>
      </c>
      <c r="D1196" t="s">
        <v>133</v>
      </c>
      <c r="F1196">
        <v>-167775494</v>
      </c>
      <c r="G1196">
        <v>-23284367</v>
      </c>
      <c r="H1196">
        <v>67810473</v>
      </c>
      <c r="I1196">
        <v>106628268</v>
      </c>
      <c r="J1196">
        <v>50663231</v>
      </c>
      <c r="K1196">
        <v>61312348</v>
      </c>
      <c r="L1196">
        <v>-121929711</v>
      </c>
      <c r="M1196">
        <v>-89175961</v>
      </c>
      <c r="P1196">
        <v>162</v>
      </c>
      <c r="Q1196" t="s">
        <v>2435</v>
      </c>
    </row>
    <row r="1197" spans="1:17" x14ac:dyDescent="0.3">
      <c r="A1197" t="s">
        <v>17</v>
      </c>
      <c r="B1197" t="str">
        <f>"603183"</f>
        <v>603183</v>
      </c>
      <c r="C1197" t="s">
        <v>2436</v>
      </c>
      <c r="D1197" t="s">
        <v>110</v>
      </c>
      <c r="F1197">
        <v>27426803</v>
      </c>
      <c r="G1197">
        <v>40734347</v>
      </c>
      <c r="H1197">
        <v>-8935755</v>
      </c>
      <c r="I1197">
        <v>-71484677</v>
      </c>
      <c r="J1197">
        <v>-3195608</v>
      </c>
      <c r="K1197">
        <v>3716158</v>
      </c>
      <c r="L1197">
        <v>47903489</v>
      </c>
      <c r="M1197">
        <v>348113</v>
      </c>
      <c r="P1197">
        <v>92</v>
      </c>
      <c r="Q1197" t="s">
        <v>2437</v>
      </c>
    </row>
    <row r="1198" spans="1:17" x14ac:dyDescent="0.3">
      <c r="A1198" t="s">
        <v>17</v>
      </c>
      <c r="B1198" t="str">
        <f>"603185"</f>
        <v>603185</v>
      </c>
      <c r="C1198" t="s">
        <v>2438</v>
      </c>
      <c r="D1198" t="s">
        <v>188</v>
      </c>
      <c r="F1198">
        <v>66936811</v>
      </c>
      <c r="G1198">
        <v>-618850530</v>
      </c>
      <c r="H1198">
        <v>-546193628</v>
      </c>
      <c r="I1198">
        <v>-16542032</v>
      </c>
      <c r="J1198">
        <v>90826359</v>
      </c>
      <c r="K1198">
        <v>-2847022</v>
      </c>
      <c r="L1198">
        <v>-2383264</v>
      </c>
      <c r="P1198">
        <v>516</v>
      </c>
      <c r="Q1198" t="s">
        <v>2439</v>
      </c>
    </row>
    <row r="1199" spans="1:17" x14ac:dyDescent="0.3">
      <c r="A1199" t="s">
        <v>17</v>
      </c>
      <c r="B1199" t="str">
        <f>"603186"</f>
        <v>603186</v>
      </c>
      <c r="C1199" t="s">
        <v>2440</v>
      </c>
      <c r="D1199" t="s">
        <v>150</v>
      </c>
      <c r="F1199">
        <v>-852596713</v>
      </c>
      <c r="G1199">
        <v>-237017287</v>
      </c>
      <c r="H1199">
        <v>-45138848</v>
      </c>
      <c r="I1199">
        <v>-119466914</v>
      </c>
      <c r="J1199">
        <v>-244078414</v>
      </c>
      <c r="K1199">
        <v>-65285548</v>
      </c>
      <c r="L1199">
        <v>-4212552</v>
      </c>
      <c r="M1199">
        <v>56476157</v>
      </c>
      <c r="N1199">
        <v>-13431465</v>
      </c>
      <c r="P1199">
        <v>328</v>
      </c>
      <c r="Q1199" t="s">
        <v>2441</v>
      </c>
    </row>
    <row r="1200" spans="1:17" x14ac:dyDescent="0.3">
      <c r="A1200" t="s">
        <v>17</v>
      </c>
      <c r="B1200" t="str">
        <f>"603187"</f>
        <v>603187</v>
      </c>
      <c r="C1200" t="s">
        <v>2442</v>
      </c>
      <c r="D1200" t="s">
        <v>78</v>
      </c>
      <c r="F1200">
        <v>-259838129</v>
      </c>
      <c r="G1200">
        <v>212437395</v>
      </c>
      <c r="H1200">
        <v>18493167</v>
      </c>
      <c r="I1200">
        <v>60185105</v>
      </c>
      <c r="J1200">
        <v>154747592</v>
      </c>
      <c r="K1200">
        <v>97319407</v>
      </c>
      <c r="L1200">
        <v>-7608117</v>
      </c>
      <c r="P1200">
        <v>705</v>
      </c>
      <c r="Q1200" t="s">
        <v>2443</v>
      </c>
    </row>
    <row r="1201" spans="1:17" x14ac:dyDescent="0.3">
      <c r="A1201" t="s">
        <v>17</v>
      </c>
      <c r="B1201" t="str">
        <f>"603188"</f>
        <v>603188</v>
      </c>
      <c r="C1201" t="s">
        <v>2444</v>
      </c>
      <c r="D1201" t="s">
        <v>133</v>
      </c>
      <c r="F1201">
        <v>-288260010</v>
      </c>
      <c r="G1201">
        <v>-209333487</v>
      </c>
      <c r="H1201">
        <v>-114743625</v>
      </c>
      <c r="I1201">
        <v>492423240</v>
      </c>
      <c r="J1201">
        <v>326027463</v>
      </c>
      <c r="K1201">
        <v>371089631</v>
      </c>
      <c r="L1201">
        <v>259891477</v>
      </c>
      <c r="M1201">
        <v>356677628</v>
      </c>
      <c r="N1201">
        <v>70923445</v>
      </c>
      <c r="O1201">
        <v>60677500</v>
      </c>
      <c r="P1201">
        <v>206</v>
      </c>
      <c r="Q1201" t="s">
        <v>2445</v>
      </c>
    </row>
    <row r="1202" spans="1:17" x14ac:dyDescent="0.3">
      <c r="A1202" t="s">
        <v>17</v>
      </c>
      <c r="B1202" t="str">
        <f>"603189"</f>
        <v>603189</v>
      </c>
      <c r="C1202" t="s">
        <v>2446</v>
      </c>
      <c r="D1202" t="s">
        <v>212</v>
      </c>
      <c r="F1202">
        <v>-207802707</v>
      </c>
      <c r="G1202">
        <v>8160940</v>
      </c>
      <c r="H1202">
        <v>-7910756</v>
      </c>
      <c r="I1202">
        <v>-1471401</v>
      </c>
      <c r="J1202">
        <v>-3199851</v>
      </c>
      <c r="K1202">
        <v>-78350628</v>
      </c>
      <c r="L1202">
        <v>56556797</v>
      </c>
      <c r="M1202">
        <v>55282761</v>
      </c>
      <c r="N1202">
        <v>42174354</v>
      </c>
      <c r="P1202">
        <v>166</v>
      </c>
      <c r="Q1202" t="s">
        <v>2447</v>
      </c>
    </row>
    <row r="1203" spans="1:17" x14ac:dyDescent="0.3">
      <c r="A1203" t="s">
        <v>17</v>
      </c>
      <c r="B1203" t="str">
        <f>"603191"</f>
        <v>603191</v>
      </c>
      <c r="C1203" t="s">
        <v>2448</v>
      </c>
      <c r="F1203">
        <v>128451733</v>
      </c>
      <c r="G1203">
        <v>77701700</v>
      </c>
      <c r="H1203">
        <v>6579181</v>
      </c>
      <c r="I1203">
        <v>-16103300</v>
      </c>
      <c r="P1203">
        <v>5</v>
      </c>
      <c r="Q1203" t="s">
        <v>2449</v>
      </c>
    </row>
    <row r="1204" spans="1:17" x14ac:dyDescent="0.3">
      <c r="A1204" t="s">
        <v>17</v>
      </c>
      <c r="B1204" t="str">
        <f>"603192"</f>
        <v>603192</v>
      </c>
      <c r="C1204" t="s">
        <v>2450</v>
      </c>
      <c r="D1204" t="s">
        <v>133</v>
      </c>
      <c r="F1204">
        <v>129049026</v>
      </c>
      <c r="G1204">
        <v>7027450</v>
      </c>
      <c r="H1204">
        <v>-50048406</v>
      </c>
      <c r="I1204">
        <v>19493632</v>
      </c>
      <c r="J1204">
        <v>89608954</v>
      </c>
      <c r="K1204">
        <v>175421716</v>
      </c>
      <c r="L1204">
        <v>125075120</v>
      </c>
      <c r="P1204">
        <v>82</v>
      </c>
      <c r="Q1204" t="s">
        <v>2451</v>
      </c>
    </row>
    <row r="1205" spans="1:17" x14ac:dyDescent="0.3">
      <c r="A1205" t="s">
        <v>17</v>
      </c>
      <c r="B1205" t="str">
        <f>"603195"</f>
        <v>603195</v>
      </c>
      <c r="C1205" t="s">
        <v>2452</v>
      </c>
      <c r="D1205" t="s">
        <v>161</v>
      </c>
      <c r="F1205">
        <v>2561236161</v>
      </c>
      <c r="G1205">
        <v>3020554608</v>
      </c>
      <c r="H1205">
        <v>1855331953</v>
      </c>
      <c r="I1205">
        <v>1436767861</v>
      </c>
      <c r="J1205">
        <v>767088155</v>
      </c>
      <c r="K1205">
        <v>1433493192</v>
      </c>
      <c r="P1205">
        <v>1475</v>
      </c>
      <c r="Q1205" t="s">
        <v>2453</v>
      </c>
    </row>
    <row r="1206" spans="1:17" x14ac:dyDescent="0.3">
      <c r="A1206" t="s">
        <v>17</v>
      </c>
      <c r="B1206" t="str">
        <f>"603196"</f>
        <v>603196</v>
      </c>
      <c r="C1206" t="s">
        <v>2454</v>
      </c>
      <c r="D1206" t="s">
        <v>227</v>
      </c>
      <c r="F1206">
        <v>51153816</v>
      </c>
      <c r="G1206">
        <v>-8242738</v>
      </c>
      <c r="H1206">
        <v>67868674</v>
      </c>
      <c r="I1206">
        <v>-107755093</v>
      </c>
      <c r="J1206">
        <v>-31279970</v>
      </c>
      <c r="K1206">
        <v>66216427</v>
      </c>
      <c r="L1206">
        <v>20463809</v>
      </c>
      <c r="M1206">
        <v>88122643</v>
      </c>
      <c r="P1206">
        <v>70</v>
      </c>
      <c r="Q1206" t="s">
        <v>2455</v>
      </c>
    </row>
    <row r="1207" spans="1:17" x14ac:dyDescent="0.3">
      <c r="A1207" t="s">
        <v>17</v>
      </c>
      <c r="B1207" t="str">
        <f>"603197"</f>
        <v>603197</v>
      </c>
      <c r="C1207" t="s">
        <v>2456</v>
      </c>
      <c r="D1207" t="s">
        <v>27</v>
      </c>
      <c r="F1207">
        <v>-171900821</v>
      </c>
      <c r="G1207">
        <v>-3126773</v>
      </c>
      <c r="H1207">
        <v>-91140110</v>
      </c>
      <c r="I1207">
        <v>104843909</v>
      </c>
      <c r="J1207">
        <v>18914521</v>
      </c>
      <c r="K1207">
        <v>56344259</v>
      </c>
      <c r="L1207">
        <v>29631621</v>
      </c>
      <c r="M1207">
        <v>13208445</v>
      </c>
      <c r="P1207">
        <v>357</v>
      </c>
      <c r="Q1207" t="s">
        <v>2457</v>
      </c>
    </row>
    <row r="1208" spans="1:17" x14ac:dyDescent="0.3">
      <c r="A1208" t="s">
        <v>17</v>
      </c>
      <c r="B1208" t="str">
        <f>"603198"</f>
        <v>603198</v>
      </c>
      <c r="C1208" t="s">
        <v>2458</v>
      </c>
      <c r="D1208" t="s">
        <v>123</v>
      </c>
      <c r="F1208">
        <v>1266389490</v>
      </c>
      <c r="G1208">
        <v>522035392</v>
      </c>
      <c r="H1208">
        <v>625058656</v>
      </c>
      <c r="I1208">
        <v>536394412</v>
      </c>
      <c r="J1208">
        <v>386957593</v>
      </c>
      <c r="K1208">
        <v>565426144</v>
      </c>
      <c r="L1208">
        <v>207735960</v>
      </c>
      <c r="M1208">
        <v>189349366</v>
      </c>
      <c r="N1208">
        <v>-25323882</v>
      </c>
      <c r="O1208">
        <v>250470031</v>
      </c>
      <c r="P1208">
        <v>5975</v>
      </c>
      <c r="Q1208" t="s">
        <v>2459</v>
      </c>
    </row>
    <row r="1209" spans="1:17" x14ac:dyDescent="0.3">
      <c r="A1209" t="s">
        <v>17</v>
      </c>
      <c r="B1209" t="str">
        <f>"603199"</f>
        <v>603199</v>
      </c>
      <c r="C1209" t="s">
        <v>2460</v>
      </c>
      <c r="D1209" t="s">
        <v>110</v>
      </c>
      <c r="F1209">
        <v>72358640</v>
      </c>
      <c r="G1209">
        <v>52345855</v>
      </c>
      <c r="H1209">
        <v>153637971</v>
      </c>
      <c r="I1209">
        <v>81459846</v>
      </c>
      <c r="J1209">
        <v>122285097</v>
      </c>
      <c r="K1209">
        <v>104347089</v>
      </c>
      <c r="L1209">
        <v>94772613</v>
      </c>
      <c r="M1209">
        <v>101967532</v>
      </c>
      <c r="N1209">
        <v>30419342</v>
      </c>
      <c r="O1209">
        <v>-9541859</v>
      </c>
      <c r="P1209">
        <v>144</v>
      </c>
      <c r="Q1209" t="s">
        <v>2461</v>
      </c>
    </row>
    <row r="1210" spans="1:17" x14ac:dyDescent="0.3">
      <c r="A1210" t="s">
        <v>17</v>
      </c>
      <c r="B1210" t="str">
        <f>"603200"</f>
        <v>603200</v>
      </c>
      <c r="C1210" t="s">
        <v>2462</v>
      </c>
      <c r="D1210" t="s">
        <v>33</v>
      </c>
      <c r="F1210">
        <v>13403254</v>
      </c>
      <c r="G1210">
        <v>-156281733</v>
      </c>
      <c r="H1210">
        <v>17806593</v>
      </c>
      <c r="I1210">
        <v>-50763417</v>
      </c>
      <c r="J1210">
        <v>35435824</v>
      </c>
      <c r="K1210">
        <v>80411181</v>
      </c>
      <c r="L1210">
        <v>7526932</v>
      </c>
      <c r="M1210">
        <v>-21063484</v>
      </c>
      <c r="P1210">
        <v>101</v>
      </c>
      <c r="Q1210" t="s">
        <v>2463</v>
      </c>
    </row>
    <row r="1211" spans="1:17" x14ac:dyDescent="0.3">
      <c r="A1211" t="s">
        <v>17</v>
      </c>
      <c r="B1211" t="str">
        <f>"603203"</f>
        <v>603203</v>
      </c>
      <c r="C1211" t="s">
        <v>2464</v>
      </c>
      <c r="D1211" t="s">
        <v>78</v>
      </c>
      <c r="F1211">
        <v>164096227</v>
      </c>
      <c r="G1211">
        <v>198875893</v>
      </c>
      <c r="H1211">
        <v>161454133</v>
      </c>
      <c r="I1211">
        <v>118379821</v>
      </c>
      <c r="J1211">
        <v>95991797</v>
      </c>
      <c r="K1211">
        <v>44275064</v>
      </c>
      <c r="L1211">
        <v>88467971</v>
      </c>
      <c r="M1211">
        <v>56919630</v>
      </c>
      <c r="N1211">
        <v>40172381</v>
      </c>
      <c r="P1211">
        <v>2649</v>
      </c>
      <c r="Q1211" t="s">
        <v>2465</v>
      </c>
    </row>
    <row r="1212" spans="1:17" x14ac:dyDescent="0.3">
      <c r="A1212" t="s">
        <v>17</v>
      </c>
      <c r="B1212" t="str">
        <f>"603206"</f>
        <v>603206</v>
      </c>
      <c r="C1212" t="s">
        <v>2466</v>
      </c>
      <c r="F1212">
        <v>-70815941</v>
      </c>
      <c r="G1212">
        <v>132434155</v>
      </c>
      <c r="H1212">
        <v>75310259</v>
      </c>
      <c r="I1212">
        <v>-85053615</v>
      </c>
      <c r="Q1212" t="s">
        <v>2467</v>
      </c>
    </row>
    <row r="1213" spans="1:17" x14ac:dyDescent="0.3">
      <c r="A1213" t="s">
        <v>17</v>
      </c>
      <c r="B1213" t="str">
        <f>"603208"</f>
        <v>603208</v>
      </c>
      <c r="C1213" t="s">
        <v>2468</v>
      </c>
      <c r="D1213" t="s">
        <v>161</v>
      </c>
      <c r="F1213">
        <v>-396590386</v>
      </c>
      <c r="G1213">
        <v>-102493625</v>
      </c>
      <c r="H1213">
        <v>-44544481</v>
      </c>
      <c r="I1213">
        <v>-97948069</v>
      </c>
      <c r="J1213">
        <v>-215210379</v>
      </c>
      <c r="K1213">
        <v>91719125</v>
      </c>
      <c r="L1213">
        <v>78601112</v>
      </c>
      <c r="M1213">
        <v>29028891</v>
      </c>
      <c r="N1213">
        <v>68218157</v>
      </c>
      <c r="P1213">
        <v>494</v>
      </c>
      <c r="Q1213" t="s">
        <v>2469</v>
      </c>
    </row>
    <row r="1214" spans="1:17" x14ac:dyDescent="0.3">
      <c r="A1214" t="s">
        <v>17</v>
      </c>
      <c r="B1214" t="str">
        <f>"603209"</f>
        <v>603209</v>
      </c>
      <c r="C1214" t="s">
        <v>2470</v>
      </c>
      <c r="F1214">
        <v>87193645</v>
      </c>
      <c r="G1214">
        <v>-389007150</v>
      </c>
      <c r="H1214">
        <v>22635860</v>
      </c>
      <c r="I1214">
        <v>30987700</v>
      </c>
      <c r="P1214">
        <v>12</v>
      </c>
      <c r="Q1214" t="s">
        <v>2471</v>
      </c>
    </row>
    <row r="1215" spans="1:17" x14ac:dyDescent="0.3">
      <c r="A1215" t="s">
        <v>17</v>
      </c>
      <c r="B1215" t="str">
        <f>"603212"</f>
        <v>603212</v>
      </c>
      <c r="C1215" t="s">
        <v>2472</v>
      </c>
      <c r="D1215" t="s">
        <v>188</v>
      </c>
      <c r="F1215">
        <v>-446040833</v>
      </c>
      <c r="G1215">
        <v>-489625642</v>
      </c>
      <c r="H1215">
        <v>77212935</v>
      </c>
      <c r="I1215">
        <v>-50828144</v>
      </c>
      <c r="J1215">
        <v>24059773</v>
      </c>
      <c r="P1215">
        <v>130</v>
      </c>
      <c r="Q1215" t="s">
        <v>2473</v>
      </c>
    </row>
    <row r="1216" spans="1:17" x14ac:dyDescent="0.3">
      <c r="A1216" t="s">
        <v>17</v>
      </c>
      <c r="B1216" t="str">
        <f>"603213"</f>
        <v>603213</v>
      </c>
      <c r="C1216" t="s">
        <v>2474</v>
      </c>
      <c r="D1216" t="s">
        <v>133</v>
      </c>
      <c r="F1216">
        <v>17083056</v>
      </c>
      <c r="G1216">
        <v>3191264</v>
      </c>
      <c r="H1216">
        <v>8557637</v>
      </c>
      <c r="I1216">
        <v>168955268</v>
      </c>
      <c r="J1216">
        <v>182722211</v>
      </c>
      <c r="P1216">
        <v>32</v>
      </c>
      <c r="Q1216" t="s">
        <v>2475</v>
      </c>
    </row>
    <row r="1217" spans="1:17" x14ac:dyDescent="0.3">
      <c r="A1217" t="s">
        <v>17</v>
      </c>
      <c r="B1217" t="str">
        <f>"603214"</f>
        <v>603214</v>
      </c>
      <c r="C1217" t="s">
        <v>2476</v>
      </c>
      <c r="D1217" t="s">
        <v>120</v>
      </c>
      <c r="F1217">
        <v>-259195019</v>
      </c>
      <c r="G1217">
        <v>127781602</v>
      </c>
      <c r="H1217">
        <v>51714472</v>
      </c>
      <c r="I1217">
        <v>58380995</v>
      </c>
      <c r="J1217">
        <v>74713525</v>
      </c>
      <c r="K1217">
        <v>82867574</v>
      </c>
      <c r="L1217">
        <v>-8883160</v>
      </c>
      <c r="P1217">
        <v>290</v>
      </c>
      <c r="Q1217" t="s">
        <v>2477</v>
      </c>
    </row>
    <row r="1218" spans="1:17" x14ac:dyDescent="0.3">
      <c r="A1218" t="s">
        <v>17</v>
      </c>
      <c r="B1218" t="str">
        <f>"603215"</f>
        <v>603215</v>
      </c>
      <c r="C1218" t="s">
        <v>2478</v>
      </c>
      <c r="F1218">
        <v>-118284021</v>
      </c>
      <c r="G1218">
        <v>-38555987</v>
      </c>
      <c r="H1218">
        <v>-4381051</v>
      </c>
      <c r="I1218">
        <v>98889149</v>
      </c>
      <c r="P1218">
        <v>13</v>
      </c>
      <c r="Q1218" t="s">
        <v>2479</v>
      </c>
    </row>
    <row r="1219" spans="1:17" x14ac:dyDescent="0.3">
      <c r="A1219" t="s">
        <v>17</v>
      </c>
      <c r="B1219" t="str">
        <f>"603216"</f>
        <v>603216</v>
      </c>
      <c r="C1219" t="s">
        <v>2480</v>
      </c>
      <c r="D1219" t="s">
        <v>161</v>
      </c>
      <c r="F1219">
        <v>180644136</v>
      </c>
      <c r="G1219">
        <v>205957347</v>
      </c>
      <c r="H1219">
        <v>70589636</v>
      </c>
      <c r="I1219">
        <v>-37161199</v>
      </c>
      <c r="J1219">
        <v>177515089</v>
      </c>
      <c r="P1219">
        <v>22</v>
      </c>
      <c r="Q1219" t="s">
        <v>2481</v>
      </c>
    </row>
    <row r="1220" spans="1:17" x14ac:dyDescent="0.3">
      <c r="A1220" t="s">
        <v>17</v>
      </c>
      <c r="B1220" t="str">
        <f>"603217"</f>
        <v>603217</v>
      </c>
      <c r="C1220" t="s">
        <v>2482</v>
      </c>
      <c r="D1220" t="s">
        <v>133</v>
      </c>
      <c r="F1220">
        <v>41802825</v>
      </c>
      <c r="G1220">
        <v>116913007</v>
      </c>
      <c r="H1220">
        <v>-14818912</v>
      </c>
      <c r="I1220">
        <v>-42183943</v>
      </c>
      <c r="J1220">
        <v>153127166</v>
      </c>
      <c r="K1220">
        <v>98690320</v>
      </c>
      <c r="P1220">
        <v>72</v>
      </c>
      <c r="Q1220" t="s">
        <v>2483</v>
      </c>
    </row>
    <row r="1221" spans="1:17" x14ac:dyDescent="0.3">
      <c r="A1221" t="s">
        <v>17</v>
      </c>
      <c r="B1221" t="str">
        <f>"603218"</f>
        <v>603218</v>
      </c>
      <c r="C1221" t="s">
        <v>2484</v>
      </c>
      <c r="D1221" t="s">
        <v>188</v>
      </c>
      <c r="F1221">
        <v>366804043</v>
      </c>
      <c r="G1221">
        <v>46726269</v>
      </c>
      <c r="H1221">
        <v>352479180</v>
      </c>
      <c r="I1221">
        <v>492767</v>
      </c>
      <c r="J1221">
        <v>66775861</v>
      </c>
      <c r="K1221">
        <v>132152416</v>
      </c>
      <c r="L1221">
        <v>73402730</v>
      </c>
      <c r="M1221">
        <v>95695831</v>
      </c>
      <c r="N1221">
        <v>-91968690</v>
      </c>
      <c r="P1221">
        <v>566</v>
      </c>
      <c r="Q1221" t="s">
        <v>2485</v>
      </c>
    </row>
    <row r="1222" spans="1:17" x14ac:dyDescent="0.3">
      <c r="A1222" t="s">
        <v>17</v>
      </c>
      <c r="B1222" t="str">
        <f>"603219"</f>
        <v>603219</v>
      </c>
      <c r="C1222" t="s">
        <v>2486</v>
      </c>
      <c r="D1222" t="s">
        <v>126</v>
      </c>
      <c r="F1222">
        <v>-268210505</v>
      </c>
      <c r="G1222">
        <v>112625380</v>
      </c>
      <c r="H1222">
        <v>-2705746</v>
      </c>
      <c r="I1222">
        <v>95641693</v>
      </c>
      <c r="J1222">
        <v>103788356</v>
      </c>
      <c r="P1222">
        <v>23</v>
      </c>
      <c r="Q1222" t="s">
        <v>2487</v>
      </c>
    </row>
    <row r="1223" spans="1:17" x14ac:dyDescent="0.3">
      <c r="A1223" t="s">
        <v>17</v>
      </c>
      <c r="B1223" t="str">
        <f>"603220"</f>
        <v>603220</v>
      </c>
      <c r="C1223" t="s">
        <v>2488</v>
      </c>
      <c r="D1223" t="s">
        <v>100</v>
      </c>
      <c r="F1223">
        <v>-8635992</v>
      </c>
      <c r="G1223">
        <v>83369991</v>
      </c>
      <c r="H1223">
        <v>73536147</v>
      </c>
      <c r="I1223">
        <v>159073844</v>
      </c>
      <c r="J1223">
        <v>-63878316</v>
      </c>
      <c r="K1223">
        <v>-19304004</v>
      </c>
      <c r="L1223">
        <v>-81237700</v>
      </c>
      <c r="P1223">
        <v>146</v>
      </c>
      <c r="Q1223" t="s">
        <v>2489</v>
      </c>
    </row>
    <row r="1224" spans="1:17" x14ac:dyDescent="0.3">
      <c r="A1224" t="s">
        <v>17</v>
      </c>
      <c r="B1224" t="str">
        <f>"603221"</f>
        <v>603221</v>
      </c>
      <c r="C1224" t="s">
        <v>2490</v>
      </c>
      <c r="D1224" t="s">
        <v>161</v>
      </c>
      <c r="F1224">
        <v>-382732297</v>
      </c>
      <c r="G1224">
        <v>-152949762</v>
      </c>
      <c r="H1224">
        <v>64080039</v>
      </c>
      <c r="I1224">
        <v>245159451</v>
      </c>
      <c r="J1224">
        <v>89743799</v>
      </c>
      <c r="P1224">
        <v>79</v>
      </c>
      <c r="Q1224" t="s">
        <v>2491</v>
      </c>
    </row>
    <row r="1225" spans="1:17" x14ac:dyDescent="0.3">
      <c r="A1225" t="s">
        <v>17</v>
      </c>
      <c r="B1225" t="str">
        <f>"603222"</f>
        <v>603222</v>
      </c>
      <c r="C1225" t="s">
        <v>2492</v>
      </c>
      <c r="D1225" t="s">
        <v>113</v>
      </c>
      <c r="F1225">
        <v>-1311606</v>
      </c>
      <c r="G1225">
        <v>152991</v>
      </c>
      <c r="H1225">
        <v>19001213</v>
      </c>
      <c r="I1225">
        <v>-134645324</v>
      </c>
      <c r="J1225">
        <v>-267542963</v>
      </c>
      <c r="K1225">
        <v>-25185693</v>
      </c>
      <c r="L1225">
        <v>-18139765</v>
      </c>
      <c r="M1225">
        <v>43513641</v>
      </c>
      <c r="N1225">
        <v>77315947</v>
      </c>
      <c r="O1225">
        <v>137840776</v>
      </c>
      <c r="P1225">
        <v>172</v>
      </c>
      <c r="Q1225" t="s">
        <v>2493</v>
      </c>
    </row>
    <row r="1226" spans="1:17" x14ac:dyDescent="0.3">
      <c r="A1226" t="s">
        <v>17</v>
      </c>
      <c r="B1226" t="str">
        <f>"603223"</f>
        <v>603223</v>
      </c>
      <c r="C1226" t="s">
        <v>2494</v>
      </c>
      <c r="D1226" t="s">
        <v>22</v>
      </c>
      <c r="F1226">
        <v>150309229</v>
      </c>
      <c r="G1226">
        <v>188321645</v>
      </c>
      <c r="H1226">
        <v>11208860</v>
      </c>
      <c r="I1226">
        <v>-244530791</v>
      </c>
      <c r="J1226">
        <v>37279837</v>
      </c>
      <c r="K1226">
        <v>-63891791</v>
      </c>
      <c r="L1226">
        <v>-21081406</v>
      </c>
      <c r="M1226">
        <v>21909812</v>
      </c>
      <c r="N1226">
        <v>-20856850</v>
      </c>
      <c r="O1226">
        <v>-40424428</v>
      </c>
      <c r="P1226">
        <v>98</v>
      </c>
      <c r="Q1226" t="s">
        <v>2495</v>
      </c>
    </row>
    <row r="1227" spans="1:17" x14ac:dyDescent="0.3">
      <c r="A1227" t="s">
        <v>17</v>
      </c>
      <c r="B1227" t="str">
        <f>"603225"</f>
        <v>603225</v>
      </c>
      <c r="C1227" t="s">
        <v>2496</v>
      </c>
      <c r="D1227" t="s">
        <v>133</v>
      </c>
      <c r="F1227">
        <v>-3128811275</v>
      </c>
      <c r="G1227">
        <v>-2787974649</v>
      </c>
      <c r="H1227">
        <v>-3380838105</v>
      </c>
      <c r="I1227">
        <v>-2650320173</v>
      </c>
      <c r="J1227">
        <v>473364689</v>
      </c>
      <c r="K1227">
        <v>884252522</v>
      </c>
      <c r="L1227">
        <v>-305458836</v>
      </c>
      <c r="M1227">
        <v>-321342119</v>
      </c>
      <c r="P1227">
        <v>388</v>
      </c>
      <c r="Q1227" t="s">
        <v>2497</v>
      </c>
    </row>
    <row r="1228" spans="1:17" x14ac:dyDescent="0.3">
      <c r="A1228" t="s">
        <v>17</v>
      </c>
      <c r="B1228" t="str">
        <f>"603226"</f>
        <v>603226</v>
      </c>
      <c r="C1228" t="s">
        <v>2498</v>
      </c>
      <c r="D1228" t="s">
        <v>161</v>
      </c>
      <c r="F1228">
        <v>-51685630</v>
      </c>
      <c r="G1228">
        <v>14876421</v>
      </c>
      <c r="H1228">
        <v>79896847</v>
      </c>
      <c r="I1228">
        <v>114856683</v>
      </c>
      <c r="J1228">
        <v>72828230</v>
      </c>
      <c r="K1228">
        <v>94664403</v>
      </c>
      <c r="L1228">
        <v>118080980</v>
      </c>
      <c r="M1228">
        <v>27872059</v>
      </c>
      <c r="P1228">
        <v>113</v>
      </c>
      <c r="Q1228" t="s">
        <v>2499</v>
      </c>
    </row>
    <row r="1229" spans="1:17" x14ac:dyDescent="0.3">
      <c r="A1229" t="s">
        <v>17</v>
      </c>
      <c r="B1229" t="str">
        <f>"603227"</f>
        <v>603227</v>
      </c>
      <c r="C1229" t="s">
        <v>2500</v>
      </c>
      <c r="D1229" t="s">
        <v>133</v>
      </c>
      <c r="F1229">
        <v>-5306402</v>
      </c>
      <c r="G1229">
        <v>-8093165</v>
      </c>
      <c r="H1229">
        <v>-119189560</v>
      </c>
      <c r="I1229">
        <v>-214170010</v>
      </c>
      <c r="J1229">
        <v>-69376895</v>
      </c>
      <c r="K1229">
        <v>7226517</v>
      </c>
      <c r="L1229">
        <v>11985558</v>
      </c>
      <c r="M1229">
        <v>-275687889</v>
      </c>
      <c r="N1229">
        <v>-51800955</v>
      </c>
      <c r="O1229">
        <v>85103805</v>
      </c>
      <c r="P1229">
        <v>80</v>
      </c>
      <c r="Q1229" t="s">
        <v>2501</v>
      </c>
    </row>
    <row r="1230" spans="1:17" x14ac:dyDescent="0.3">
      <c r="A1230" t="s">
        <v>17</v>
      </c>
      <c r="B1230" t="str">
        <f>"603228"</f>
        <v>603228</v>
      </c>
      <c r="C1230" t="s">
        <v>2502</v>
      </c>
      <c r="D1230" t="s">
        <v>150</v>
      </c>
      <c r="F1230">
        <v>-1235013728</v>
      </c>
      <c r="G1230">
        <v>-345299633</v>
      </c>
      <c r="H1230">
        <v>-27641182</v>
      </c>
      <c r="I1230">
        <v>280173939</v>
      </c>
      <c r="J1230">
        <v>130552855</v>
      </c>
      <c r="K1230">
        <v>204172767</v>
      </c>
      <c r="L1230">
        <v>310253919</v>
      </c>
      <c r="M1230">
        <v>38995976</v>
      </c>
      <c r="N1230">
        <v>-21930762</v>
      </c>
      <c r="P1230">
        <v>1624</v>
      </c>
      <c r="Q1230" t="s">
        <v>2503</v>
      </c>
    </row>
    <row r="1231" spans="1:17" x14ac:dyDescent="0.3">
      <c r="A1231" t="s">
        <v>17</v>
      </c>
      <c r="B1231" t="str">
        <f>"603229"</f>
        <v>603229</v>
      </c>
      <c r="C1231" t="s">
        <v>2504</v>
      </c>
      <c r="D1231" t="s">
        <v>113</v>
      </c>
      <c r="F1231">
        <v>-136741015</v>
      </c>
      <c r="G1231">
        <v>45527793</v>
      </c>
      <c r="H1231">
        <v>38142104</v>
      </c>
      <c r="I1231">
        <v>-43478341</v>
      </c>
      <c r="J1231">
        <v>-7559993</v>
      </c>
      <c r="K1231">
        <v>50419938</v>
      </c>
      <c r="L1231">
        <v>10822833</v>
      </c>
      <c r="M1231">
        <v>-1631510</v>
      </c>
      <c r="P1231">
        <v>164</v>
      </c>
      <c r="Q1231" t="s">
        <v>2505</v>
      </c>
    </row>
    <row r="1232" spans="1:17" x14ac:dyDescent="0.3">
      <c r="A1232" t="s">
        <v>17</v>
      </c>
      <c r="B1232" t="str">
        <f>"603230"</f>
        <v>603230</v>
      </c>
      <c r="C1232" t="s">
        <v>2506</v>
      </c>
      <c r="D1232" t="s">
        <v>89</v>
      </c>
      <c r="F1232">
        <v>285419989</v>
      </c>
      <c r="G1232">
        <v>94603210</v>
      </c>
      <c r="H1232">
        <v>36080404</v>
      </c>
      <c r="I1232">
        <v>217855591</v>
      </c>
      <c r="J1232">
        <v>120663400</v>
      </c>
      <c r="P1232">
        <v>17</v>
      </c>
      <c r="Q1232" t="s">
        <v>2507</v>
      </c>
    </row>
    <row r="1233" spans="1:17" x14ac:dyDescent="0.3">
      <c r="A1233" t="s">
        <v>17</v>
      </c>
      <c r="B1233" t="str">
        <f>"603232"</f>
        <v>603232</v>
      </c>
      <c r="C1233" t="s">
        <v>2508</v>
      </c>
      <c r="D1233" t="s">
        <v>212</v>
      </c>
      <c r="F1233">
        <v>-113460604</v>
      </c>
      <c r="G1233">
        <v>97434066</v>
      </c>
      <c r="H1233">
        <v>53575975</v>
      </c>
      <c r="I1233">
        <v>-26875730</v>
      </c>
      <c r="J1233">
        <v>-1981931</v>
      </c>
      <c r="K1233">
        <v>33047381</v>
      </c>
      <c r="L1233">
        <v>31522176</v>
      </c>
      <c r="M1233">
        <v>1844615</v>
      </c>
      <c r="P1233">
        <v>159</v>
      </c>
      <c r="Q1233" t="s">
        <v>2509</v>
      </c>
    </row>
    <row r="1234" spans="1:17" x14ac:dyDescent="0.3">
      <c r="A1234" t="s">
        <v>17</v>
      </c>
      <c r="B1234" t="str">
        <f>"603233"</f>
        <v>603233</v>
      </c>
      <c r="C1234" t="s">
        <v>2510</v>
      </c>
      <c r="D1234" t="s">
        <v>113</v>
      </c>
      <c r="F1234">
        <v>281656572</v>
      </c>
      <c r="G1234">
        <v>1173944085</v>
      </c>
      <c r="H1234">
        <v>1213913281</v>
      </c>
      <c r="I1234">
        <v>324765181</v>
      </c>
      <c r="J1234">
        <v>-23600544</v>
      </c>
      <c r="K1234">
        <v>206323899</v>
      </c>
      <c r="L1234">
        <v>223088998</v>
      </c>
      <c r="M1234">
        <v>189278962</v>
      </c>
      <c r="P1234">
        <v>1784</v>
      </c>
      <c r="Q1234" t="s">
        <v>2511</v>
      </c>
    </row>
    <row r="1235" spans="1:17" x14ac:dyDescent="0.3">
      <c r="A1235" t="s">
        <v>17</v>
      </c>
      <c r="B1235" t="str">
        <f>"603236"</f>
        <v>603236</v>
      </c>
      <c r="C1235" t="s">
        <v>2512</v>
      </c>
      <c r="D1235" t="s">
        <v>100</v>
      </c>
      <c r="F1235">
        <v>-1415509078</v>
      </c>
      <c r="G1235">
        <v>-949605642</v>
      </c>
      <c r="H1235">
        <v>-377901629</v>
      </c>
      <c r="I1235">
        <v>11886721</v>
      </c>
      <c r="J1235">
        <v>-14031183</v>
      </c>
      <c r="K1235">
        <v>-67380275</v>
      </c>
      <c r="P1235">
        <v>589</v>
      </c>
      <c r="Q1235" t="s">
        <v>2513</v>
      </c>
    </row>
    <row r="1236" spans="1:17" x14ac:dyDescent="0.3">
      <c r="A1236" t="s">
        <v>17</v>
      </c>
      <c r="B1236" t="str">
        <f>"603238"</f>
        <v>603238</v>
      </c>
      <c r="C1236" t="s">
        <v>2514</v>
      </c>
      <c r="D1236" t="s">
        <v>481</v>
      </c>
      <c r="F1236">
        <v>-66694693</v>
      </c>
      <c r="G1236">
        <v>172086289</v>
      </c>
      <c r="H1236">
        <v>-39912669</v>
      </c>
      <c r="I1236">
        <v>-91430902</v>
      </c>
      <c r="J1236">
        <v>26430374</v>
      </c>
      <c r="K1236">
        <v>58603047</v>
      </c>
      <c r="L1236">
        <v>56820905</v>
      </c>
      <c r="M1236">
        <v>-34261648</v>
      </c>
      <c r="N1236">
        <v>-47682893</v>
      </c>
      <c r="P1236">
        <v>240</v>
      </c>
      <c r="Q1236" t="s">
        <v>2515</v>
      </c>
    </row>
    <row r="1237" spans="1:17" x14ac:dyDescent="0.3">
      <c r="A1237" t="s">
        <v>17</v>
      </c>
      <c r="B1237" t="str">
        <f>"603239"</f>
        <v>603239</v>
      </c>
      <c r="C1237" t="s">
        <v>2516</v>
      </c>
      <c r="D1237" t="s">
        <v>27</v>
      </c>
      <c r="F1237">
        <v>-90209147</v>
      </c>
      <c r="G1237">
        <v>47758905</v>
      </c>
      <c r="H1237">
        <v>57944256</v>
      </c>
      <c r="I1237">
        <v>55498512</v>
      </c>
      <c r="J1237">
        <v>-21741127</v>
      </c>
      <c r="K1237">
        <v>62200928</v>
      </c>
      <c r="L1237">
        <v>32258361</v>
      </c>
      <c r="M1237">
        <v>100276488</v>
      </c>
      <c r="N1237">
        <v>-15923307</v>
      </c>
      <c r="P1237">
        <v>166</v>
      </c>
      <c r="Q1237" t="s">
        <v>2517</v>
      </c>
    </row>
    <row r="1238" spans="1:17" x14ac:dyDescent="0.3">
      <c r="A1238" t="s">
        <v>17</v>
      </c>
      <c r="B1238" t="str">
        <f>"603256"</f>
        <v>603256</v>
      </c>
      <c r="C1238" t="s">
        <v>2518</v>
      </c>
      <c r="D1238" t="s">
        <v>350</v>
      </c>
      <c r="F1238">
        <v>-442988889</v>
      </c>
      <c r="G1238">
        <v>-104454537</v>
      </c>
      <c r="H1238">
        <v>-226555078</v>
      </c>
      <c r="I1238">
        <v>68172334</v>
      </c>
      <c r="J1238">
        <v>28647426</v>
      </c>
      <c r="K1238">
        <v>169908413</v>
      </c>
      <c r="P1238">
        <v>340</v>
      </c>
      <c r="Q1238" t="s">
        <v>2519</v>
      </c>
    </row>
    <row r="1239" spans="1:17" x14ac:dyDescent="0.3">
      <c r="A1239" t="s">
        <v>17</v>
      </c>
      <c r="B1239" t="str">
        <f>"603258"</f>
        <v>603258</v>
      </c>
      <c r="C1239" t="s">
        <v>2520</v>
      </c>
      <c r="D1239" t="s">
        <v>89</v>
      </c>
      <c r="F1239">
        <v>243124458</v>
      </c>
      <c r="G1239">
        <v>477194905</v>
      </c>
      <c r="H1239">
        <v>275450016</v>
      </c>
      <c r="I1239">
        <v>-10622644</v>
      </c>
      <c r="J1239">
        <v>11220827</v>
      </c>
      <c r="K1239">
        <v>224327147</v>
      </c>
      <c r="L1239">
        <v>153204247</v>
      </c>
      <c r="M1239">
        <v>300421423</v>
      </c>
      <c r="N1239">
        <v>343803130</v>
      </c>
      <c r="P1239">
        <v>770</v>
      </c>
      <c r="Q1239" t="s">
        <v>2521</v>
      </c>
    </row>
    <row r="1240" spans="1:17" x14ac:dyDescent="0.3">
      <c r="A1240" t="s">
        <v>17</v>
      </c>
      <c r="B1240" t="str">
        <f>"603259"</f>
        <v>603259</v>
      </c>
      <c r="C1240" t="s">
        <v>2522</v>
      </c>
      <c r="D1240" t="s">
        <v>113</v>
      </c>
      <c r="F1240">
        <v>-2344988157</v>
      </c>
      <c r="G1240">
        <v>951282634</v>
      </c>
      <c r="H1240">
        <v>400079337</v>
      </c>
      <c r="I1240">
        <v>-598998041</v>
      </c>
      <c r="J1240">
        <v>435994487</v>
      </c>
      <c r="K1240">
        <v>923171760</v>
      </c>
      <c r="L1240">
        <v>-95574847</v>
      </c>
      <c r="P1240">
        <v>3988</v>
      </c>
      <c r="Q1240" t="s">
        <v>2523</v>
      </c>
    </row>
    <row r="1241" spans="1:17" x14ac:dyDescent="0.3">
      <c r="A1241" t="s">
        <v>17</v>
      </c>
      <c r="B1241" t="str">
        <f>"603260"</f>
        <v>603260</v>
      </c>
      <c r="C1241" t="s">
        <v>2524</v>
      </c>
      <c r="D1241" t="s">
        <v>133</v>
      </c>
      <c r="F1241">
        <v>1067785515</v>
      </c>
      <c r="G1241">
        <v>-48432195</v>
      </c>
      <c r="H1241">
        <v>-94617801</v>
      </c>
      <c r="I1241">
        <v>-1014202900</v>
      </c>
      <c r="J1241">
        <v>-178715008</v>
      </c>
      <c r="K1241">
        <v>383112481</v>
      </c>
      <c r="L1241">
        <v>288279378</v>
      </c>
      <c r="M1241">
        <v>432950835</v>
      </c>
      <c r="P1241">
        <v>700</v>
      </c>
      <c r="Q1241" t="s">
        <v>2525</v>
      </c>
    </row>
    <row r="1242" spans="1:17" x14ac:dyDescent="0.3">
      <c r="A1242" t="s">
        <v>17</v>
      </c>
      <c r="B1242" t="str">
        <f>"603261"</f>
        <v>603261</v>
      </c>
      <c r="C1242" t="s">
        <v>2526</v>
      </c>
      <c r="F1242">
        <v>3884199</v>
      </c>
      <c r="G1242">
        <v>33630147</v>
      </c>
      <c r="H1242">
        <v>-21941310</v>
      </c>
      <c r="I1242">
        <v>45438695</v>
      </c>
      <c r="J1242">
        <v>-11146600</v>
      </c>
      <c r="P1242">
        <v>7</v>
      </c>
      <c r="Q1242" t="s">
        <v>2527</v>
      </c>
    </row>
    <row r="1243" spans="1:17" x14ac:dyDescent="0.3">
      <c r="A1243" t="s">
        <v>17</v>
      </c>
      <c r="B1243" t="str">
        <f>"603266"</f>
        <v>603266</v>
      </c>
      <c r="C1243" t="s">
        <v>2528</v>
      </c>
      <c r="D1243" t="s">
        <v>133</v>
      </c>
      <c r="F1243">
        <v>82441179</v>
      </c>
      <c r="G1243">
        <v>89072278</v>
      </c>
      <c r="H1243">
        <v>47296109</v>
      </c>
      <c r="I1243">
        <v>-3401290</v>
      </c>
      <c r="J1243">
        <v>423700</v>
      </c>
      <c r="K1243">
        <v>-3085989</v>
      </c>
      <c r="L1243">
        <v>23173806</v>
      </c>
      <c r="M1243">
        <v>22625497</v>
      </c>
      <c r="N1243">
        <v>43493420</v>
      </c>
      <c r="P1243">
        <v>95</v>
      </c>
      <c r="Q1243" t="s">
        <v>2529</v>
      </c>
    </row>
    <row r="1244" spans="1:17" x14ac:dyDescent="0.3">
      <c r="A1244" t="s">
        <v>17</v>
      </c>
      <c r="B1244" t="str">
        <f>"603267"</f>
        <v>603267</v>
      </c>
      <c r="C1244" t="s">
        <v>2530</v>
      </c>
      <c r="D1244" t="s">
        <v>92</v>
      </c>
      <c r="F1244">
        <v>308203874</v>
      </c>
      <c r="G1244">
        <v>-10730882</v>
      </c>
      <c r="H1244">
        <v>106450355</v>
      </c>
      <c r="I1244">
        <v>29724194</v>
      </c>
      <c r="J1244">
        <v>80218697</v>
      </c>
      <c r="K1244">
        <v>16210920</v>
      </c>
      <c r="P1244">
        <v>471</v>
      </c>
      <c r="Q1244" t="s">
        <v>2531</v>
      </c>
    </row>
    <row r="1245" spans="1:17" x14ac:dyDescent="0.3">
      <c r="A1245" t="s">
        <v>17</v>
      </c>
      <c r="B1245" t="str">
        <f>"603268"</f>
        <v>603268</v>
      </c>
      <c r="C1245" t="s">
        <v>2532</v>
      </c>
      <c r="D1245" t="s">
        <v>161</v>
      </c>
      <c r="F1245">
        <v>-51178257</v>
      </c>
      <c r="G1245">
        <v>54981182</v>
      </c>
      <c r="H1245">
        <v>62559405</v>
      </c>
      <c r="I1245">
        <v>6980747</v>
      </c>
      <c r="J1245">
        <v>-13118466</v>
      </c>
      <c r="K1245">
        <v>34046815</v>
      </c>
      <c r="L1245">
        <v>-23404477</v>
      </c>
      <c r="M1245">
        <v>29211842</v>
      </c>
      <c r="N1245">
        <v>7620687</v>
      </c>
      <c r="O1245">
        <v>-11626065</v>
      </c>
      <c r="P1245">
        <v>70</v>
      </c>
      <c r="Q1245" t="s">
        <v>2533</v>
      </c>
    </row>
    <row r="1246" spans="1:17" x14ac:dyDescent="0.3">
      <c r="A1246" t="s">
        <v>17</v>
      </c>
      <c r="B1246" t="str">
        <f>"603269"</f>
        <v>603269</v>
      </c>
      <c r="C1246" t="s">
        <v>2534</v>
      </c>
      <c r="D1246" t="s">
        <v>78</v>
      </c>
      <c r="F1246">
        <v>-61865558</v>
      </c>
      <c r="G1246">
        <v>-18688318</v>
      </c>
      <c r="H1246">
        <v>-82443098</v>
      </c>
      <c r="I1246">
        <v>-45617479</v>
      </c>
      <c r="J1246">
        <v>40236861</v>
      </c>
      <c r="K1246">
        <v>52142065</v>
      </c>
      <c r="L1246">
        <v>9565308</v>
      </c>
      <c r="M1246">
        <v>-33076633</v>
      </c>
      <c r="P1246">
        <v>63</v>
      </c>
      <c r="Q1246" t="s">
        <v>2535</v>
      </c>
    </row>
    <row r="1247" spans="1:17" x14ac:dyDescent="0.3">
      <c r="A1247" t="s">
        <v>17</v>
      </c>
      <c r="B1247" t="str">
        <f>"603272"</f>
        <v>603272</v>
      </c>
      <c r="C1247" t="s">
        <v>2536</v>
      </c>
      <c r="F1247">
        <v>38201627</v>
      </c>
      <c r="G1247">
        <v>18845173</v>
      </c>
      <c r="H1247">
        <v>3538477</v>
      </c>
      <c r="I1247">
        <v>35527394</v>
      </c>
      <c r="Q1247" t="s">
        <v>2537</v>
      </c>
    </row>
    <row r="1248" spans="1:17" x14ac:dyDescent="0.3">
      <c r="A1248" t="s">
        <v>17</v>
      </c>
      <c r="B1248" t="str">
        <f>"603277"</f>
        <v>603277</v>
      </c>
      <c r="C1248" t="s">
        <v>2538</v>
      </c>
      <c r="D1248" t="s">
        <v>78</v>
      </c>
      <c r="F1248">
        <v>-122299316</v>
      </c>
      <c r="G1248">
        <v>179884545</v>
      </c>
      <c r="H1248">
        <v>-8208263</v>
      </c>
      <c r="I1248">
        <v>72706899</v>
      </c>
      <c r="J1248">
        <v>114497134</v>
      </c>
      <c r="K1248">
        <v>122730654</v>
      </c>
      <c r="L1248">
        <v>60152151</v>
      </c>
      <c r="M1248">
        <v>23574050</v>
      </c>
      <c r="P1248">
        <v>137</v>
      </c>
      <c r="Q1248" t="s">
        <v>2539</v>
      </c>
    </row>
    <row r="1249" spans="1:17" x14ac:dyDescent="0.3">
      <c r="A1249" t="s">
        <v>17</v>
      </c>
      <c r="B1249" t="str">
        <f>"603278"</f>
        <v>603278</v>
      </c>
      <c r="C1249" t="s">
        <v>2540</v>
      </c>
      <c r="D1249" t="s">
        <v>78</v>
      </c>
      <c r="F1249">
        <v>132463513</v>
      </c>
      <c r="G1249">
        <v>-406670560</v>
      </c>
      <c r="H1249">
        <v>-259308573</v>
      </c>
      <c r="I1249">
        <v>-130259827</v>
      </c>
      <c r="J1249">
        <v>15544053</v>
      </c>
      <c r="K1249">
        <v>62237232</v>
      </c>
      <c r="L1249">
        <v>62902356</v>
      </c>
      <c r="M1249">
        <v>16071655</v>
      </c>
      <c r="P1249">
        <v>122</v>
      </c>
      <c r="Q1249" t="s">
        <v>2541</v>
      </c>
    </row>
    <row r="1250" spans="1:17" x14ac:dyDescent="0.3">
      <c r="A1250" t="s">
        <v>17</v>
      </c>
      <c r="B1250" t="str">
        <f>"603279"</f>
        <v>603279</v>
      </c>
      <c r="C1250" t="s">
        <v>2542</v>
      </c>
      <c r="D1250" t="s">
        <v>33</v>
      </c>
      <c r="F1250">
        <v>382483886</v>
      </c>
      <c r="G1250">
        <v>507915221</v>
      </c>
      <c r="H1250">
        <v>435925944</v>
      </c>
      <c r="I1250">
        <v>305595139</v>
      </c>
      <c r="J1250">
        <v>-31648022</v>
      </c>
      <c r="K1250">
        <v>326177031</v>
      </c>
      <c r="P1250">
        <v>234</v>
      </c>
      <c r="Q1250" t="s">
        <v>2543</v>
      </c>
    </row>
    <row r="1251" spans="1:17" x14ac:dyDescent="0.3">
      <c r="A1251" t="s">
        <v>17</v>
      </c>
      <c r="B1251" t="str">
        <f>"603283"</f>
        <v>603283</v>
      </c>
      <c r="C1251" t="s">
        <v>2544</v>
      </c>
      <c r="D1251" t="s">
        <v>78</v>
      </c>
      <c r="F1251">
        <v>331299303</v>
      </c>
      <c r="G1251">
        <v>-617278519</v>
      </c>
      <c r="H1251">
        <v>37171493</v>
      </c>
      <c r="I1251">
        <v>-189124711</v>
      </c>
      <c r="J1251">
        <v>110006489</v>
      </c>
      <c r="K1251">
        <v>-20543099</v>
      </c>
      <c r="L1251">
        <v>29825431</v>
      </c>
      <c r="M1251">
        <v>136045114</v>
      </c>
      <c r="P1251">
        <v>216</v>
      </c>
      <c r="Q1251" t="s">
        <v>2545</v>
      </c>
    </row>
    <row r="1252" spans="1:17" x14ac:dyDescent="0.3">
      <c r="A1252" t="s">
        <v>17</v>
      </c>
      <c r="B1252" t="str">
        <f>"603286"</f>
        <v>603286</v>
      </c>
      <c r="C1252" t="s">
        <v>2546</v>
      </c>
      <c r="D1252" t="s">
        <v>27</v>
      </c>
      <c r="F1252">
        <v>-87954294</v>
      </c>
      <c r="G1252">
        <v>60588877</v>
      </c>
      <c r="H1252">
        <v>24460547</v>
      </c>
      <c r="I1252">
        <v>-41008711</v>
      </c>
      <c r="J1252">
        <v>-1229863</v>
      </c>
      <c r="K1252">
        <v>-5356350</v>
      </c>
      <c r="L1252">
        <v>24911520</v>
      </c>
      <c r="M1252">
        <v>15655046</v>
      </c>
      <c r="P1252">
        <v>66</v>
      </c>
      <c r="Q1252" t="s">
        <v>2547</v>
      </c>
    </row>
    <row r="1253" spans="1:17" x14ac:dyDescent="0.3">
      <c r="A1253" t="s">
        <v>17</v>
      </c>
      <c r="B1253" t="str">
        <f>"603288"</f>
        <v>603288</v>
      </c>
      <c r="C1253" t="s">
        <v>2548</v>
      </c>
      <c r="D1253" t="s">
        <v>123</v>
      </c>
      <c r="F1253">
        <v>5309705498</v>
      </c>
      <c r="G1253">
        <v>6045056992</v>
      </c>
      <c r="H1253">
        <v>5988304910</v>
      </c>
      <c r="I1253">
        <v>5773113297</v>
      </c>
      <c r="J1253">
        <v>4462335445</v>
      </c>
      <c r="K1253">
        <v>3286075496</v>
      </c>
      <c r="L1253">
        <v>1451330428</v>
      </c>
      <c r="M1253">
        <v>1927567235</v>
      </c>
      <c r="N1253">
        <v>1088109641</v>
      </c>
      <c r="O1253">
        <v>1703330713</v>
      </c>
      <c r="P1253">
        <v>54149</v>
      </c>
      <c r="Q1253" t="s">
        <v>2549</v>
      </c>
    </row>
    <row r="1254" spans="1:17" x14ac:dyDescent="0.3">
      <c r="A1254" t="s">
        <v>17</v>
      </c>
      <c r="B1254" t="str">
        <f>"603289"</f>
        <v>603289</v>
      </c>
      <c r="C1254" t="s">
        <v>2550</v>
      </c>
      <c r="D1254" t="s">
        <v>78</v>
      </c>
      <c r="F1254">
        <v>80415297</v>
      </c>
      <c r="G1254">
        <v>96111598</v>
      </c>
      <c r="H1254">
        <v>30116352</v>
      </c>
      <c r="I1254">
        <v>39315335</v>
      </c>
      <c r="J1254">
        <v>28520196</v>
      </c>
      <c r="K1254">
        <v>89757789</v>
      </c>
      <c r="L1254">
        <v>-9622176</v>
      </c>
      <c r="M1254">
        <v>68754206</v>
      </c>
      <c r="P1254">
        <v>115</v>
      </c>
      <c r="Q1254" t="s">
        <v>2551</v>
      </c>
    </row>
    <row r="1255" spans="1:17" x14ac:dyDescent="0.3">
      <c r="A1255" t="s">
        <v>17</v>
      </c>
      <c r="B1255" t="str">
        <f>"603290"</f>
        <v>603290</v>
      </c>
      <c r="C1255" t="s">
        <v>2552</v>
      </c>
      <c r="D1255" t="s">
        <v>150</v>
      </c>
      <c r="F1255">
        <v>-19452697</v>
      </c>
      <c r="G1255">
        <v>-215156218</v>
      </c>
      <c r="H1255">
        <v>38901062</v>
      </c>
      <c r="I1255">
        <v>68200345</v>
      </c>
      <c r="J1255">
        <v>-23552882</v>
      </c>
      <c r="K1255">
        <v>-9906860</v>
      </c>
      <c r="P1255">
        <v>637</v>
      </c>
      <c r="Q1255" t="s">
        <v>2553</v>
      </c>
    </row>
    <row r="1256" spans="1:17" x14ac:dyDescent="0.3">
      <c r="A1256" t="s">
        <v>17</v>
      </c>
      <c r="B1256" t="str">
        <f>"603297"</f>
        <v>603297</v>
      </c>
      <c r="C1256" t="s">
        <v>2554</v>
      </c>
      <c r="D1256" t="s">
        <v>150</v>
      </c>
      <c r="F1256">
        <v>195258965</v>
      </c>
      <c r="G1256">
        <v>133544311</v>
      </c>
      <c r="H1256">
        <v>47811726</v>
      </c>
      <c r="I1256">
        <v>43315079</v>
      </c>
      <c r="J1256">
        <v>72381641</v>
      </c>
      <c r="K1256">
        <v>21147660</v>
      </c>
      <c r="L1256">
        <v>72241032</v>
      </c>
      <c r="P1256">
        <v>238</v>
      </c>
      <c r="Q1256" t="s">
        <v>2555</v>
      </c>
    </row>
    <row r="1257" spans="1:17" x14ac:dyDescent="0.3">
      <c r="A1257" t="s">
        <v>17</v>
      </c>
      <c r="B1257" t="str">
        <f>"603298"</f>
        <v>603298</v>
      </c>
      <c r="C1257" t="s">
        <v>2556</v>
      </c>
      <c r="D1257" t="s">
        <v>78</v>
      </c>
      <c r="F1257">
        <v>-324110807</v>
      </c>
      <c r="G1257">
        <v>761312523</v>
      </c>
      <c r="H1257">
        <v>664402266</v>
      </c>
      <c r="I1257">
        <v>-207188155</v>
      </c>
      <c r="J1257">
        <v>342765657</v>
      </c>
      <c r="K1257">
        <v>281229939</v>
      </c>
      <c r="L1257">
        <v>522381458</v>
      </c>
      <c r="M1257">
        <v>466194906</v>
      </c>
      <c r="N1257">
        <v>234933597</v>
      </c>
      <c r="P1257">
        <v>451</v>
      </c>
      <c r="Q1257" t="s">
        <v>2557</v>
      </c>
    </row>
    <row r="1258" spans="1:17" x14ac:dyDescent="0.3">
      <c r="A1258" t="s">
        <v>17</v>
      </c>
      <c r="B1258" t="str">
        <f>"603299"</f>
        <v>603299</v>
      </c>
      <c r="C1258" t="s">
        <v>2558</v>
      </c>
      <c r="D1258" t="s">
        <v>133</v>
      </c>
      <c r="F1258">
        <v>162031161</v>
      </c>
      <c r="G1258">
        <v>529167049</v>
      </c>
      <c r="H1258">
        <v>381449235</v>
      </c>
      <c r="I1258">
        <v>23476038</v>
      </c>
      <c r="J1258">
        <v>124486004</v>
      </c>
      <c r="K1258">
        <v>367710184</v>
      </c>
      <c r="L1258">
        <v>358136792</v>
      </c>
      <c r="M1258">
        <v>180234209</v>
      </c>
      <c r="N1258">
        <v>-114366842</v>
      </c>
      <c r="O1258">
        <v>-32575494</v>
      </c>
      <c r="P1258">
        <v>139</v>
      </c>
      <c r="Q1258" t="s">
        <v>2559</v>
      </c>
    </row>
    <row r="1259" spans="1:17" x14ac:dyDescent="0.3">
      <c r="A1259" t="s">
        <v>17</v>
      </c>
      <c r="B1259" t="str">
        <f>"603300"</f>
        <v>603300</v>
      </c>
      <c r="C1259" t="s">
        <v>2560</v>
      </c>
      <c r="D1259" t="s">
        <v>75</v>
      </c>
      <c r="F1259">
        <v>424841846</v>
      </c>
      <c r="G1259">
        <v>-933076172</v>
      </c>
      <c r="H1259">
        <v>453841621</v>
      </c>
      <c r="I1259">
        <v>-255396442</v>
      </c>
      <c r="J1259">
        <v>-1314449748</v>
      </c>
      <c r="K1259">
        <v>-2016769611</v>
      </c>
      <c r="L1259">
        <v>-46106732</v>
      </c>
      <c r="M1259">
        <v>47519700</v>
      </c>
      <c r="N1259">
        <v>32223216</v>
      </c>
      <c r="O1259">
        <v>-147957287</v>
      </c>
      <c r="P1259">
        <v>124</v>
      </c>
      <c r="Q1259" t="s">
        <v>2561</v>
      </c>
    </row>
    <row r="1260" spans="1:17" x14ac:dyDescent="0.3">
      <c r="A1260" t="s">
        <v>17</v>
      </c>
      <c r="B1260" t="str">
        <f>"603301"</f>
        <v>603301</v>
      </c>
      <c r="C1260" t="s">
        <v>2562</v>
      </c>
      <c r="D1260" t="s">
        <v>113</v>
      </c>
      <c r="F1260">
        <v>128946517</v>
      </c>
      <c r="G1260">
        <v>2095772347</v>
      </c>
      <c r="H1260">
        <v>-72685197</v>
      </c>
      <c r="I1260">
        <v>-130603186</v>
      </c>
      <c r="J1260">
        <v>40973833</v>
      </c>
      <c r="K1260">
        <v>-13115635</v>
      </c>
      <c r="L1260">
        <v>124962628</v>
      </c>
      <c r="P1260">
        <v>1533</v>
      </c>
      <c r="Q1260" t="s">
        <v>2563</v>
      </c>
    </row>
    <row r="1261" spans="1:17" x14ac:dyDescent="0.3">
      <c r="A1261" t="s">
        <v>17</v>
      </c>
      <c r="B1261" t="str">
        <f>"603302"</f>
        <v>603302</v>
      </c>
      <c r="C1261" t="s">
        <v>2564</v>
      </c>
      <c r="K1261">
        <v>56636046</v>
      </c>
      <c r="L1261">
        <v>60427749</v>
      </c>
      <c r="M1261">
        <v>-56220235</v>
      </c>
      <c r="P1261">
        <v>19</v>
      </c>
      <c r="Q1261" t="s">
        <v>2565</v>
      </c>
    </row>
    <row r="1262" spans="1:17" x14ac:dyDescent="0.3">
      <c r="A1262" t="s">
        <v>17</v>
      </c>
      <c r="B1262" t="str">
        <f>"603303"</f>
        <v>603303</v>
      </c>
      <c r="C1262" t="s">
        <v>2566</v>
      </c>
      <c r="D1262" t="s">
        <v>126</v>
      </c>
      <c r="F1262">
        <v>-260832368</v>
      </c>
      <c r="G1262">
        <v>246053663</v>
      </c>
      <c r="H1262">
        <v>106494623</v>
      </c>
      <c r="I1262">
        <v>-14062030</v>
      </c>
      <c r="J1262">
        <v>-78016726</v>
      </c>
      <c r="K1262">
        <v>12247202</v>
      </c>
      <c r="L1262">
        <v>173908525</v>
      </c>
      <c r="M1262">
        <v>246307287</v>
      </c>
      <c r="P1262">
        <v>181</v>
      </c>
      <c r="Q1262" t="s">
        <v>2567</v>
      </c>
    </row>
    <row r="1263" spans="1:17" x14ac:dyDescent="0.3">
      <c r="A1263" t="s">
        <v>17</v>
      </c>
      <c r="B1263" t="str">
        <f>"603305"</f>
        <v>603305</v>
      </c>
      <c r="C1263" t="s">
        <v>2568</v>
      </c>
      <c r="D1263" t="s">
        <v>27</v>
      </c>
      <c r="F1263">
        <v>-1068015696</v>
      </c>
      <c r="G1263">
        <v>-57496617</v>
      </c>
      <c r="H1263">
        <v>-176393970</v>
      </c>
      <c r="I1263">
        <v>-113185054</v>
      </c>
      <c r="J1263">
        <v>-114889227</v>
      </c>
      <c r="K1263">
        <v>129934066</v>
      </c>
      <c r="L1263">
        <v>-64207117</v>
      </c>
      <c r="M1263">
        <v>-35543420</v>
      </c>
      <c r="P1263">
        <v>507</v>
      </c>
      <c r="Q1263" t="s">
        <v>2569</v>
      </c>
    </row>
    <row r="1264" spans="1:17" x14ac:dyDescent="0.3">
      <c r="A1264" t="s">
        <v>17</v>
      </c>
      <c r="B1264" t="str">
        <f>"603306"</f>
        <v>603306</v>
      </c>
      <c r="C1264" t="s">
        <v>2570</v>
      </c>
      <c r="D1264" t="s">
        <v>27</v>
      </c>
      <c r="F1264">
        <v>133995951</v>
      </c>
      <c r="G1264">
        <v>191672505</v>
      </c>
      <c r="H1264">
        <v>212105165</v>
      </c>
      <c r="I1264">
        <v>137268581</v>
      </c>
      <c r="J1264">
        <v>175379972</v>
      </c>
      <c r="K1264">
        <v>63713003</v>
      </c>
      <c r="L1264">
        <v>50892179</v>
      </c>
      <c r="M1264">
        <v>71746951</v>
      </c>
      <c r="N1264">
        <v>19980418</v>
      </c>
      <c r="O1264">
        <v>-7799236</v>
      </c>
      <c r="P1264">
        <v>631</v>
      </c>
      <c r="Q1264" t="s">
        <v>2571</v>
      </c>
    </row>
    <row r="1265" spans="1:17" x14ac:dyDescent="0.3">
      <c r="A1265" t="s">
        <v>17</v>
      </c>
      <c r="B1265" t="str">
        <f>"603308"</f>
        <v>603308</v>
      </c>
      <c r="C1265" t="s">
        <v>2572</v>
      </c>
      <c r="D1265" t="s">
        <v>78</v>
      </c>
      <c r="F1265">
        <v>-639395709</v>
      </c>
      <c r="G1265">
        <v>-453105214</v>
      </c>
      <c r="H1265">
        <v>-144304768</v>
      </c>
      <c r="I1265">
        <v>33339424</v>
      </c>
      <c r="J1265">
        <v>-65555466</v>
      </c>
      <c r="K1265">
        <v>-200396043</v>
      </c>
      <c r="L1265">
        <v>-159400716</v>
      </c>
      <c r="M1265">
        <v>-274047607</v>
      </c>
      <c r="N1265">
        <v>61641289</v>
      </c>
      <c r="O1265">
        <v>-253961511</v>
      </c>
      <c r="P1265">
        <v>233</v>
      </c>
      <c r="Q1265" t="s">
        <v>2573</v>
      </c>
    </row>
    <row r="1266" spans="1:17" x14ac:dyDescent="0.3">
      <c r="A1266" t="s">
        <v>17</v>
      </c>
      <c r="B1266" t="str">
        <f>"603309"</f>
        <v>603309</v>
      </c>
      <c r="C1266" t="s">
        <v>2574</v>
      </c>
      <c r="D1266" t="s">
        <v>113</v>
      </c>
      <c r="F1266">
        <v>80940492</v>
      </c>
      <c r="G1266">
        <v>136458859</v>
      </c>
      <c r="H1266">
        <v>68607298</v>
      </c>
      <c r="I1266">
        <v>11316220</v>
      </c>
      <c r="J1266">
        <v>4956051</v>
      </c>
      <c r="K1266">
        <v>16630677</v>
      </c>
      <c r="L1266">
        <v>44516471</v>
      </c>
      <c r="M1266">
        <v>55857053</v>
      </c>
      <c r="N1266">
        <v>29858828</v>
      </c>
      <c r="O1266">
        <v>36641830</v>
      </c>
      <c r="P1266">
        <v>148</v>
      </c>
      <c r="Q1266" t="s">
        <v>2575</v>
      </c>
    </row>
    <row r="1267" spans="1:17" x14ac:dyDescent="0.3">
      <c r="A1267" t="s">
        <v>17</v>
      </c>
      <c r="B1267" t="str">
        <f>"603311"</f>
        <v>603311</v>
      </c>
      <c r="C1267" t="s">
        <v>2576</v>
      </c>
      <c r="D1267" t="s">
        <v>126</v>
      </c>
      <c r="F1267">
        <v>-5335633</v>
      </c>
      <c r="G1267">
        <v>77998809</v>
      </c>
      <c r="H1267">
        <v>35471106</v>
      </c>
      <c r="I1267">
        <v>-44786502</v>
      </c>
      <c r="J1267">
        <v>-25820794</v>
      </c>
      <c r="K1267">
        <v>55253050</v>
      </c>
      <c r="L1267">
        <v>28135272</v>
      </c>
      <c r="M1267">
        <v>49949092</v>
      </c>
      <c r="N1267">
        <v>-32965304</v>
      </c>
      <c r="O1267">
        <v>-31418846</v>
      </c>
      <c r="P1267">
        <v>96</v>
      </c>
      <c r="Q1267" t="s">
        <v>2577</v>
      </c>
    </row>
    <row r="1268" spans="1:17" x14ac:dyDescent="0.3">
      <c r="A1268" t="s">
        <v>17</v>
      </c>
      <c r="B1268" t="str">
        <f>"603313"</f>
        <v>603313</v>
      </c>
      <c r="C1268" t="s">
        <v>2578</v>
      </c>
      <c r="D1268" t="s">
        <v>161</v>
      </c>
      <c r="F1268">
        <v>-461706286</v>
      </c>
      <c r="G1268">
        <v>-303973496</v>
      </c>
      <c r="H1268">
        <v>-650440553</v>
      </c>
      <c r="I1268">
        <v>-241245820</v>
      </c>
      <c r="J1268">
        <v>-131074499</v>
      </c>
      <c r="K1268">
        <v>41987534</v>
      </c>
      <c r="L1268">
        <v>-24281491</v>
      </c>
      <c r="M1268">
        <v>18396050</v>
      </c>
      <c r="N1268">
        <v>35682705</v>
      </c>
      <c r="P1268">
        <v>580</v>
      </c>
      <c r="Q1268" t="s">
        <v>2579</v>
      </c>
    </row>
    <row r="1269" spans="1:17" x14ac:dyDescent="0.3">
      <c r="A1269" t="s">
        <v>17</v>
      </c>
      <c r="B1269" t="str">
        <f>"603315"</f>
        <v>603315</v>
      </c>
      <c r="C1269" t="s">
        <v>2580</v>
      </c>
      <c r="D1269" t="s">
        <v>78</v>
      </c>
      <c r="F1269">
        <v>-192780410</v>
      </c>
      <c r="G1269">
        <v>39898491</v>
      </c>
      <c r="H1269">
        <v>38978841</v>
      </c>
      <c r="I1269">
        <v>-88592855</v>
      </c>
      <c r="J1269">
        <v>-120318036</v>
      </c>
      <c r="K1269">
        <v>-24138558</v>
      </c>
      <c r="L1269">
        <v>40333095</v>
      </c>
      <c r="M1269">
        <v>16542026</v>
      </c>
      <c r="N1269">
        <v>66450317</v>
      </c>
      <c r="O1269">
        <v>-10536630</v>
      </c>
      <c r="P1269">
        <v>57</v>
      </c>
      <c r="Q1269" t="s">
        <v>2581</v>
      </c>
    </row>
    <row r="1270" spans="1:17" x14ac:dyDescent="0.3">
      <c r="A1270" t="s">
        <v>17</v>
      </c>
      <c r="B1270" t="str">
        <f>"603316"</f>
        <v>603316</v>
      </c>
      <c r="C1270" t="s">
        <v>2582</v>
      </c>
      <c r="D1270" t="s">
        <v>95</v>
      </c>
      <c r="F1270">
        <v>-179474827</v>
      </c>
      <c r="G1270">
        <v>-322688726</v>
      </c>
      <c r="H1270">
        <v>-128080491</v>
      </c>
      <c r="I1270">
        <v>-66698146</v>
      </c>
      <c r="J1270">
        <v>-139478562</v>
      </c>
      <c r="K1270">
        <v>45895707</v>
      </c>
      <c r="L1270">
        <v>44590909</v>
      </c>
      <c r="M1270">
        <v>-79849701</v>
      </c>
      <c r="P1270">
        <v>59</v>
      </c>
      <c r="Q1270" t="s">
        <v>2583</v>
      </c>
    </row>
    <row r="1271" spans="1:17" x14ac:dyDescent="0.3">
      <c r="A1271" t="s">
        <v>17</v>
      </c>
      <c r="B1271" t="str">
        <f>"603317"</f>
        <v>603317</v>
      </c>
      <c r="C1271" t="s">
        <v>2584</v>
      </c>
      <c r="D1271" t="s">
        <v>123</v>
      </c>
      <c r="F1271">
        <v>-75474535</v>
      </c>
      <c r="G1271">
        <v>154425061</v>
      </c>
      <c r="H1271">
        <v>329976541</v>
      </c>
      <c r="I1271">
        <v>241238260</v>
      </c>
      <c r="J1271">
        <v>212082605</v>
      </c>
      <c r="K1271">
        <v>149988261</v>
      </c>
      <c r="P1271">
        <v>1436</v>
      </c>
      <c r="Q1271" t="s">
        <v>2585</v>
      </c>
    </row>
    <row r="1272" spans="1:17" x14ac:dyDescent="0.3">
      <c r="A1272" t="s">
        <v>17</v>
      </c>
      <c r="B1272" t="str">
        <f>"603318"</f>
        <v>603318</v>
      </c>
      <c r="C1272" t="s">
        <v>2586</v>
      </c>
      <c r="D1272" t="s">
        <v>41</v>
      </c>
      <c r="F1272">
        <v>140656436</v>
      </c>
      <c r="G1272">
        <v>157641507</v>
      </c>
      <c r="H1272">
        <v>-69376199</v>
      </c>
      <c r="I1272">
        <v>-217799834</v>
      </c>
      <c r="J1272">
        <v>-167817225</v>
      </c>
      <c r="K1272">
        <v>90276682</v>
      </c>
      <c r="L1272">
        <v>-294718802</v>
      </c>
      <c r="M1272">
        <v>-44823695</v>
      </c>
      <c r="N1272">
        <v>-10857776</v>
      </c>
      <c r="O1272">
        <v>-7646424</v>
      </c>
      <c r="P1272">
        <v>63</v>
      </c>
      <c r="Q1272" t="s">
        <v>2587</v>
      </c>
    </row>
    <row r="1273" spans="1:17" x14ac:dyDescent="0.3">
      <c r="A1273" t="s">
        <v>17</v>
      </c>
      <c r="B1273" t="str">
        <f>"603319"</f>
        <v>603319</v>
      </c>
      <c r="C1273" t="s">
        <v>2588</v>
      </c>
      <c r="D1273" t="s">
        <v>27</v>
      </c>
      <c r="F1273">
        <v>-38767967</v>
      </c>
      <c r="G1273">
        <v>85663472</v>
      </c>
      <c r="H1273">
        <v>-6620042</v>
      </c>
      <c r="I1273">
        <v>-21997161</v>
      </c>
      <c r="J1273">
        <v>-110021188</v>
      </c>
      <c r="K1273">
        <v>28506026</v>
      </c>
      <c r="L1273">
        <v>-12074749</v>
      </c>
      <c r="M1273">
        <v>-3192045</v>
      </c>
      <c r="N1273">
        <v>36309913</v>
      </c>
      <c r="P1273">
        <v>172</v>
      </c>
      <c r="Q1273" t="s">
        <v>2589</v>
      </c>
    </row>
    <row r="1274" spans="1:17" x14ac:dyDescent="0.3">
      <c r="A1274" t="s">
        <v>17</v>
      </c>
      <c r="B1274" t="str">
        <f>"603320"</f>
        <v>603320</v>
      </c>
      <c r="C1274" t="s">
        <v>2590</v>
      </c>
      <c r="D1274" t="s">
        <v>188</v>
      </c>
      <c r="F1274">
        <v>-59181666</v>
      </c>
      <c r="G1274">
        <v>-16551179</v>
      </c>
      <c r="H1274">
        <v>-10836264</v>
      </c>
      <c r="I1274">
        <v>-16964632</v>
      </c>
      <c r="J1274">
        <v>-6033182</v>
      </c>
      <c r="K1274">
        <v>13831213</v>
      </c>
      <c r="L1274">
        <v>66304824</v>
      </c>
      <c r="M1274">
        <v>54721489</v>
      </c>
      <c r="P1274">
        <v>94</v>
      </c>
      <c r="Q1274" t="s">
        <v>2591</v>
      </c>
    </row>
    <row r="1275" spans="1:17" x14ac:dyDescent="0.3">
      <c r="A1275" t="s">
        <v>17</v>
      </c>
      <c r="B1275" t="str">
        <f>"603321"</f>
        <v>603321</v>
      </c>
      <c r="C1275" t="s">
        <v>2592</v>
      </c>
      <c r="D1275" t="s">
        <v>78</v>
      </c>
      <c r="F1275">
        <v>845103</v>
      </c>
      <c r="G1275">
        <v>-13601512</v>
      </c>
      <c r="H1275">
        <v>2681893</v>
      </c>
      <c r="I1275">
        <v>-3017716</v>
      </c>
      <c r="J1275">
        <v>16871698</v>
      </c>
      <c r="K1275">
        <v>-71818224</v>
      </c>
      <c r="L1275">
        <v>96542867</v>
      </c>
      <c r="M1275">
        <v>40679502</v>
      </c>
      <c r="P1275">
        <v>59</v>
      </c>
      <c r="Q1275" t="s">
        <v>2593</v>
      </c>
    </row>
    <row r="1276" spans="1:17" x14ac:dyDescent="0.3">
      <c r="A1276" t="s">
        <v>17</v>
      </c>
      <c r="B1276" t="str">
        <f>"603322"</f>
        <v>603322</v>
      </c>
      <c r="C1276" t="s">
        <v>2594</v>
      </c>
      <c r="D1276" t="s">
        <v>100</v>
      </c>
      <c r="F1276">
        <v>-78874233</v>
      </c>
      <c r="G1276">
        <v>31214416</v>
      </c>
      <c r="H1276">
        <v>17695444</v>
      </c>
      <c r="I1276">
        <v>36877355</v>
      </c>
      <c r="J1276">
        <v>25416146</v>
      </c>
      <c r="K1276">
        <v>-62701362</v>
      </c>
      <c r="L1276">
        <v>32477019</v>
      </c>
      <c r="M1276">
        <v>55101367</v>
      </c>
      <c r="N1276">
        <v>-43172000</v>
      </c>
      <c r="P1276">
        <v>184</v>
      </c>
      <c r="Q1276" t="s">
        <v>2595</v>
      </c>
    </row>
    <row r="1277" spans="1:17" x14ac:dyDescent="0.3">
      <c r="A1277" t="s">
        <v>17</v>
      </c>
      <c r="B1277" t="str">
        <f>"603323"</f>
        <v>603323</v>
      </c>
      <c r="C1277" t="s">
        <v>2596</v>
      </c>
      <c r="D1277" t="s">
        <v>19</v>
      </c>
      <c r="F1277">
        <v>-2000934000</v>
      </c>
      <c r="G1277">
        <v>7107530000</v>
      </c>
      <c r="H1277">
        <v>3494007000</v>
      </c>
      <c r="I1277">
        <v>2411221000</v>
      </c>
      <c r="J1277">
        <v>-1104581000</v>
      </c>
      <c r="K1277">
        <v>2333875000</v>
      </c>
      <c r="L1277">
        <v>5357366000</v>
      </c>
      <c r="M1277">
        <v>-3698634000</v>
      </c>
      <c r="N1277">
        <v>-176771000</v>
      </c>
      <c r="O1277">
        <v>2295461000</v>
      </c>
      <c r="P1277">
        <v>498</v>
      </c>
      <c r="Q1277" t="s">
        <v>2597</v>
      </c>
    </row>
    <row r="1278" spans="1:17" x14ac:dyDescent="0.3">
      <c r="A1278" t="s">
        <v>17</v>
      </c>
      <c r="B1278" t="str">
        <f>"603324"</f>
        <v>603324</v>
      </c>
      <c r="C1278" t="s">
        <v>2598</v>
      </c>
      <c r="D1278" t="s">
        <v>33</v>
      </c>
      <c r="F1278">
        <v>-89090774</v>
      </c>
      <c r="G1278">
        <v>27197927</v>
      </c>
      <c r="H1278">
        <v>50956209</v>
      </c>
      <c r="I1278">
        <v>12659959</v>
      </c>
      <c r="J1278">
        <v>-28803210</v>
      </c>
      <c r="P1278">
        <v>29</v>
      </c>
      <c r="Q1278" t="s">
        <v>2599</v>
      </c>
    </row>
    <row r="1279" spans="1:17" x14ac:dyDescent="0.3">
      <c r="A1279" t="s">
        <v>17</v>
      </c>
      <c r="B1279" t="str">
        <f>"603326"</f>
        <v>603326</v>
      </c>
      <c r="C1279" t="s">
        <v>2600</v>
      </c>
      <c r="D1279" t="s">
        <v>161</v>
      </c>
      <c r="F1279">
        <v>-152623099</v>
      </c>
      <c r="G1279">
        <v>25889298</v>
      </c>
      <c r="H1279">
        <v>-70558720</v>
      </c>
      <c r="I1279">
        <v>-75304084</v>
      </c>
      <c r="J1279">
        <v>-13988622</v>
      </c>
      <c r="K1279">
        <v>55438398</v>
      </c>
      <c r="L1279">
        <v>43728408</v>
      </c>
      <c r="M1279">
        <v>7313119</v>
      </c>
      <c r="P1279">
        <v>247</v>
      </c>
      <c r="Q1279" t="s">
        <v>2601</v>
      </c>
    </row>
    <row r="1280" spans="1:17" x14ac:dyDescent="0.3">
      <c r="A1280" t="s">
        <v>17</v>
      </c>
      <c r="B1280" t="str">
        <f>"603327"</f>
        <v>603327</v>
      </c>
      <c r="C1280" t="s">
        <v>2602</v>
      </c>
      <c r="D1280" t="s">
        <v>150</v>
      </c>
      <c r="F1280">
        <v>170733922</v>
      </c>
      <c r="G1280">
        <v>67005952</v>
      </c>
      <c r="H1280">
        <v>157032650</v>
      </c>
      <c r="I1280">
        <v>112998134</v>
      </c>
      <c r="J1280">
        <v>106315933</v>
      </c>
      <c r="K1280">
        <v>-186895783</v>
      </c>
      <c r="P1280">
        <v>349</v>
      </c>
      <c r="Q1280" t="s">
        <v>2603</v>
      </c>
    </row>
    <row r="1281" spans="1:17" x14ac:dyDescent="0.3">
      <c r="A1281" t="s">
        <v>17</v>
      </c>
      <c r="B1281" t="str">
        <f>"603328"</f>
        <v>603328</v>
      </c>
      <c r="C1281" t="s">
        <v>2604</v>
      </c>
      <c r="D1281" t="s">
        <v>150</v>
      </c>
      <c r="F1281">
        <v>-210094384</v>
      </c>
      <c r="G1281">
        <v>302855611</v>
      </c>
      <c r="H1281">
        <v>579749412</v>
      </c>
      <c r="I1281">
        <v>509616325</v>
      </c>
      <c r="J1281">
        <v>473883405</v>
      </c>
      <c r="K1281">
        <v>438846720</v>
      </c>
      <c r="L1281">
        <v>460764811</v>
      </c>
      <c r="M1281">
        <v>195258572</v>
      </c>
      <c r="N1281">
        <v>489841654</v>
      </c>
      <c r="O1281">
        <v>442958018</v>
      </c>
      <c r="P1281">
        <v>590</v>
      </c>
      <c r="Q1281" t="s">
        <v>2605</v>
      </c>
    </row>
    <row r="1282" spans="1:17" x14ac:dyDescent="0.3">
      <c r="A1282" t="s">
        <v>17</v>
      </c>
      <c r="B1282" t="str">
        <f>"603329"</f>
        <v>603329</v>
      </c>
      <c r="C1282" t="s">
        <v>2606</v>
      </c>
      <c r="D1282" t="s">
        <v>22</v>
      </c>
      <c r="F1282">
        <v>-169894402</v>
      </c>
      <c r="G1282">
        <v>-231026893</v>
      </c>
      <c r="H1282">
        <v>-30899257</v>
      </c>
      <c r="I1282">
        <v>-151307756</v>
      </c>
      <c r="J1282">
        <v>21092279</v>
      </c>
      <c r="K1282">
        <v>32002118</v>
      </c>
      <c r="L1282">
        <v>100528819</v>
      </c>
      <c r="M1282">
        <v>84764423</v>
      </c>
      <c r="P1282">
        <v>62</v>
      </c>
      <c r="Q1282" t="s">
        <v>2607</v>
      </c>
    </row>
    <row r="1283" spans="1:17" x14ac:dyDescent="0.3">
      <c r="A1283" t="s">
        <v>17</v>
      </c>
      <c r="B1283" t="str">
        <f>"603330"</f>
        <v>603330</v>
      </c>
      <c r="C1283" t="s">
        <v>2608</v>
      </c>
      <c r="D1283" t="s">
        <v>133</v>
      </c>
      <c r="F1283">
        <v>-116163005</v>
      </c>
      <c r="G1283">
        <v>-25851312</v>
      </c>
      <c r="H1283">
        <v>-17412729</v>
      </c>
      <c r="I1283">
        <v>-73883216</v>
      </c>
      <c r="J1283">
        <v>-218463741</v>
      </c>
      <c r="K1283">
        <v>16507555</v>
      </c>
      <c r="L1283">
        <v>27656213</v>
      </c>
      <c r="M1283">
        <v>4916896</v>
      </c>
      <c r="N1283">
        <v>592413</v>
      </c>
      <c r="P1283">
        <v>136</v>
      </c>
      <c r="Q1283" t="s">
        <v>2609</v>
      </c>
    </row>
    <row r="1284" spans="1:17" x14ac:dyDescent="0.3">
      <c r="A1284" t="s">
        <v>17</v>
      </c>
      <c r="B1284" t="str">
        <f>"603331"</f>
        <v>603331</v>
      </c>
      <c r="C1284" t="s">
        <v>2610</v>
      </c>
      <c r="D1284" t="s">
        <v>78</v>
      </c>
      <c r="F1284">
        <v>-222211666</v>
      </c>
      <c r="G1284">
        <v>-279108564</v>
      </c>
      <c r="H1284">
        <v>-265304167</v>
      </c>
      <c r="I1284">
        <v>-75881705</v>
      </c>
      <c r="J1284">
        <v>-148725166</v>
      </c>
      <c r="K1284">
        <v>50038273</v>
      </c>
      <c r="L1284">
        <v>20917568</v>
      </c>
      <c r="M1284">
        <v>58529172</v>
      </c>
      <c r="P1284">
        <v>83</v>
      </c>
      <c r="Q1284" t="s">
        <v>2611</v>
      </c>
    </row>
    <row r="1285" spans="1:17" x14ac:dyDescent="0.3">
      <c r="A1285" t="s">
        <v>17</v>
      </c>
      <c r="B1285" t="str">
        <f>"603332"</f>
        <v>603332</v>
      </c>
      <c r="C1285" t="s">
        <v>2612</v>
      </c>
      <c r="D1285" t="s">
        <v>133</v>
      </c>
      <c r="F1285">
        <v>-146701140</v>
      </c>
      <c r="G1285">
        <v>9986699</v>
      </c>
      <c r="H1285">
        <v>247525623</v>
      </c>
      <c r="I1285">
        <v>101409024</v>
      </c>
      <c r="J1285">
        <v>153213497</v>
      </c>
      <c r="K1285">
        <v>119153159</v>
      </c>
      <c r="L1285">
        <v>218747880</v>
      </c>
      <c r="P1285">
        <v>59</v>
      </c>
      <c r="Q1285" t="s">
        <v>2613</v>
      </c>
    </row>
    <row r="1286" spans="1:17" x14ac:dyDescent="0.3">
      <c r="A1286" t="s">
        <v>17</v>
      </c>
      <c r="B1286" t="str">
        <f>"603333"</f>
        <v>603333</v>
      </c>
      <c r="C1286" t="s">
        <v>2614</v>
      </c>
      <c r="D1286" t="s">
        <v>188</v>
      </c>
      <c r="F1286">
        <v>-249864744</v>
      </c>
      <c r="G1286">
        <v>282626782</v>
      </c>
      <c r="H1286">
        <v>5257752</v>
      </c>
      <c r="I1286">
        <v>-231296625</v>
      </c>
      <c r="J1286">
        <v>-91214400</v>
      </c>
      <c r="K1286">
        <v>-38082097</v>
      </c>
      <c r="L1286">
        <v>92423844</v>
      </c>
      <c r="M1286">
        <v>91271401</v>
      </c>
      <c r="N1286">
        <v>-255923369</v>
      </c>
      <c r="O1286">
        <v>-81961522</v>
      </c>
      <c r="P1286">
        <v>134</v>
      </c>
      <c r="Q1286" t="s">
        <v>2615</v>
      </c>
    </row>
    <row r="1287" spans="1:17" x14ac:dyDescent="0.3">
      <c r="A1287" t="s">
        <v>17</v>
      </c>
      <c r="B1287" t="str">
        <f>"603335"</f>
        <v>603335</v>
      </c>
      <c r="C1287" t="s">
        <v>2616</v>
      </c>
      <c r="D1287" t="s">
        <v>27</v>
      </c>
      <c r="F1287">
        <v>-154292890</v>
      </c>
      <c r="G1287">
        <v>61923605</v>
      </c>
      <c r="H1287">
        <v>78242659</v>
      </c>
      <c r="I1287">
        <v>8251945</v>
      </c>
      <c r="J1287">
        <v>25110660</v>
      </c>
      <c r="K1287">
        <v>606150</v>
      </c>
      <c r="L1287">
        <v>31302072</v>
      </c>
      <c r="M1287">
        <v>48355172</v>
      </c>
      <c r="P1287">
        <v>66</v>
      </c>
      <c r="Q1287" t="s">
        <v>2617</v>
      </c>
    </row>
    <row r="1288" spans="1:17" x14ac:dyDescent="0.3">
      <c r="A1288" t="s">
        <v>17</v>
      </c>
      <c r="B1288" t="str">
        <f>"603336"</f>
        <v>603336</v>
      </c>
      <c r="C1288" t="s">
        <v>2618</v>
      </c>
      <c r="D1288" t="s">
        <v>205</v>
      </c>
      <c r="F1288">
        <v>-133836390</v>
      </c>
      <c r="G1288">
        <v>-152729730</v>
      </c>
      <c r="H1288">
        <v>-82388355</v>
      </c>
      <c r="I1288">
        <v>-125946228</v>
      </c>
      <c r="J1288">
        <v>33577232</v>
      </c>
      <c r="K1288">
        <v>8655507</v>
      </c>
      <c r="L1288">
        <v>7162699</v>
      </c>
      <c r="M1288">
        <v>-20875383</v>
      </c>
      <c r="N1288">
        <v>-9631741</v>
      </c>
      <c r="P1288">
        <v>179</v>
      </c>
      <c r="Q1288" t="s">
        <v>2619</v>
      </c>
    </row>
    <row r="1289" spans="1:17" x14ac:dyDescent="0.3">
      <c r="A1289" t="s">
        <v>17</v>
      </c>
      <c r="B1289" t="str">
        <f>"603337"</f>
        <v>603337</v>
      </c>
      <c r="C1289" t="s">
        <v>2620</v>
      </c>
      <c r="D1289" t="s">
        <v>78</v>
      </c>
      <c r="F1289">
        <v>-1198211466</v>
      </c>
      <c r="G1289">
        <v>468021682</v>
      </c>
      <c r="H1289">
        <v>-67902191</v>
      </c>
      <c r="I1289">
        <v>-543827161</v>
      </c>
      <c r="J1289">
        <v>440161950</v>
      </c>
      <c r="K1289">
        <v>179237683</v>
      </c>
      <c r="L1289">
        <v>153268088</v>
      </c>
      <c r="M1289">
        <v>-30001396</v>
      </c>
      <c r="N1289">
        <v>111613860</v>
      </c>
      <c r="P1289">
        <v>370</v>
      </c>
      <c r="Q1289" t="s">
        <v>2621</v>
      </c>
    </row>
    <row r="1290" spans="1:17" x14ac:dyDescent="0.3">
      <c r="A1290" t="s">
        <v>17</v>
      </c>
      <c r="B1290" t="str">
        <f>"603338"</f>
        <v>603338</v>
      </c>
      <c r="C1290" t="s">
        <v>2622</v>
      </c>
      <c r="D1290" t="s">
        <v>78</v>
      </c>
      <c r="F1290">
        <v>33401223</v>
      </c>
      <c r="G1290">
        <v>658205408</v>
      </c>
      <c r="H1290">
        <v>411226412</v>
      </c>
      <c r="I1290">
        <v>216391689</v>
      </c>
      <c r="J1290">
        <v>194498057</v>
      </c>
      <c r="K1290">
        <v>118806046</v>
      </c>
      <c r="L1290">
        <v>59281320</v>
      </c>
      <c r="M1290">
        <v>25152207</v>
      </c>
      <c r="N1290">
        <v>31964085</v>
      </c>
      <c r="O1290">
        <v>43345099</v>
      </c>
      <c r="P1290">
        <v>12810</v>
      </c>
      <c r="Q1290" t="s">
        <v>2623</v>
      </c>
    </row>
    <row r="1291" spans="1:17" x14ac:dyDescent="0.3">
      <c r="A1291" t="s">
        <v>17</v>
      </c>
      <c r="B1291" t="str">
        <f>"603339"</f>
        <v>603339</v>
      </c>
      <c r="C1291" t="s">
        <v>2624</v>
      </c>
      <c r="D1291" t="s">
        <v>78</v>
      </c>
      <c r="F1291">
        <v>-166032954</v>
      </c>
      <c r="G1291">
        <v>109032649</v>
      </c>
      <c r="H1291">
        <v>160170158</v>
      </c>
      <c r="I1291">
        <v>-254202249</v>
      </c>
      <c r="J1291">
        <v>4686132</v>
      </c>
      <c r="K1291">
        <v>117977179</v>
      </c>
      <c r="L1291">
        <v>91979434</v>
      </c>
      <c r="M1291">
        <v>100912679</v>
      </c>
      <c r="N1291">
        <v>169680832</v>
      </c>
      <c r="P1291">
        <v>163</v>
      </c>
      <c r="Q1291" t="s">
        <v>2625</v>
      </c>
    </row>
    <row r="1292" spans="1:17" x14ac:dyDescent="0.3">
      <c r="A1292" t="s">
        <v>17</v>
      </c>
      <c r="B1292" t="str">
        <f>"603345"</f>
        <v>603345</v>
      </c>
      <c r="C1292" t="s">
        <v>2626</v>
      </c>
      <c r="D1292" t="s">
        <v>123</v>
      </c>
      <c r="F1292">
        <v>-370150490</v>
      </c>
      <c r="G1292">
        <v>-27510930</v>
      </c>
      <c r="H1292">
        <v>-29211274</v>
      </c>
      <c r="I1292">
        <v>-159477533</v>
      </c>
      <c r="J1292">
        <v>57268936</v>
      </c>
      <c r="K1292">
        <v>-30621862</v>
      </c>
      <c r="L1292">
        <v>154184174</v>
      </c>
      <c r="M1292">
        <v>23836251</v>
      </c>
      <c r="N1292">
        <v>-26695810</v>
      </c>
      <c r="P1292">
        <v>1174</v>
      </c>
      <c r="Q1292" t="s">
        <v>2627</v>
      </c>
    </row>
    <row r="1293" spans="1:17" x14ac:dyDescent="0.3">
      <c r="A1293" t="s">
        <v>17</v>
      </c>
      <c r="B1293" t="str">
        <f>"603348"</f>
        <v>603348</v>
      </c>
      <c r="C1293" t="s">
        <v>2628</v>
      </c>
      <c r="D1293" t="s">
        <v>27</v>
      </c>
      <c r="F1293">
        <v>-56169767</v>
      </c>
      <c r="G1293">
        <v>562792195</v>
      </c>
      <c r="H1293">
        <v>-96388156</v>
      </c>
      <c r="I1293">
        <v>-329467376</v>
      </c>
      <c r="J1293">
        <v>-129156221</v>
      </c>
      <c r="K1293">
        <v>-265350713</v>
      </c>
      <c r="L1293">
        <v>-3780495</v>
      </c>
      <c r="P1293">
        <v>193</v>
      </c>
      <c r="Q1293" t="s">
        <v>2629</v>
      </c>
    </row>
    <row r="1294" spans="1:17" x14ac:dyDescent="0.3">
      <c r="A1294" t="s">
        <v>17</v>
      </c>
      <c r="B1294" t="str">
        <f>"603351"</f>
        <v>603351</v>
      </c>
      <c r="C1294" t="s">
        <v>2630</v>
      </c>
      <c r="D1294" t="s">
        <v>113</v>
      </c>
      <c r="F1294">
        <v>-247157179</v>
      </c>
      <c r="G1294">
        <v>-189134628</v>
      </c>
      <c r="H1294">
        <v>9163693</v>
      </c>
      <c r="I1294">
        <v>-13187613</v>
      </c>
      <c r="J1294">
        <v>7952031</v>
      </c>
      <c r="K1294">
        <v>58880179</v>
      </c>
      <c r="L1294">
        <v>4315311</v>
      </c>
      <c r="P1294">
        <v>88</v>
      </c>
      <c r="Q1294" t="s">
        <v>2631</v>
      </c>
    </row>
    <row r="1295" spans="1:17" x14ac:dyDescent="0.3">
      <c r="A1295" t="s">
        <v>17</v>
      </c>
      <c r="B1295" t="str">
        <f>"603353"</f>
        <v>603353</v>
      </c>
      <c r="C1295" t="s">
        <v>2632</v>
      </c>
      <c r="D1295" t="s">
        <v>70</v>
      </c>
      <c r="F1295">
        <v>-149869424</v>
      </c>
      <c r="G1295">
        <v>176402851</v>
      </c>
      <c r="H1295">
        <v>83633729</v>
      </c>
      <c r="I1295">
        <v>88283346</v>
      </c>
      <c r="J1295">
        <v>103524189</v>
      </c>
      <c r="P1295">
        <v>103</v>
      </c>
      <c r="Q1295" t="s">
        <v>2633</v>
      </c>
    </row>
    <row r="1296" spans="1:17" x14ac:dyDescent="0.3">
      <c r="A1296" t="s">
        <v>17</v>
      </c>
      <c r="B1296" t="str">
        <f>"603355"</f>
        <v>603355</v>
      </c>
      <c r="C1296" t="s">
        <v>2634</v>
      </c>
      <c r="D1296" t="s">
        <v>126</v>
      </c>
      <c r="F1296">
        <v>125853913</v>
      </c>
      <c r="G1296">
        <v>877954755</v>
      </c>
      <c r="H1296">
        <v>1100183253</v>
      </c>
      <c r="I1296">
        <v>518559468</v>
      </c>
      <c r="J1296">
        <v>-5440271</v>
      </c>
      <c r="K1296">
        <v>368232802</v>
      </c>
      <c r="L1296">
        <v>419992470</v>
      </c>
      <c r="M1296">
        <v>396153918</v>
      </c>
      <c r="N1296">
        <v>180912132</v>
      </c>
      <c r="O1296">
        <v>77724525</v>
      </c>
      <c r="P1296">
        <v>557</v>
      </c>
      <c r="Q1296" t="s">
        <v>2635</v>
      </c>
    </row>
    <row r="1297" spans="1:17" x14ac:dyDescent="0.3">
      <c r="A1297" t="s">
        <v>17</v>
      </c>
      <c r="B1297" t="str">
        <f>"603356"</f>
        <v>603356</v>
      </c>
      <c r="C1297" t="s">
        <v>2636</v>
      </c>
      <c r="D1297" t="s">
        <v>78</v>
      </c>
      <c r="F1297">
        <v>-155697934</v>
      </c>
      <c r="G1297">
        <v>-103932940</v>
      </c>
      <c r="H1297">
        <v>-191432679</v>
      </c>
      <c r="I1297">
        <v>-82206241</v>
      </c>
      <c r="J1297">
        <v>-28669410</v>
      </c>
      <c r="K1297">
        <v>-5456327</v>
      </c>
      <c r="L1297">
        <v>48652003</v>
      </c>
      <c r="M1297">
        <v>20334622</v>
      </c>
      <c r="P1297">
        <v>65</v>
      </c>
      <c r="Q1297" t="s">
        <v>2637</v>
      </c>
    </row>
    <row r="1298" spans="1:17" x14ac:dyDescent="0.3">
      <c r="A1298" t="s">
        <v>17</v>
      </c>
      <c r="B1298" t="str">
        <f>"603357"</f>
        <v>603357</v>
      </c>
      <c r="C1298" t="s">
        <v>2638</v>
      </c>
      <c r="D1298" t="s">
        <v>95</v>
      </c>
      <c r="F1298">
        <v>21772024</v>
      </c>
      <c r="G1298">
        <v>306222946</v>
      </c>
      <c r="H1298">
        <v>-58857931</v>
      </c>
      <c r="I1298">
        <v>219004670</v>
      </c>
      <c r="J1298">
        <v>104350559</v>
      </c>
      <c r="K1298">
        <v>175315827</v>
      </c>
      <c r="L1298">
        <v>104516910</v>
      </c>
      <c r="M1298">
        <v>39792460</v>
      </c>
      <c r="P1298">
        <v>361</v>
      </c>
      <c r="Q1298" t="s">
        <v>2639</v>
      </c>
    </row>
    <row r="1299" spans="1:17" x14ac:dyDescent="0.3">
      <c r="A1299" t="s">
        <v>17</v>
      </c>
      <c r="B1299" t="str">
        <f>"603358"</f>
        <v>603358</v>
      </c>
      <c r="C1299" t="s">
        <v>2640</v>
      </c>
      <c r="D1299" t="s">
        <v>27</v>
      </c>
      <c r="F1299">
        <v>109982065</v>
      </c>
      <c r="G1299">
        <v>446620719</v>
      </c>
      <c r="H1299">
        <v>185448721</v>
      </c>
      <c r="I1299">
        <v>-11224394</v>
      </c>
      <c r="J1299">
        <v>-301077947</v>
      </c>
      <c r="K1299">
        <v>149980596</v>
      </c>
      <c r="L1299">
        <v>152905003</v>
      </c>
      <c r="M1299">
        <v>-43761249</v>
      </c>
      <c r="N1299">
        <v>179765284</v>
      </c>
      <c r="P1299">
        <v>131</v>
      </c>
      <c r="Q1299" t="s">
        <v>2641</v>
      </c>
    </row>
    <row r="1300" spans="1:17" x14ac:dyDescent="0.3">
      <c r="A1300" t="s">
        <v>17</v>
      </c>
      <c r="B1300" t="str">
        <f>"603359"</f>
        <v>603359</v>
      </c>
      <c r="C1300" t="s">
        <v>2642</v>
      </c>
      <c r="D1300" t="s">
        <v>95</v>
      </c>
      <c r="F1300">
        <v>-468424182</v>
      </c>
      <c r="G1300">
        <v>15582547</v>
      </c>
      <c r="H1300">
        <v>-123984822</v>
      </c>
      <c r="I1300">
        <v>-100058693</v>
      </c>
      <c r="J1300">
        <v>5430810</v>
      </c>
      <c r="K1300">
        <v>245116357</v>
      </c>
      <c r="L1300">
        <v>275692632</v>
      </c>
      <c r="M1300">
        <v>-135254402</v>
      </c>
      <c r="P1300">
        <v>187</v>
      </c>
      <c r="Q1300" t="s">
        <v>2643</v>
      </c>
    </row>
    <row r="1301" spans="1:17" x14ac:dyDescent="0.3">
      <c r="A1301" t="s">
        <v>17</v>
      </c>
      <c r="B1301" t="str">
        <f>"603360"</f>
        <v>603360</v>
      </c>
      <c r="C1301" t="s">
        <v>2644</v>
      </c>
      <c r="D1301" t="s">
        <v>133</v>
      </c>
      <c r="F1301">
        <v>-49569307</v>
      </c>
      <c r="G1301">
        <v>101412985</v>
      </c>
      <c r="H1301">
        <v>177185911</v>
      </c>
      <c r="I1301">
        <v>46653413</v>
      </c>
      <c r="J1301">
        <v>56079846</v>
      </c>
      <c r="K1301">
        <v>116850229</v>
      </c>
      <c r="L1301">
        <v>63671921</v>
      </c>
      <c r="M1301">
        <v>36200754</v>
      </c>
      <c r="N1301">
        <v>18698185</v>
      </c>
      <c r="P1301">
        <v>404</v>
      </c>
      <c r="Q1301" t="s">
        <v>2645</v>
      </c>
    </row>
    <row r="1302" spans="1:17" x14ac:dyDescent="0.3">
      <c r="A1302" t="s">
        <v>17</v>
      </c>
      <c r="B1302" t="str">
        <f>"603363"</f>
        <v>603363</v>
      </c>
      <c r="C1302" t="s">
        <v>2646</v>
      </c>
      <c r="D1302" t="s">
        <v>205</v>
      </c>
      <c r="F1302">
        <v>-2172255303</v>
      </c>
      <c r="G1302">
        <v>-2851475325</v>
      </c>
      <c r="H1302">
        <v>-263560334</v>
      </c>
      <c r="I1302">
        <v>-535481817</v>
      </c>
      <c r="J1302">
        <v>-413298336</v>
      </c>
      <c r="K1302">
        <v>-146558110</v>
      </c>
      <c r="L1302">
        <v>-76971677</v>
      </c>
      <c r="M1302">
        <v>-190337747</v>
      </c>
      <c r="P1302">
        <v>310</v>
      </c>
      <c r="Q1302" t="s">
        <v>2647</v>
      </c>
    </row>
    <row r="1303" spans="1:17" x14ac:dyDescent="0.3">
      <c r="A1303" t="s">
        <v>17</v>
      </c>
      <c r="B1303" t="str">
        <f>"603365"</f>
        <v>603365</v>
      </c>
      <c r="C1303" t="s">
        <v>2648</v>
      </c>
      <c r="D1303" t="s">
        <v>227</v>
      </c>
      <c r="F1303">
        <v>402206175</v>
      </c>
      <c r="G1303">
        <v>277973486</v>
      </c>
      <c r="H1303">
        <v>141457996</v>
      </c>
      <c r="I1303">
        <v>51788509</v>
      </c>
      <c r="J1303">
        <v>241758880</v>
      </c>
      <c r="K1303">
        <v>246918692</v>
      </c>
      <c r="L1303">
        <v>116374196</v>
      </c>
      <c r="M1303">
        <v>-126694805</v>
      </c>
      <c r="P1303">
        <v>243</v>
      </c>
      <c r="Q1303" t="s">
        <v>2649</v>
      </c>
    </row>
    <row r="1304" spans="1:17" x14ac:dyDescent="0.3">
      <c r="A1304" t="s">
        <v>17</v>
      </c>
      <c r="B1304" t="str">
        <f>"603366"</f>
        <v>603366</v>
      </c>
      <c r="C1304" t="s">
        <v>2650</v>
      </c>
      <c r="D1304" t="s">
        <v>126</v>
      </c>
      <c r="F1304">
        <v>9281943</v>
      </c>
      <c r="G1304">
        <v>342845336</v>
      </c>
      <c r="H1304">
        <v>211039036</v>
      </c>
      <c r="I1304">
        <v>-232445526</v>
      </c>
      <c r="J1304">
        <v>-108677870</v>
      </c>
      <c r="K1304">
        <v>18394464</v>
      </c>
      <c r="L1304">
        <v>206643442</v>
      </c>
      <c r="M1304">
        <v>-183649646</v>
      </c>
      <c r="N1304">
        <v>124221212</v>
      </c>
      <c r="O1304">
        <v>519485492</v>
      </c>
      <c r="P1304">
        <v>121</v>
      </c>
      <c r="Q1304" t="s">
        <v>2651</v>
      </c>
    </row>
    <row r="1305" spans="1:17" x14ac:dyDescent="0.3">
      <c r="A1305" t="s">
        <v>17</v>
      </c>
      <c r="B1305" t="str">
        <f>"603367"</f>
        <v>603367</v>
      </c>
      <c r="C1305" t="s">
        <v>2652</v>
      </c>
      <c r="D1305" t="s">
        <v>113</v>
      </c>
      <c r="F1305">
        <v>183071418</v>
      </c>
      <c r="G1305">
        <v>229964465</v>
      </c>
      <c r="H1305">
        <v>77970455</v>
      </c>
      <c r="I1305">
        <v>367760004</v>
      </c>
      <c r="J1305">
        <v>415857087</v>
      </c>
      <c r="K1305">
        <v>249975357</v>
      </c>
      <c r="L1305">
        <v>249538175</v>
      </c>
      <c r="M1305">
        <v>-20694739</v>
      </c>
      <c r="P1305">
        <v>245</v>
      </c>
      <c r="Q1305" t="s">
        <v>2653</v>
      </c>
    </row>
    <row r="1306" spans="1:17" x14ac:dyDescent="0.3">
      <c r="A1306" t="s">
        <v>17</v>
      </c>
      <c r="B1306" t="str">
        <f>"603368"</f>
        <v>603368</v>
      </c>
      <c r="C1306" t="s">
        <v>2654</v>
      </c>
      <c r="D1306" t="s">
        <v>113</v>
      </c>
      <c r="F1306">
        <v>68940123</v>
      </c>
      <c r="G1306">
        <v>415076186</v>
      </c>
      <c r="H1306">
        <v>182378950</v>
      </c>
      <c r="I1306">
        <v>-249311792</v>
      </c>
      <c r="J1306">
        <v>-522337097</v>
      </c>
      <c r="K1306">
        <v>-18891678</v>
      </c>
      <c r="L1306">
        <v>-242252824</v>
      </c>
      <c r="M1306">
        <v>-254285352</v>
      </c>
      <c r="N1306">
        <v>-51971879</v>
      </c>
      <c r="O1306">
        <v>47704230</v>
      </c>
      <c r="P1306">
        <v>532</v>
      </c>
      <c r="Q1306" t="s">
        <v>2655</v>
      </c>
    </row>
    <row r="1307" spans="1:17" x14ac:dyDescent="0.3">
      <c r="A1307" t="s">
        <v>17</v>
      </c>
      <c r="B1307" t="str">
        <f>"603369"</f>
        <v>603369</v>
      </c>
      <c r="C1307" t="s">
        <v>2656</v>
      </c>
      <c r="D1307" t="s">
        <v>123</v>
      </c>
      <c r="F1307">
        <v>2447980338</v>
      </c>
      <c r="G1307">
        <v>725943938</v>
      </c>
      <c r="H1307">
        <v>1157248319</v>
      </c>
      <c r="I1307">
        <v>916154011</v>
      </c>
      <c r="J1307">
        <v>754618353</v>
      </c>
      <c r="K1307">
        <v>797416102</v>
      </c>
      <c r="L1307">
        <v>590196796</v>
      </c>
      <c r="M1307">
        <v>405180962</v>
      </c>
      <c r="N1307">
        <v>358735675</v>
      </c>
      <c r="O1307">
        <v>593749305</v>
      </c>
      <c r="P1307">
        <v>35443</v>
      </c>
      <c r="Q1307" t="s">
        <v>2657</v>
      </c>
    </row>
    <row r="1308" spans="1:17" x14ac:dyDescent="0.3">
      <c r="A1308" t="s">
        <v>17</v>
      </c>
      <c r="B1308" t="str">
        <f>"603377"</f>
        <v>603377</v>
      </c>
      <c r="C1308" t="s">
        <v>2658</v>
      </c>
      <c r="D1308" t="s">
        <v>110</v>
      </c>
      <c r="F1308">
        <v>-23597412</v>
      </c>
      <c r="G1308">
        <v>120073400</v>
      </c>
      <c r="H1308">
        <v>-25122475</v>
      </c>
      <c r="I1308">
        <v>-796507499</v>
      </c>
      <c r="J1308">
        <v>15739789</v>
      </c>
      <c r="K1308">
        <v>-38254257</v>
      </c>
      <c r="L1308">
        <v>85168173</v>
      </c>
      <c r="M1308">
        <v>158679570</v>
      </c>
      <c r="N1308">
        <v>-42516576</v>
      </c>
      <c r="O1308">
        <v>278776118</v>
      </c>
      <c r="P1308">
        <v>171</v>
      </c>
      <c r="Q1308" t="s">
        <v>2659</v>
      </c>
    </row>
    <row r="1309" spans="1:17" x14ac:dyDescent="0.3">
      <c r="A1309" t="s">
        <v>17</v>
      </c>
      <c r="B1309" t="str">
        <f>"603378"</f>
        <v>603378</v>
      </c>
      <c r="C1309" t="s">
        <v>2660</v>
      </c>
      <c r="D1309" t="s">
        <v>350</v>
      </c>
      <c r="F1309">
        <v>-2105434149</v>
      </c>
      <c r="G1309">
        <v>11737392</v>
      </c>
      <c r="H1309">
        <v>189211398</v>
      </c>
      <c r="I1309">
        <v>-18684270</v>
      </c>
      <c r="J1309">
        <v>-204184005</v>
      </c>
      <c r="K1309">
        <v>-37400128</v>
      </c>
      <c r="L1309">
        <v>1764334</v>
      </c>
      <c r="M1309">
        <v>-39096319</v>
      </c>
      <c r="P1309">
        <v>203</v>
      </c>
      <c r="Q1309" t="s">
        <v>2661</v>
      </c>
    </row>
    <row r="1310" spans="1:17" x14ac:dyDescent="0.3">
      <c r="A1310" t="s">
        <v>17</v>
      </c>
      <c r="B1310" t="str">
        <f>"603379"</f>
        <v>603379</v>
      </c>
      <c r="C1310" t="s">
        <v>2662</v>
      </c>
      <c r="D1310" t="s">
        <v>133</v>
      </c>
      <c r="F1310">
        <v>102245565</v>
      </c>
      <c r="G1310">
        <v>423387715</v>
      </c>
      <c r="H1310">
        <v>506878813</v>
      </c>
      <c r="I1310">
        <v>1044048707</v>
      </c>
      <c r="J1310">
        <v>703068958</v>
      </c>
      <c r="K1310">
        <v>485639916</v>
      </c>
      <c r="P1310">
        <v>141</v>
      </c>
      <c r="Q1310" t="s">
        <v>2663</v>
      </c>
    </row>
    <row r="1311" spans="1:17" x14ac:dyDescent="0.3">
      <c r="A1311" t="s">
        <v>17</v>
      </c>
      <c r="B1311" t="str">
        <f>"603380"</f>
        <v>603380</v>
      </c>
      <c r="C1311" t="s">
        <v>2664</v>
      </c>
      <c r="D1311" t="s">
        <v>150</v>
      </c>
      <c r="F1311">
        <v>-98442192</v>
      </c>
      <c r="G1311">
        <v>86065937</v>
      </c>
      <c r="H1311">
        <v>99567419</v>
      </c>
      <c r="I1311">
        <v>18377869</v>
      </c>
      <c r="J1311">
        <v>25398854</v>
      </c>
      <c r="K1311">
        <v>44974189</v>
      </c>
      <c r="L1311">
        <v>23633291</v>
      </c>
      <c r="M1311">
        <v>53680099</v>
      </c>
      <c r="P1311">
        <v>212</v>
      </c>
      <c r="Q1311" t="s">
        <v>2665</v>
      </c>
    </row>
    <row r="1312" spans="1:17" x14ac:dyDescent="0.3">
      <c r="A1312" t="s">
        <v>17</v>
      </c>
      <c r="B1312" t="str">
        <f>"603383"</f>
        <v>603383</v>
      </c>
      <c r="C1312" t="s">
        <v>2666</v>
      </c>
      <c r="D1312" t="s">
        <v>212</v>
      </c>
      <c r="F1312">
        <v>135068979</v>
      </c>
      <c r="G1312">
        <v>148624013</v>
      </c>
      <c r="H1312">
        <v>111018261</v>
      </c>
      <c r="I1312">
        <v>85938876</v>
      </c>
      <c r="J1312">
        <v>45020342</v>
      </c>
      <c r="K1312">
        <v>91750508</v>
      </c>
      <c r="L1312">
        <v>109424248</v>
      </c>
      <c r="M1312">
        <v>42884536</v>
      </c>
      <c r="P1312">
        <v>192</v>
      </c>
      <c r="Q1312" t="s">
        <v>2667</v>
      </c>
    </row>
    <row r="1313" spans="1:17" x14ac:dyDescent="0.3">
      <c r="A1313" t="s">
        <v>17</v>
      </c>
      <c r="B1313" t="str">
        <f>"603385"</f>
        <v>603385</v>
      </c>
      <c r="C1313" t="s">
        <v>2668</v>
      </c>
      <c r="D1313" t="s">
        <v>161</v>
      </c>
      <c r="F1313">
        <v>-422186679</v>
      </c>
      <c r="G1313">
        <v>504919982</v>
      </c>
      <c r="H1313">
        <v>-75419605</v>
      </c>
      <c r="I1313">
        <v>-318667254</v>
      </c>
      <c r="J1313">
        <v>171871573</v>
      </c>
      <c r="K1313">
        <v>305603500</v>
      </c>
      <c r="L1313">
        <v>180079790</v>
      </c>
      <c r="M1313">
        <v>120810020</v>
      </c>
      <c r="P1313">
        <v>193</v>
      </c>
      <c r="Q1313" t="s">
        <v>2669</v>
      </c>
    </row>
    <row r="1314" spans="1:17" x14ac:dyDescent="0.3">
      <c r="A1314" t="s">
        <v>17</v>
      </c>
      <c r="B1314" t="str">
        <f>"603386"</f>
        <v>603386</v>
      </c>
      <c r="C1314" t="s">
        <v>2670</v>
      </c>
      <c r="D1314" t="s">
        <v>150</v>
      </c>
      <c r="F1314">
        <v>96185551</v>
      </c>
      <c r="G1314">
        <v>379051</v>
      </c>
      <c r="H1314">
        <v>-89630446</v>
      </c>
      <c r="I1314">
        <v>-160621821</v>
      </c>
      <c r="J1314">
        <v>-89064779</v>
      </c>
      <c r="K1314">
        <v>-1396478</v>
      </c>
      <c r="L1314">
        <v>-23952271</v>
      </c>
      <c r="M1314">
        <v>43856596</v>
      </c>
      <c r="P1314">
        <v>181</v>
      </c>
      <c r="Q1314" t="s">
        <v>2671</v>
      </c>
    </row>
    <row r="1315" spans="1:17" x14ac:dyDescent="0.3">
      <c r="A1315" t="s">
        <v>17</v>
      </c>
      <c r="B1315" t="str">
        <f>"603387"</f>
        <v>603387</v>
      </c>
      <c r="C1315" t="s">
        <v>2672</v>
      </c>
      <c r="D1315" t="s">
        <v>113</v>
      </c>
      <c r="F1315">
        <v>255638215</v>
      </c>
      <c r="G1315">
        <v>76100980</v>
      </c>
      <c r="H1315">
        <v>109605215</v>
      </c>
      <c r="I1315">
        <v>80630083</v>
      </c>
      <c r="J1315">
        <v>130561745</v>
      </c>
      <c r="K1315">
        <v>116599692</v>
      </c>
      <c r="L1315">
        <v>75082164</v>
      </c>
      <c r="M1315">
        <v>28446300</v>
      </c>
      <c r="P1315">
        <v>1502</v>
      </c>
      <c r="Q1315" t="s">
        <v>2673</v>
      </c>
    </row>
    <row r="1316" spans="1:17" x14ac:dyDescent="0.3">
      <c r="A1316" t="s">
        <v>17</v>
      </c>
      <c r="B1316" t="str">
        <f>"603388"</f>
        <v>603388</v>
      </c>
      <c r="C1316" t="s">
        <v>2674</v>
      </c>
      <c r="D1316" t="s">
        <v>95</v>
      </c>
      <c r="F1316">
        <v>236825246</v>
      </c>
      <c r="G1316">
        <v>27432827</v>
      </c>
      <c r="H1316">
        <v>-58540475</v>
      </c>
      <c r="I1316">
        <v>-44786263</v>
      </c>
      <c r="J1316">
        <v>-220104376</v>
      </c>
      <c r="K1316">
        <v>8028066</v>
      </c>
      <c r="L1316">
        <v>-2777600</v>
      </c>
      <c r="M1316">
        <v>-66605627</v>
      </c>
      <c r="P1316">
        <v>63</v>
      </c>
      <c r="Q1316" t="s">
        <v>2675</v>
      </c>
    </row>
    <row r="1317" spans="1:17" x14ac:dyDescent="0.3">
      <c r="A1317" t="s">
        <v>17</v>
      </c>
      <c r="B1317" t="str">
        <f>"603389"</f>
        <v>603389</v>
      </c>
      <c r="C1317" t="s">
        <v>2676</v>
      </c>
      <c r="D1317" t="s">
        <v>161</v>
      </c>
      <c r="F1317">
        <v>-50281714</v>
      </c>
      <c r="G1317">
        <v>29125476</v>
      </c>
      <c r="H1317">
        <v>-56946615</v>
      </c>
      <c r="I1317">
        <v>-221628878</v>
      </c>
      <c r="J1317">
        <v>-99242312</v>
      </c>
      <c r="K1317">
        <v>99601931</v>
      </c>
      <c r="L1317">
        <v>35796641</v>
      </c>
      <c r="M1317">
        <v>22221589</v>
      </c>
      <c r="N1317">
        <v>68759471</v>
      </c>
      <c r="P1317">
        <v>80</v>
      </c>
      <c r="Q1317" t="s">
        <v>2677</v>
      </c>
    </row>
    <row r="1318" spans="1:17" x14ac:dyDescent="0.3">
      <c r="A1318" t="s">
        <v>17</v>
      </c>
      <c r="B1318" t="str">
        <f>"603390"</f>
        <v>603390</v>
      </c>
      <c r="C1318" t="s">
        <v>2678</v>
      </c>
      <c r="D1318" t="s">
        <v>27</v>
      </c>
      <c r="F1318">
        <v>-178958441</v>
      </c>
      <c r="G1318">
        <v>-355223169</v>
      </c>
      <c r="H1318">
        <v>4473948</v>
      </c>
      <c r="I1318">
        <v>-9163459</v>
      </c>
      <c r="J1318">
        <v>-3970551</v>
      </c>
      <c r="K1318">
        <v>6480072</v>
      </c>
      <c r="P1318">
        <v>89</v>
      </c>
      <c r="Q1318" t="s">
        <v>2679</v>
      </c>
    </row>
    <row r="1319" spans="1:17" x14ac:dyDescent="0.3">
      <c r="A1319" t="s">
        <v>17</v>
      </c>
      <c r="B1319" t="str">
        <f>"603392"</f>
        <v>603392</v>
      </c>
      <c r="C1319" t="s">
        <v>2680</v>
      </c>
      <c r="D1319" t="s">
        <v>113</v>
      </c>
      <c r="F1319">
        <v>642352394</v>
      </c>
      <c r="G1319">
        <v>80504587</v>
      </c>
      <c r="H1319">
        <v>111356574</v>
      </c>
      <c r="I1319">
        <v>96382247</v>
      </c>
      <c r="J1319">
        <v>-67146193</v>
      </c>
      <c r="P1319">
        <v>552</v>
      </c>
      <c r="Q1319" t="s">
        <v>2681</v>
      </c>
    </row>
    <row r="1320" spans="1:17" x14ac:dyDescent="0.3">
      <c r="A1320" t="s">
        <v>17</v>
      </c>
      <c r="B1320" t="str">
        <f>"603393"</f>
        <v>603393</v>
      </c>
      <c r="C1320" t="s">
        <v>2682</v>
      </c>
      <c r="D1320" t="s">
        <v>41</v>
      </c>
      <c r="F1320">
        <v>760322598</v>
      </c>
      <c r="G1320">
        <v>276681473</v>
      </c>
      <c r="H1320">
        <v>867694003</v>
      </c>
      <c r="I1320">
        <v>464969421</v>
      </c>
      <c r="J1320">
        <v>202763084</v>
      </c>
      <c r="K1320">
        <v>214652865</v>
      </c>
      <c r="L1320">
        <v>145992775</v>
      </c>
      <c r="M1320">
        <v>208717923</v>
      </c>
      <c r="N1320">
        <v>180706407</v>
      </c>
      <c r="P1320">
        <v>498</v>
      </c>
      <c r="Q1320" t="s">
        <v>2683</v>
      </c>
    </row>
    <row r="1321" spans="1:17" x14ac:dyDescent="0.3">
      <c r="A1321" t="s">
        <v>17</v>
      </c>
      <c r="B1321" t="str">
        <f>"603396"</f>
        <v>603396</v>
      </c>
      <c r="C1321" t="s">
        <v>2684</v>
      </c>
      <c r="D1321" t="s">
        <v>188</v>
      </c>
      <c r="F1321">
        <v>-139979304</v>
      </c>
      <c r="G1321">
        <v>-130851060</v>
      </c>
      <c r="H1321">
        <v>-91205067</v>
      </c>
      <c r="I1321">
        <v>14580878</v>
      </c>
      <c r="J1321">
        <v>-13241584</v>
      </c>
      <c r="K1321">
        <v>-13793753</v>
      </c>
      <c r="L1321">
        <v>59211369</v>
      </c>
      <c r="M1321">
        <v>-41822978</v>
      </c>
      <c r="P1321">
        <v>217</v>
      </c>
      <c r="Q1321" t="s">
        <v>2685</v>
      </c>
    </row>
    <row r="1322" spans="1:17" x14ac:dyDescent="0.3">
      <c r="A1322" t="s">
        <v>17</v>
      </c>
      <c r="B1322" t="str">
        <f>"603398"</f>
        <v>603398</v>
      </c>
      <c r="C1322" t="s">
        <v>2686</v>
      </c>
      <c r="D1322" t="s">
        <v>161</v>
      </c>
      <c r="F1322">
        <v>-63771027</v>
      </c>
      <c r="G1322">
        <v>24060251</v>
      </c>
      <c r="H1322">
        <v>49799788</v>
      </c>
      <c r="I1322">
        <v>-65525736</v>
      </c>
      <c r="J1322">
        <v>-1587143</v>
      </c>
      <c r="K1322">
        <v>12467117</v>
      </c>
      <c r="L1322">
        <v>21176262</v>
      </c>
      <c r="M1322">
        <v>48110310</v>
      </c>
      <c r="N1322">
        <v>23754698</v>
      </c>
      <c r="O1322">
        <v>41725749</v>
      </c>
      <c r="P1322">
        <v>89</v>
      </c>
      <c r="Q1322" t="s">
        <v>2687</v>
      </c>
    </row>
    <row r="1323" spans="1:17" x14ac:dyDescent="0.3">
      <c r="A1323" t="s">
        <v>17</v>
      </c>
      <c r="B1323" t="str">
        <f>"603399"</f>
        <v>603399</v>
      </c>
      <c r="C1323" t="s">
        <v>2688</v>
      </c>
      <c r="D1323" t="s">
        <v>234</v>
      </c>
      <c r="F1323">
        <v>682718403</v>
      </c>
      <c r="G1323">
        <v>-448429993</v>
      </c>
      <c r="H1323">
        <v>484525960</v>
      </c>
      <c r="I1323">
        <v>107046758</v>
      </c>
      <c r="J1323">
        <v>-878354220</v>
      </c>
      <c r="K1323">
        <v>-227809805</v>
      </c>
      <c r="L1323">
        <v>290782989</v>
      </c>
      <c r="M1323">
        <v>63312589</v>
      </c>
      <c r="N1323">
        <v>-677463387</v>
      </c>
      <c r="O1323">
        <v>-325283151</v>
      </c>
      <c r="P1323">
        <v>72</v>
      </c>
      <c r="Q1323" t="s">
        <v>2689</v>
      </c>
    </row>
    <row r="1324" spans="1:17" x14ac:dyDescent="0.3">
      <c r="A1324" t="s">
        <v>17</v>
      </c>
      <c r="B1324" t="str">
        <f>"603408"</f>
        <v>603408</v>
      </c>
      <c r="C1324" t="s">
        <v>2690</v>
      </c>
      <c r="D1324" t="s">
        <v>161</v>
      </c>
      <c r="F1324">
        <v>-104391617</v>
      </c>
      <c r="G1324">
        <v>117361949</v>
      </c>
      <c r="H1324">
        <v>214364410</v>
      </c>
      <c r="I1324">
        <v>314657154</v>
      </c>
      <c r="J1324">
        <v>283233711</v>
      </c>
      <c r="P1324">
        <v>98</v>
      </c>
      <c r="Q1324" t="s">
        <v>2691</v>
      </c>
    </row>
    <row r="1325" spans="1:17" x14ac:dyDescent="0.3">
      <c r="A1325" t="s">
        <v>17</v>
      </c>
      <c r="B1325" t="str">
        <f>"603416"</f>
        <v>603416</v>
      </c>
      <c r="C1325" t="s">
        <v>2692</v>
      </c>
      <c r="D1325" t="s">
        <v>78</v>
      </c>
      <c r="F1325">
        <v>113998236</v>
      </c>
      <c r="G1325">
        <v>160121212</v>
      </c>
      <c r="H1325">
        <v>48511111</v>
      </c>
      <c r="I1325">
        <v>35304149</v>
      </c>
      <c r="J1325">
        <v>50052180</v>
      </c>
      <c r="K1325">
        <v>89893797</v>
      </c>
      <c r="L1325">
        <v>57615182</v>
      </c>
      <c r="M1325">
        <v>50576666</v>
      </c>
      <c r="N1325">
        <v>15311078</v>
      </c>
      <c r="P1325">
        <v>325</v>
      </c>
      <c r="Q1325" t="s">
        <v>2693</v>
      </c>
    </row>
    <row r="1326" spans="1:17" x14ac:dyDescent="0.3">
      <c r="A1326" t="s">
        <v>17</v>
      </c>
      <c r="B1326" t="str">
        <f>"603421"</f>
        <v>603421</v>
      </c>
      <c r="C1326" t="s">
        <v>2694</v>
      </c>
      <c r="D1326" t="s">
        <v>100</v>
      </c>
      <c r="F1326">
        <v>228582422</v>
      </c>
      <c r="G1326">
        <v>-66027966</v>
      </c>
      <c r="H1326">
        <v>-154773436</v>
      </c>
      <c r="I1326">
        <v>-181222672</v>
      </c>
      <c r="J1326">
        <v>-705920276</v>
      </c>
      <c r="K1326">
        <v>64169766</v>
      </c>
      <c r="L1326">
        <v>-247444746</v>
      </c>
      <c r="M1326">
        <v>259391558</v>
      </c>
      <c r="N1326">
        <v>173012274</v>
      </c>
      <c r="P1326">
        <v>138</v>
      </c>
      <c r="Q1326" t="s">
        <v>2695</v>
      </c>
    </row>
    <row r="1327" spans="1:17" x14ac:dyDescent="0.3">
      <c r="A1327" t="s">
        <v>17</v>
      </c>
      <c r="B1327" t="str">
        <f>"603429"</f>
        <v>603429</v>
      </c>
      <c r="C1327" t="s">
        <v>2696</v>
      </c>
      <c r="D1327" t="s">
        <v>161</v>
      </c>
      <c r="F1327">
        <v>213589590</v>
      </c>
      <c r="G1327">
        <v>92998456</v>
      </c>
      <c r="H1327">
        <v>54070975</v>
      </c>
      <c r="I1327">
        <v>-78327539</v>
      </c>
      <c r="J1327">
        <v>44278073</v>
      </c>
      <c r="K1327">
        <v>56422400</v>
      </c>
      <c r="L1327">
        <v>28495630</v>
      </c>
      <c r="M1327">
        <v>-1390082</v>
      </c>
      <c r="N1327">
        <v>-11373749</v>
      </c>
      <c r="P1327">
        <v>368</v>
      </c>
      <c r="Q1327" t="s">
        <v>2697</v>
      </c>
    </row>
    <row r="1328" spans="1:17" x14ac:dyDescent="0.3">
      <c r="A1328" t="s">
        <v>17</v>
      </c>
      <c r="B1328" t="str">
        <f>"603439"</f>
        <v>603439</v>
      </c>
      <c r="C1328" t="s">
        <v>2698</v>
      </c>
      <c r="D1328" t="s">
        <v>113</v>
      </c>
      <c r="F1328">
        <v>129010175</v>
      </c>
      <c r="G1328">
        <v>11539485</v>
      </c>
      <c r="H1328">
        <v>110145059</v>
      </c>
      <c r="I1328">
        <v>73651627</v>
      </c>
      <c r="J1328">
        <v>50292512</v>
      </c>
      <c r="P1328">
        <v>294</v>
      </c>
      <c r="Q1328" t="s">
        <v>2699</v>
      </c>
    </row>
    <row r="1329" spans="1:17" x14ac:dyDescent="0.3">
      <c r="A1329" t="s">
        <v>17</v>
      </c>
      <c r="B1329" t="str">
        <f>"603444"</f>
        <v>603444</v>
      </c>
      <c r="C1329" t="s">
        <v>2700</v>
      </c>
      <c r="D1329" t="s">
        <v>89</v>
      </c>
      <c r="F1329">
        <v>2399031573</v>
      </c>
      <c r="G1329">
        <v>1463664052</v>
      </c>
      <c r="H1329">
        <v>1238560026</v>
      </c>
      <c r="I1329">
        <v>419037644</v>
      </c>
      <c r="J1329">
        <v>488721936</v>
      </c>
      <c r="K1329">
        <v>637077557</v>
      </c>
      <c r="L1329">
        <v>158168443</v>
      </c>
      <c r="M1329">
        <v>195651014</v>
      </c>
      <c r="N1329">
        <v>176292707</v>
      </c>
      <c r="P1329">
        <v>4239</v>
      </c>
      <c r="Q1329" t="s">
        <v>2701</v>
      </c>
    </row>
    <row r="1330" spans="1:17" x14ac:dyDescent="0.3">
      <c r="A1330" t="s">
        <v>17</v>
      </c>
      <c r="B1330" t="str">
        <f>"603456"</f>
        <v>603456</v>
      </c>
      <c r="C1330" t="s">
        <v>2702</v>
      </c>
      <c r="D1330" t="s">
        <v>113</v>
      </c>
      <c r="F1330">
        <v>105890176</v>
      </c>
      <c r="G1330">
        <v>127683354</v>
      </c>
      <c r="H1330">
        <v>241004211</v>
      </c>
      <c r="I1330">
        <v>36886239</v>
      </c>
      <c r="J1330">
        <v>81520479</v>
      </c>
      <c r="K1330">
        <v>-5926222</v>
      </c>
      <c r="L1330">
        <v>-154133512</v>
      </c>
      <c r="M1330">
        <v>-210340760</v>
      </c>
      <c r="N1330">
        <v>83095020</v>
      </c>
      <c r="O1330">
        <v>-4676267</v>
      </c>
      <c r="P1330">
        <v>454</v>
      </c>
      <c r="Q1330" t="s">
        <v>2703</v>
      </c>
    </row>
    <row r="1331" spans="1:17" x14ac:dyDescent="0.3">
      <c r="A1331" t="s">
        <v>17</v>
      </c>
      <c r="B1331" t="str">
        <f>"603458"</f>
        <v>603458</v>
      </c>
      <c r="C1331" t="s">
        <v>2704</v>
      </c>
      <c r="D1331" t="s">
        <v>95</v>
      </c>
      <c r="F1331">
        <v>111799816</v>
      </c>
      <c r="G1331">
        <v>219080917</v>
      </c>
      <c r="H1331">
        <v>-371970500</v>
      </c>
      <c r="I1331">
        <v>-224362366</v>
      </c>
      <c r="J1331">
        <v>1600439</v>
      </c>
      <c r="K1331">
        <v>259712189</v>
      </c>
      <c r="L1331">
        <v>-51004828</v>
      </c>
      <c r="M1331">
        <v>213223437</v>
      </c>
      <c r="P1331">
        <v>474</v>
      </c>
      <c r="Q1331" t="s">
        <v>2705</v>
      </c>
    </row>
    <row r="1332" spans="1:17" x14ac:dyDescent="0.3">
      <c r="A1332" t="s">
        <v>17</v>
      </c>
      <c r="B1332" t="str">
        <f>"603466"</f>
        <v>603466</v>
      </c>
      <c r="C1332" t="s">
        <v>2706</v>
      </c>
      <c r="D1332" t="s">
        <v>89</v>
      </c>
      <c r="F1332">
        <v>323562556</v>
      </c>
      <c r="G1332">
        <v>211648055</v>
      </c>
      <c r="H1332">
        <v>223297351</v>
      </c>
      <c r="I1332">
        <v>243155652</v>
      </c>
      <c r="J1332">
        <v>227137842</v>
      </c>
      <c r="K1332">
        <v>105183627</v>
      </c>
      <c r="L1332">
        <v>-113347451</v>
      </c>
      <c r="M1332">
        <v>-4475132</v>
      </c>
      <c r="P1332">
        <v>407</v>
      </c>
      <c r="Q1332" t="s">
        <v>2707</v>
      </c>
    </row>
    <row r="1333" spans="1:17" x14ac:dyDescent="0.3">
      <c r="A1333" t="s">
        <v>17</v>
      </c>
      <c r="B1333" t="str">
        <f>"603477"</f>
        <v>603477</v>
      </c>
      <c r="C1333" t="s">
        <v>2708</v>
      </c>
      <c r="D1333" t="s">
        <v>227</v>
      </c>
      <c r="F1333">
        <v>-907884252</v>
      </c>
      <c r="G1333">
        <v>-168822111</v>
      </c>
      <c r="H1333">
        <v>6276764</v>
      </c>
      <c r="I1333">
        <v>-43318051</v>
      </c>
      <c r="J1333">
        <v>45190831</v>
      </c>
      <c r="K1333">
        <v>-76436856</v>
      </c>
      <c r="L1333">
        <v>17374853</v>
      </c>
      <c r="M1333">
        <v>-249355007</v>
      </c>
      <c r="P1333">
        <v>134</v>
      </c>
      <c r="Q1333" t="s">
        <v>2709</v>
      </c>
    </row>
    <row r="1334" spans="1:17" x14ac:dyDescent="0.3">
      <c r="A1334" t="s">
        <v>17</v>
      </c>
      <c r="B1334" t="str">
        <f>"603486"</f>
        <v>603486</v>
      </c>
      <c r="C1334" t="s">
        <v>2710</v>
      </c>
      <c r="D1334" t="s">
        <v>126</v>
      </c>
      <c r="F1334">
        <v>1381719519</v>
      </c>
      <c r="G1334">
        <v>1066363161</v>
      </c>
      <c r="H1334">
        <v>-49836105</v>
      </c>
      <c r="I1334">
        <v>-299387583</v>
      </c>
      <c r="J1334">
        <v>435086825</v>
      </c>
      <c r="K1334">
        <v>158629055</v>
      </c>
      <c r="L1334">
        <v>379901911</v>
      </c>
      <c r="P1334">
        <v>833</v>
      </c>
      <c r="Q1334" t="s">
        <v>2711</v>
      </c>
    </row>
    <row r="1335" spans="1:17" x14ac:dyDescent="0.3">
      <c r="A1335" t="s">
        <v>17</v>
      </c>
      <c r="B1335" t="str">
        <f>"603488"</f>
        <v>603488</v>
      </c>
      <c r="C1335" t="s">
        <v>2712</v>
      </c>
      <c r="D1335" t="s">
        <v>78</v>
      </c>
      <c r="F1335">
        <v>12702434</v>
      </c>
      <c r="G1335">
        <v>21390010</v>
      </c>
      <c r="H1335">
        <v>66310518</v>
      </c>
      <c r="I1335">
        <v>36882870</v>
      </c>
      <c r="J1335">
        <v>60294730</v>
      </c>
      <c r="K1335">
        <v>52229535</v>
      </c>
      <c r="L1335">
        <v>56824683</v>
      </c>
      <c r="M1335">
        <v>41302363</v>
      </c>
      <c r="P1335">
        <v>64</v>
      </c>
      <c r="Q1335" t="s">
        <v>2713</v>
      </c>
    </row>
    <row r="1336" spans="1:17" x14ac:dyDescent="0.3">
      <c r="A1336" t="s">
        <v>17</v>
      </c>
      <c r="B1336" t="str">
        <f>"603489"</f>
        <v>603489</v>
      </c>
      <c r="C1336" t="s">
        <v>2714</v>
      </c>
      <c r="D1336" t="s">
        <v>188</v>
      </c>
      <c r="F1336">
        <v>141016419</v>
      </c>
      <c r="G1336">
        <v>151230659</v>
      </c>
      <c r="H1336">
        <v>241701655</v>
      </c>
      <c r="I1336">
        <v>181908742</v>
      </c>
      <c r="J1336">
        <v>121731491</v>
      </c>
      <c r="K1336">
        <v>75578324</v>
      </c>
      <c r="P1336">
        <v>492</v>
      </c>
      <c r="Q1336" t="s">
        <v>2715</v>
      </c>
    </row>
    <row r="1337" spans="1:17" x14ac:dyDescent="0.3">
      <c r="A1337" t="s">
        <v>17</v>
      </c>
      <c r="B1337" t="str">
        <f>"603496"</f>
        <v>603496</v>
      </c>
      <c r="C1337" t="s">
        <v>2716</v>
      </c>
      <c r="D1337" t="s">
        <v>212</v>
      </c>
      <c r="F1337">
        <v>-120034981</v>
      </c>
      <c r="G1337">
        <v>-100913241</v>
      </c>
      <c r="H1337">
        <v>-15187015</v>
      </c>
      <c r="I1337">
        <v>-17214749</v>
      </c>
      <c r="J1337">
        <v>-114293076</v>
      </c>
      <c r="K1337">
        <v>54473401</v>
      </c>
      <c r="L1337">
        <v>-1789375</v>
      </c>
      <c r="M1337">
        <v>-23717643</v>
      </c>
      <c r="P1337">
        <v>194</v>
      </c>
      <c r="Q1337" t="s">
        <v>2717</v>
      </c>
    </row>
    <row r="1338" spans="1:17" x14ac:dyDescent="0.3">
      <c r="A1338" t="s">
        <v>17</v>
      </c>
      <c r="B1338" t="str">
        <f>"603499"</f>
        <v>603499</v>
      </c>
      <c r="C1338" t="s">
        <v>2718</v>
      </c>
      <c r="D1338" t="s">
        <v>161</v>
      </c>
      <c r="F1338">
        <v>-44889751</v>
      </c>
      <c r="G1338">
        <v>-42087932</v>
      </c>
      <c r="H1338">
        <v>-38620362</v>
      </c>
      <c r="I1338">
        <v>-23518317</v>
      </c>
      <c r="J1338">
        <v>-48044981</v>
      </c>
      <c r="K1338">
        <v>-11836992</v>
      </c>
      <c r="L1338">
        <v>53376465</v>
      </c>
      <c r="M1338">
        <v>-14955895</v>
      </c>
      <c r="P1338">
        <v>83</v>
      </c>
      <c r="Q1338" t="s">
        <v>2719</v>
      </c>
    </row>
    <row r="1339" spans="1:17" x14ac:dyDescent="0.3">
      <c r="A1339" t="s">
        <v>17</v>
      </c>
      <c r="B1339" t="str">
        <f>"603500"</f>
        <v>603500</v>
      </c>
      <c r="C1339" t="s">
        <v>2720</v>
      </c>
      <c r="D1339" t="s">
        <v>78</v>
      </c>
      <c r="F1339">
        <v>-31277025</v>
      </c>
      <c r="G1339">
        <v>57277728</v>
      </c>
      <c r="H1339">
        <v>4593723</v>
      </c>
      <c r="I1339">
        <v>56187707</v>
      </c>
      <c r="J1339">
        <v>15952248</v>
      </c>
      <c r="K1339">
        <v>40814326</v>
      </c>
      <c r="L1339">
        <v>22922273</v>
      </c>
      <c r="M1339">
        <v>17502636</v>
      </c>
      <c r="P1339">
        <v>91</v>
      </c>
      <c r="Q1339" t="s">
        <v>2721</v>
      </c>
    </row>
    <row r="1340" spans="1:17" x14ac:dyDescent="0.3">
      <c r="A1340" t="s">
        <v>17</v>
      </c>
      <c r="B1340" t="str">
        <f>"603501"</f>
        <v>603501</v>
      </c>
      <c r="C1340" t="s">
        <v>2722</v>
      </c>
      <c r="D1340" t="s">
        <v>150</v>
      </c>
      <c r="F1340">
        <v>1072908342</v>
      </c>
      <c r="G1340">
        <v>2217388431</v>
      </c>
      <c r="H1340">
        <v>78667704</v>
      </c>
      <c r="I1340">
        <v>-79777029</v>
      </c>
      <c r="J1340">
        <v>-331202309</v>
      </c>
      <c r="K1340">
        <v>-17197354</v>
      </c>
      <c r="L1340">
        <v>-73124445</v>
      </c>
      <c r="M1340">
        <v>-4603480</v>
      </c>
      <c r="P1340">
        <v>2200</v>
      </c>
      <c r="Q1340" t="s">
        <v>2723</v>
      </c>
    </row>
    <row r="1341" spans="1:17" x14ac:dyDescent="0.3">
      <c r="A1341" t="s">
        <v>17</v>
      </c>
      <c r="B1341" t="str">
        <f>"603505"</f>
        <v>603505</v>
      </c>
      <c r="C1341" t="s">
        <v>2724</v>
      </c>
      <c r="D1341" t="s">
        <v>133</v>
      </c>
      <c r="F1341">
        <v>184990381</v>
      </c>
      <c r="G1341">
        <v>202825988</v>
      </c>
      <c r="H1341">
        <v>112321138</v>
      </c>
      <c r="I1341">
        <v>39869398</v>
      </c>
      <c r="J1341">
        <v>-59869762</v>
      </c>
      <c r="K1341">
        <v>-63429413</v>
      </c>
      <c r="L1341">
        <v>-96296249</v>
      </c>
      <c r="M1341">
        <v>2264437</v>
      </c>
      <c r="P1341">
        <v>328</v>
      </c>
      <c r="Q1341" t="s">
        <v>2725</v>
      </c>
    </row>
    <row r="1342" spans="1:17" x14ac:dyDescent="0.3">
      <c r="A1342" t="s">
        <v>17</v>
      </c>
      <c r="B1342" t="str">
        <f>"603506"</f>
        <v>603506</v>
      </c>
      <c r="C1342" t="s">
        <v>2726</v>
      </c>
      <c r="D1342" t="s">
        <v>30</v>
      </c>
      <c r="F1342">
        <v>180385755</v>
      </c>
      <c r="G1342">
        <v>101976248</v>
      </c>
      <c r="H1342">
        <v>177132864</v>
      </c>
      <c r="I1342">
        <v>130021103</v>
      </c>
      <c r="J1342">
        <v>118816385</v>
      </c>
      <c r="K1342">
        <v>60608054</v>
      </c>
      <c r="L1342">
        <v>198167606</v>
      </c>
      <c r="M1342">
        <v>53336422</v>
      </c>
      <c r="P1342">
        <v>357</v>
      </c>
      <c r="Q1342" t="s">
        <v>2727</v>
      </c>
    </row>
    <row r="1343" spans="1:17" x14ac:dyDescent="0.3">
      <c r="A1343" t="s">
        <v>17</v>
      </c>
      <c r="B1343" t="str">
        <f>"603507"</f>
        <v>603507</v>
      </c>
      <c r="C1343" t="s">
        <v>2728</v>
      </c>
      <c r="D1343" t="s">
        <v>188</v>
      </c>
      <c r="F1343">
        <v>139020725</v>
      </c>
      <c r="G1343">
        <v>172150535</v>
      </c>
      <c r="H1343">
        <v>-580096902</v>
      </c>
      <c r="I1343">
        <v>-272584389</v>
      </c>
      <c r="J1343">
        <v>-129716225</v>
      </c>
      <c r="K1343">
        <v>-13050445</v>
      </c>
      <c r="L1343">
        <v>-108506911</v>
      </c>
      <c r="M1343">
        <v>-54083923</v>
      </c>
      <c r="P1343">
        <v>135</v>
      </c>
      <c r="Q1343" t="s">
        <v>2729</v>
      </c>
    </row>
    <row r="1344" spans="1:17" x14ac:dyDescent="0.3">
      <c r="A1344" t="s">
        <v>17</v>
      </c>
      <c r="B1344" t="str">
        <f>"603508"</f>
        <v>603508</v>
      </c>
      <c r="C1344" t="s">
        <v>2730</v>
      </c>
      <c r="D1344" t="s">
        <v>212</v>
      </c>
      <c r="F1344">
        <v>24788036</v>
      </c>
      <c r="G1344">
        <v>350313385</v>
      </c>
      <c r="H1344">
        <v>513246754</v>
      </c>
      <c r="I1344">
        <v>158579640</v>
      </c>
      <c r="J1344">
        <v>44881944</v>
      </c>
      <c r="K1344">
        <v>50741219</v>
      </c>
      <c r="L1344">
        <v>91867299</v>
      </c>
      <c r="M1344">
        <v>142667621</v>
      </c>
      <c r="N1344">
        <v>1485654</v>
      </c>
      <c r="O1344">
        <v>85755777</v>
      </c>
      <c r="P1344">
        <v>219</v>
      </c>
      <c r="Q1344" t="s">
        <v>2731</v>
      </c>
    </row>
    <row r="1345" spans="1:17" x14ac:dyDescent="0.3">
      <c r="A1345" t="s">
        <v>17</v>
      </c>
      <c r="B1345" t="str">
        <f>"603511"</f>
        <v>603511</v>
      </c>
      <c r="C1345" t="s">
        <v>2732</v>
      </c>
      <c r="D1345" t="s">
        <v>227</v>
      </c>
      <c r="F1345">
        <v>165759689</v>
      </c>
      <c r="G1345">
        <v>617028710</v>
      </c>
      <c r="H1345">
        <v>-132101368</v>
      </c>
      <c r="I1345">
        <v>-4067692</v>
      </c>
      <c r="J1345">
        <v>483098351</v>
      </c>
      <c r="P1345">
        <v>47</v>
      </c>
      <c r="Q1345" t="s">
        <v>2733</v>
      </c>
    </row>
    <row r="1346" spans="1:17" x14ac:dyDescent="0.3">
      <c r="A1346" t="s">
        <v>17</v>
      </c>
      <c r="B1346" t="str">
        <f>"603515"</f>
        <v>603515</v>
      </c>
      <c r="C1346" t="s">
        <v>2734</v>
      </c>
      <c r="D1346" t="s">
        <v>126</v>
      </c>
      <c r="F1346">
        <v>439906405</v>
      </c>
      <c r="G1346">
        <v>763096005</v>
      </c>
      <c r="H1346">
        <v>944080234</v>
      </c>
      <c r="I1346">
        <v>448188685</v>
      </c>
      <c r="J1346">
        <v>825082559</v>
      </c>
      <c r="K1346">
        <v>1060014615</v>
      </c>
      <c r="L1346">
        <v>121981944</v>
      </c>
      <c r="M1346">
        <v>-82999802</v>
      </c>
      <c r="N1346">
        <v>363394628</v>
      </c>
      <c r="P1346">
        <v>2555</v>
      </c>
      <c r="Q1346" t="s">
        <v>2735</v>
      </c>
    </row>
    <row r="1347" spans="1:17" x14ac:dyDescent="0.3">
      <c r="A1347" t="s">
        <v>17</v>
      </c>
      <c r="B1347" t="str">
        <f>"603516"</f>
        <v>603516</v>
      </c>
      <c r="C1347" t="s">
        <v>2736</v>
      </c>
      <c r="D1347" t="s">
        <v>212</v>
      </c>
      <c r="F1347">
        <v>61983202</v>
      </c>
      <c r="G1347">
        <v>103574037</v>
      </c>
      <c r="H1347">
        <v>-119751245</v>
      </c>
      <c r="I1347">
        <v>-59319131</v>
      </c>
      <c r="J1347">
        <v>27071732</v>
      </c>
      <c r="K1347">
        <v>14251613</v>
      </c>
      <c r="L1347">
        <v>65935932</v>
      </c>
      <c r="M1347">
        <v>65425583</v>
      </c>
      <c r="P1347">
        <v>203</v>
      </c>
      <c r="Q1347" t="s">
        <v>2737</v>
      </c>
    </row>
    <row r="1348" spans="1:17" x14ac:dyDescent="0.3">
      <c r="A1348" t="s">
        <v>17</v>
      </c>
      <c r="B1348" t="str">
        <f>"603517"</f>
        <v>603517</v>
      </c>
      <c r="C1348" t="s">
        <v>2738</v>
      </c>
      <c r="D1348" t="s">
        <v>123</v>
      </c>
      <c r="F1348">
        <v>464601515</v>
      </c>
      <c r="G1348">
        <v>549842506</v>
      </c>
      <c r="H1348">
        <v>505082425</v>
      </c>
      <c r="I1348">
        <v>96751470</v>
      </c>
      <c r="J1348">
        <v>310688026</v>
      </c>
      <c r="K1348">
        <v>234017422</v>
      </c>
      <c r="L1348">
        <v>-20629736</v>
      </c>
      <c r="M1348">
        <v>299386039</v>
      </c>
      <c r="N1348">
        <v>42094118</v>
      </c>
      <c r="P1348">
        <v>2366</v>
      </c>
      <c r="Q1348" t="s">
        <v>2739</v>
      </c>
    </row>
    <row r="1349" spans="1:17" x14ac:dyDescent="0.3">
      <c r="A1349" t="s">
        <v>17</v>
      </c>
      <c r="B1349" t="str">
        <f>"603518"</f>
        <v>603518</v>
      </c>
      <c r="C1349" t="s">
        <v>2740</v>
      </c>
      <c r="D1349" t="s">
        <v>227</v>
      </c>
      <c r="F1349">
        <v>504969551</v>
      </c>
      <c r="G1349">
        <v>888575003</v>
      </c>
      <c r="H1349">
        <v>124177043</v>
      </c>
      <c r="I1349">
        <v>288537110</v>
      </c>
      <c r="J1349">
        <v>257844999</v>
      </c>
      <c r="K1349">
        <v>54407819</v>
      </c>
      <c r="L1349">
        <v>89801637</v>
      </c>
      <c r="M1349">
        <v>34447194</v>
      </c>
      <c r="N1349">
        <v>141056553</v>
      </c>
      <c r="O1349">
        <v>45209589</v>
      </c>
      <c r="P1349">
        <v>205</v>
      </c>
      <c r="Q1349" t="s">
        <v>2741</v>
      </c>
    </row>
    <row r="1350" spans="1:17" x14ac:dyDescent="0.3">
      <c r="A1350" t="s">
        <v>17</v>
      </c>
      <c r="B1350" t="str">
        <f>"603519"</f>
        <v>603519</v>
      </c>
      <c r="C1350" t="s">
        <v>2742</v>
      </c>
      <c r="D1350" t="s">
        <v>126</v>
      </c>
      <c r="F1350">
        <v>59134440</v>
      </c>
      <c r="G1350">
        <v>113097216</v>
      </c>
      <c r="H1350">
        <v>239507795</v>
      </c>
      <c r="I1350">
        <v>60609385</v>
      </c>
      <c r="J1350">
        <v>92532489</v>
      </c>
      <c r="K1350">
        <v>-35316405</v>
      </c>
      <c r="L1350">
        <v>32644391</v>
      </c>
      <c r="M1350">
        <v>25095636</v>
      </c>
      <c r="N1350">
        <v>30169800</v>
      </c>
      <c r="O1350">
        <v>16559018</v>
      </c>
      <c r="P1350">
        <v>148</v>
      </c>
      <c r="Q1350" t="s">
        <v>2743</v>
      </c>
    </row>
    <row r="1351" spans="1:17" x14ac:dyDescent="0.3">
      <c r="A1351" t="s">
        <v>17</v>
      </c>
      <c r="B1351" t="str">
        <f>"603520"</f>
        <v>603520</v>
      </c>
      <c r="C1351" t="s">
        <v>2744</v>
      </c>
      <c r="D1351" t="s">
        <v>113</v>
      </c>
      <c r="F1351">
        <v>212207760</v>
      </c>
      <c r="G1351">
        <v>35327909</v>
      </c>
      <c r="H1351">
        <v>114820309</v>
      </c>
      <c r="I1351">
        <v>31266305</v>
      </c>
      <c r="J1351">
        <v>-61461433</v>
      </c>
      <c r="K1351">
        <v>-180632722</v>
      </c>
      <c r="L1351">
        <v>-145963918</v>
      </c>
      <c r="M1351">
        <v>-16829788</v>
      </c>
      <c r="N1351">
        <v>-113239647</v>
      </c>
      <c r="O1351">
        <v>-33456975</v>
      </c>
      <c r="P1351">
        <v>383</v>
      </c>
      <c r="Q1351" t="s">
        <v>2745</v>
      </c>
    </row>
    <row r="1352" spans="1:17" x14ac:dyDescent="0.3">
      <c r="A1352" t="s">
        <v>17</v>
      </c>
      <c r="B1352" t="str">
        <f>"603527"</f>
        <v>603527</v>
      </c>
      <c r="C1352" t="s">
        <v>2746</v>
      </c>
      <c r="D1352" t="s">
        <v>234</v>
      </c>
      <c r="F1352">
        <v>-98895080</v>
      </c>
      <c r="G1352">
        <v>-301682256</v>
      </c>
      <c r="H1352">
        <v>-74292816</v>
      </c>
      <c r="I1352">
        <v>82327484</v>
      </c>
      <c r="J1352">
        <v>-112627728</v>
      </c>
      <c r="K1352">
        <v>61180642</v>
      </c>
      <c r="L1352">
        <v>89325977</v>
      </c>
      <c r="M1352">
        <v>63582820</v>
      </c>
      <c r="P1352">
        <v>54</v>
      </c>
      <c r="Q1352" t="s">
        <v>2747</v>
      </c>
    </row>
    <row r="1353" spans="1:17" x14ac:dyDescent="0.3">
      <c r="A1353" t="s">
        <v>17</v>
      </c>
      <c r="B1353" t="str">
        <f>"603528"</f>
        <v>603528</v>
      </c>
      <c r="C1353" t="s">
        <v>2748</v>
      </c>
      <c r="D1353" t="s">
        <v>212</v>
      </c>
      <c r="F1353">
        <v>9496814</v>
      </c>
      <c r="G1353">
        <v>-60954831</v>
      </c>
      <c r="H1353">
        <v>45084008</v>
      </c>
      <c r="I1353">
        <v>9327427</v>
      </c>
      <c r="J1353">
        <v>70805067</v>
      </c>
      <c r="K1353">
        <v>41264978</v>
      </c>
      <c r="L1353">
        <v>220607577</v>
      </c>
      <c r="M1353">
        <v>256061357</v>
      </c>
      <c r="N1353">
        <v>168731271</v>
      </c>
      <c r="P1353">
        <v>195</v>
      </c>
      <c r="Q1353" t="s">
        <v>2749</v>
      </c>
    </row>
    <row r="1354" spans="1:17" x14ac:dyDescent="0.3">
      <c r="A1354" t="s">
        <v>17</v>
      </c>
      <c r="B1354" t="str">
        <f>"603529"</f>
        <v>603529</v>
      </c>
      <c r="C1354" t="s">
        <v>2750</v>
      </c>
      <c r="D1354" t="s">
        <v>27</v>
      </c>
      <c r="F1354">
        <v>1452444548</v>
      </c>
      <c r="G1354">
        <v>821499436</v>
      </c>
      <c r="H1354">
        <v>824230558</v>
      </c>
      <c r="I1354">
        <v>-177668210</v>
      </c>
      <c r="J1354">
        <v>1236804950</v>
      </c>
      <c r="K1354">
        <v>580764612</v>
      </c>
      <c r="P1354">
        <v>75</v>
      </c>
      <c r="Q1354" t="s">
        <v>2751</v>
      </c>
    </row>
    <row r="1355" spans="1:17" x14ac:dyDescent="0.3">
      <c r="A1355" t="s">
        <v>17</v>
      </c>
      <c r="B1355" t="str">
        <f>"603530"</f>
        <v>603530</v>
      </c>
      <c r="C1355" t="s">
        <v>2752</v>
      </c>
      <c r="D1355" t="s">
        <v>188</v>
      </c>
      <c r="F1355">
        <v>-17186679</v>
      </c>
      <c r="G1355">
        <v>62546325</v>
      </c>
      <c r="H1355">
        <v>45303710</v>
      </c>
      <c r="I1355">
        <v>150859849</v>
      </c>
      <c r="J1355">
        <v>32098081</v>
      </c>
      <c r="K1355">
        <v>-5012288</v>
      </c>
      <c r="P1355">
        <v>88</v>
      </c>
      <c r="Q1355" t="s">
        <v>2753</v>
      </c>
    </row>
    <row r="1356" spans="1:17" x14ac:dyDescent="0.3">
      <c r="A1356" t="s">
        <v>17</v>
      </c>
      <c r="B1356" t="str">
        <f>"603533"</f>
        <v>603533</v>
      </c>
      <c r="C1356" t="s">
        <v>2754</v>
      </c>
      <c r="D1356" t="s">
        <v>89</v>
      </c>
      <c r="F1356">
        <v>26291035</v>
      </c>
      <c r="G1356">
        <v>296128398</v>
      </c>
      <c r="H1356">
        <v>272105969</v>
      </c>
      <c r="I1356">
        <v>76288998</v>
      </c>
      <c r="J1356">
        <v>182226943</v>
      </c>
      <c r="K1356">
        <v>117016752</v>
      </c>
      <c r="L1356">
        <v>87573697</v>
      </c>
      <c r="M1356">
        <v>49015060</v>
      </c>
      <c r="P1356">
        <v>872</v>
      </c>
      <c r="Q1356" t="s">
        <v>2755</v>
      </c>
    </row>
    <row r="1357" spans="1:17" x14ac:dyDescent="0.3">
      <c r="A1357" t="s">
        <v>17</v>
      </c>
      <c r="B1357" t="str">
        <f>"603535"</f>
        <v>603535</v>
      </c>
      <c r="C1357" t="s">
        <v>2756</v>
      </c>
      <c r="D1357" t="s">
        <v>22</v>
      </c>
      <c r="F1357">
        <v>-230566600</v>
      </c>
      <c r="G1357">
        <v>-127816285</v>
      </c>
      <c r="H1357">
        <v>-93650019</v>
      </c>
      <c r="I1357">
        <v>-45073561</v>
      </c>
      <c r="J1357">
        <v>20994951</v>
      </c>
      <c r="K1357">
        <v>67600200</v>
      </c>
      <c r="L1357">
        <v>143775769</v>
      </c>
      <c r="M1357">
        <v>48522471</v>
      </c>
      <c r="P1357">
        <v>86</v>
      </c>
      <c r="Q1357" t="s">
        <v>2757</v>
      </c>
    </row>
    <row r="1358" spans="1:17" x14ac:dyDescent="0.3">
      <c r="A1358" t="s">
        <v>17</v>
      </c>
      <c r="B1358" t="str">
        <f>"603536"</f>
        <v>603536</v>
      </c>
      <c r="C1358" t="s">
        <v>2758</v>
      </c>
      <c r="D1358" t="s">
        <v>123</v>
      </c>
      <c r="F1358">
        <v>-41894200</v>
      </c>
      <c r="G1358">
        <v>-39293485</v>
      </c>
      <c r="H1358">
        <v>27107734</v>
      </c>
      <c r="I1358">
        <v>-52947359</v>
      </c>
      <c r="J1358">
        <v>28888233</v>
      </c>
      <c r="K1358">
        <v>109671095</v>
      </c>
      <c r="L1358">
        <v>67085051</v>
      </c>
      <c r="M1358">
        <v>-15166471</v>
      </c>
      <c r="P1358">
        <v>126</v>
      </c>
      <c r="Q1358" t="s">
        <v>2759</v>
      </c>
    </row>
    <row r="1359" spans="1:17" x14ac:dyDescent="0.3">
      <c r="A1359" t="s">
        <v>17</v>
      </c>
      <c r="B1359" t="str">
        <f>"603538"</f>
        <v>603538</v>
      </c>
      <c r="C1359" t="s">
        <v>2760</v>
      </c>
      <c r="D1359" t="s">
        <v>113</v>
      </c>
      <c r="F1359">
        <v>-307132427</v>
      </c>
      <c r="G1359">
        <v>-59645308</v>
      </c>
      <c r="H1359">
        <v>-145575790</v>
      </c>
      <c r="I1359">
        <v>-251602058</v>
      </c>
      <c r="J1359">
        <v>-4773738</v>
      </c>
      <c r="K1359">
        <v>12226424</v>
      </c>
      <c r="L1359">
        <v>76860901</v>
      </c>
      <c r="M1359">
        <v>29480756</v>
      </c>
      <c r="P1359">
        <v>266</v>
      </c>
      <c r="Q1359" t="s">
        <v>2761</v>
      </c>
    </row>
    <row r="1360" spans="1:17" x14ac:dyDescent="0.3">
      <c r="A1360" t="s">
        <v>17</v>
      </c>
      <c r="B1360" t="str">
        <f>"603551"</f>
        <v>603551</v>
      </c>
      <c r="C1360" t="s">
        <v>2762</v>
      </c>
      <c r="D1360" t="s">
        <v>126</v>
      </c>
      <c r="F1360">
        <v>148314313</v>
      </c>
      <c r="G1360">
        <v>162743416</v>
      </c>
      <c r="H1360">
        <v>171709424</v>
      </c>
      <c r="I1360">
        <v>121389822</v>
      </c>
      <c r="J1360">
        <v>151366337</v>
      </c>
      <c r="K1360">
        <v>272674372</v>
      </c>
      <c r="P1360">
        <v>116</v>
      </c>
      <c r="Q1360" t="s">
        <v>2763</v>
      </c>
    </row>
    <row r="1361" spans="1:17" x14ac:dyDescent="0.3">
      <c r="A1361" t="s">
        <v>17</v>
      </c>
      <c r="B1361" t="str">
        <f>"603555"</f>
        <v>603555</v>
      </c>
      <c r="C1361" t="s">
        <v>2764</v>
      </c>
      <c r="D1361" t="s">
        <v>227</v>
      </c>
      <c r="F1361">
        <v>-413276972</v>
      </c>
      <c r="G1361">
        <v>-2551554</v>
      </c>
      <c r="H1361">
        <v>-559105373</v>
      </c>
      <c r="I1361">
        <v>363424900</v>
      </c>
      <c r="J1361">
        <v>164806766</v>
      </c>
      <c r="K1361">
        <v>-20552346</v>
      </c>
      <c r="L1361">
        <v>517691643</v>
      </c>
      <c r="M1361">
        <v>-64647731</v>
      </c>
      <c r="N1361">
        <v>147831719</v>
      </c>
      <c r="O1361">
        <v>412994049</v>
      </c>
      <c r="P1361">
        <v>81</v>
      </c>
      <c r="Q1361" t="s">
        <v>2765</v>
      </c>
    </row>
    <row r="1362" spans="1:17" x14ac:dyDescent="0.3">
      <c r="A1362" t="s">
        <v>17</v>
      </c>
      <c r="B1362" t="str">
        <f>"603556"</f>
        <v>603556</v>
      </c>
      <c r="C1362" t="s">
        <v>2766</v>
      </c>
      <c r="D1362" t="s">
        <v>188</v>
      </c>
      <c r="F1362">
        <v>59858037</v>
      </c>
      <c r="G1362">
        <v>231453141</v>
      </c>
      <c r="H1362">
        <v>356180464</v>
      </c>
      <c r="I1362">
        <v>-132949907</v>
      </c>
      <c r="J1362">
        <v>266775588</v>
      </c>
      <c r="K1362">
        <v>398999382</v>
      </c>
      <c r="L1362">
        <v>360146312</v>
      </c>
      <c r="M1362">
        <v>268028390</v>
      </c>
      <c r="N1362">
        <v>144951937</v>
      </c>
      <c r="P1362">
        <v>218</v>
      </c>
      <c r="Q1362" t="s">
        <v>2767</v>
      </c>
    </row>
    <row r="1363" spans="1:17" x14ac:dyDescent="0.3">
      <c r="A1363" t="s">
        <v>17</v>
      </c>
      <c r="B1363" t="str">
        <f>"603557"</f>
        <v>603557</v>
      </c>
      <c r="C1363" t="s">
        <v>2768</v>
      </c>
      <c r="D1363" t="s">
        <v>227</v>
      </c>
      <c r="F1363">
        <v>-609330478</v>
      </c>
      <c r="G1363">
        <v>-157003153</v>
      </c>
      <c r="H1363">
        <v>-57180039</v>
      </c>
      <c r="I1363">
        <v>-524496</v>
      </c>
      <c r="J1363">
        <v>124117454</v>
      </c>
      <c r="K1363">
        <v>42663000</v>
      </c>
      <c r="L1363">
        <v>-114108874</v>
      </c>
      <c r="M1363">
        <v>-105923670</v>
      </c>
      <c r="P1363">
        <v>118</v>
      </c>
      <c r="Q1363" t="s">
        <v>2769</v>
      </c>
    </row>
    <row r="1364" spans="1:17" x14ac:dyDescent="0.3">
      <c r="A1364" t="s">
        <v>17</v>
      </c>
      <c r="B1364" t="str">
        <f>"603558"</f>
        <v>603558</v>
      </c>
      <c r="C1364" t="s">
        <v>2770</v>
      </c>
      <c r="D1364" t="s">
        <v>227</v>
      </c>
      <c r="F1364">
        <v>-41602728</v>
      </c>
      <c r="G1364">
        <v>148895401</v>
      </c>
      <c r="H1364">
        <v>-5565285</v>
      </c>
      <c r="I1364">
        <v>-55293071</v>
      </c>
      <c r="J1364">
        <v>-232281335</v>
      </c>
      <c r="K1364">
        <v>-338100313</v>
      </c>
      <c r="L1364">
        <v>-206401824</v>
      </c>
      <c r="M1364">
        <v>3118650</v>
      </c>
      <c r="N1364">
        <v>-34577366</v>
      </c>
      <c r="O1364">
        <v>-7031410</v>
      </c>
      <c r="P1364">
        <v>137</v>
      </c>
      <c r="Q1364" t="s">
        <v>2771</v>
      </c>
    </row>
    <row r="1365" spans="1:17" x14ac:dyDescent="0.3">
      <c r="A1365" t="s">
        <v>17</v>
      </c>
      <c r="B1365" t="str">
        <f>"603559"</f>
        <v>603559</v>
      </c>
      <c r="C1365" t="s">
        <v>2772</v>
      </c>
      <c r="D1365" t="s">
        <v>100</v>
      </c>
      <c r="F1365">
        <v>-10975245</v>
      </c>
      <c r="G1365">
        <v>-129567886</v>
      </c>
      <c r="H1365">
        <v>72983375</v>
      </c>
      <c r="I1365">
        <v>-125219816</v>
      </c>
      <c r="J1365">
        <v>-115530444</v>
      </c>
      <c r="K1365">
        <v>37496379</v>
      </c>
      <c r="L1365">
        <v>30848336</v>
      </c>
      <c r="M1365">
        <v>21312708</v>
      </c>
      <c r="N1365">
        <v>-22448126</v>
      </c>
      <c r="P1365">
        <v>159</v>
      </c>
      <c r="Q1365" t="s">
        <v>2773</v>
      </c>
    </row>
    <row r="1366" spans="1:17" x14ac:dyDescent="0.3">
      <c r="A1366" t="s">
        <v>17</v>
      </c>
      <c r="B1366" t="str">
        <f>"603565"</f>
        <v>603565</v>
      </c>
      <c r="C1366" t="s">
        <v>2774</v>
      </c>
      <c r="D1366" t="s">
        <v>22</v>
      </c>
      <c r="F1366">
        <v>3208600788</v>
      </c>
      <c r="G1366">
        <v>1229572850</v>
      </c>
      <c r="H1366">
        <v>1214278962</v>
      </c>
      <c r="I1366">
        <v>-573728255</v>
      </c>
      <c r="J1366">
        <v>164168097</v>
      </c>
      <c r="K1366">
        <v>421886353</v>
      </c>
      <c r="P1366">
        <v>226</v>
      </c>
      <c r="Q1366" t="s">
        <v>2775</v>
      </c>
    </row>
    <row r="1367" spans="1:17" x14ac:dyDescent="0.3">
      <c r="A1367" t="s">
        <v>17</v>
      </c>
      <c r="B1367" t="str">
        <f>"603566"</f>
        <v>603566</v>
      </c>
      <c r="C1367" t="s">
        <v>2776</v>
      </c>
      <c r="D1367" t="s">
        <v>205</v>
      </c>
      <c r="F1367">
        <v>-103937527</v>
      </c>
      <c r="G1367">
        <v>85614108</v>
      </c>
      <c r="H1367">
        <v>54986573</v>
      </c>
      <c r="I1367">
        <v>72748583</v>
      </c>
      <c r="J1367">
        <v>81610093</v>
      </c>
      <c r="K1367">
        <v>179831691</v>
      </c>
      <c r="L1367">
        <v>59256682</v>
      </c>
      <c r="M1367">
        <v>86848731</v>
      </c>
      <c r="N1367">
        <v>67051087</v>
      </c>
      <c r="O1367">
        <v>61815149</v>
      </c>
      <c r="P1367">
        <v>233</v>
      </c>
      <c r="Q1367" t="s">
        <v>2777</v>
      </c>
    </row>
    <row r="1368" spans="1:17" x14ac:dyDescent="0.3">
      <c r="A1368" t="s">
        <v>17</v>
      </c>
      <c r="B1368" t="str">
        <f>"603567"</f>
        <v>603567</v>
      </c>
      <c r="C1368" t="s">
        <v>2778</v>
      </c>
      <c r="D1368" t="s">
        <v>113</v>
      </c>
      <c r="F1368">
        <v>-878870124</v>
      </c>
      <c r="G1368">
        <v>-712599253</v>
      </c>
      <c r="H1368">
        <v>42262589</v>
      </c>
      <c r="I1368">
        <v>-52055089</v>
      </c>
      <c r="J1368">
        <v>361287078</v>
      </c>
      <c r="K1368">
        <v>-302491052</v>
      </c>
      <c r="L1368">
        <v>-393435680</v>
      </c>
      <c r="M1368">
        <v>312728474</v>
      </c>
      <c r="N1368">
        <v>6040252</v>
      </c>
      <c r="O1368">
        <v>-78724553</v>
      </c>
      <c r="P1368">
        <v>134</v>
      </c>
      <c r="Q1368" t="s">
        <v>2779</v>
      </c>
    </row>
    <row r="1369" spans="1:17" x14ac:dyDescent="0.3">
      <c r="A1369" t="s">
        <v>17</v>
      </c>
      <c r="B1369" t="str">
        <f>"603568"</f>
        <v>603568</v>
      </c>
      <c r="C1369" t="s">
        <v>2780</v>
      </c>
      <c r="D1369" t="s">
        <v>33</v>
      </c>
      <c r="F1369">
        <v>-1169099494</v>
      </c>
      <c r="G1369">
        <v>-944925577</v>
      </c>
      <c r="H1369">
        <v>-345886379</v>
      </c>
      <c r="I1369">
        <v>-322847725</v>
      </c>
      <c r="J1369">
        <v>224146152</v>
      </c>
      <c r="K1369">
        <v>181254342</v>
      </c>
      <c r="L1369">
        <v>246366559</v>
      </c>
      <c r="M1369">
        <v>294437795</v>
      </c>
      <c r="N1369">
        <v>158352688</v>
      </c>
      <c r="O1369">
        <v>11857718</v>
      </c>
      <c r="P1369">
        <v>16277</v>
      </c>
      <c r="Q1369" t="s">
        <v>2781</v>
      </c>
    </row>
    <row r="1370" spans="1:17" x14ac:dyDescent="0.3">
      <c r="A1370" t="s">
        <v>17</v>
      </c>
      <c r="B1370" t="str">
        <f>"603569"</f>
        <v>603569</v>
      </c>
      <c r="C1370" t="s">
        <v>2782</v>
      </c>
      <c r="D1370" t="s">
        <v>22</v>
      </c>
      <c r="F1370">
        <v>62867034</v>
      </c>
      <c r="G1370">
        <v>507000463</v>
      </c>
      <c r="H1370">
        <v>365334040</v>
      </c>
      <c r="I1370">
        <v>-1288592379</v>
      </c>
      <c r="J1370">
        <v>-602792408</v>
      </c>
      <c r="K1370">
        <v>421942251</v>
      </c>
      <c r="L1370">
        <v>279549381</v>
      </c>
      <c r="M1370">
        <v>301068377</v>
      </c>
      <c r="N1370">
        <v>196684736</v>
      </c>
      <c r="P1370">
        <v>198</v>
      </c>
      <c r="Q1370" t="s">
        <v>2783</v>
      </c>
    </row>
    <row r="1371" spans="1:17" x14ac:dyDescent="0.3">
      <c r="A1371" t="s">
        <v>17</v>
      </c>
      <c r="B1371" t="str">
        <f>"603577"</f>
        <v>603577</v>
      </c>
      <c r="C1371" t="s">
        <v>2784</v>
      </c>
      <c r="D1371" t="s">
        <v>188</v>
      </c>
      <c r="F1371">
        <v>-348443908</v>
      </c>
      <c r="G1371">
        <v>-111983611</v>
      </c>
      <c r="H1371">
        <v>-187476169</v>
      </c>
      <c r="I1371">
        <v>-174961299</v>
      </c>
      <c r="J1371">
        <v>-386465712</v>
      </c>
      <c r="K1371">
        <v>-90436891</v>
      </c>
      <c r="L1371">
        <v>-21952703</v>
      </c>
      <c r="M1371">
        <v>5990188</v>
      </c>
      <c r="N1371">
        <v>44060790</v>
      </c>
      <c r="P1371">
        <v>90</v>
      </c>
      <c r="Q1371" t="s">
        <v>2785</v>
      </c>
    </row>
    <row r="1372" spans="1:17" x14ac:dyDescent="0.3">
      <c r="A1372" t="s">
        <v>17</v>
      </c>
      <c r="B1372" t="str">
        <f>"603578"</f>
        <v>603578</v>
      </c>
      <c r="C1372" t="s">
        <v>2786</v>
      </c>
      <c r="D1372" t="s">
        <v>126</v>
      </c>
      <c r="F1372">
        <v>-32271923</v>
      </c>
      <c r="G1372">
        <v>-12992481</v>
      </c>
      <c r="H1372">
        <v>176252297</v>
      </c>
      <c r="I1372">
        <v>-44950898</v>
      </c>
      <c r="J1372">
        <v>14872959</v>
      </c>
      <c r="K1372">
        <v>38109508</v>
      </c>
      <c r="L1372">
        <v>32676429</v>
      </c>
      <c r="M1372">
        <v>36358458</v>
      </c>
      <c r="P1372">
        <v>132</v>
      </c>
      <c r="Q1372" t="s">
        <v>2787</v>
      </c>
    </row>
    <row r="1373" spans="1:17" x14ac:dyDescent="0.3">
      <c r="A1373" t="s">
        <v>17</v>
      </c>
      <c r="B1373" t="str">
        <f>"603579"</f>
        <v>603579</v>
      </c>
      <c r="C1373" t="s">
        <v>2788</v>
      </c>
      <c r="D1373" t="s">
        <v>126</v>
      </c>
      <c r="F1373">
        <v>204150538</v>
      </c>
      <c r="G1373">
        <v>90616253</v>
      </c>
      <c r="H1373">
        <v>295893867</v>
      </c>
      <c r="I1373">
        <v>134260824</v>
      </c>
      <c r="J1373">
        <v>123621712</v>
      </c>
      <c r="K1373">
        <v>92242074</v>
      </c>
      <c r="L1373">
        <v>171168832</v>
      </c>
      <c r="M1373">
        <v>78168862</v>
      </c>
      <c r="N1373">
        <v>49882650</v>
      </c>
      <c r="P1373">
        <v>597</v>
      </c>
      <c r="Q1373" t="s">
        <v>2789</v>
      </c>
    </row>
    <row r="1374" spans="1:17" x14ac:dyDescent="0.3">
      <c r="A1374" t="s">
        <v>17</v>
      </c>
      <c r="B1374" t="str">
        <f>"603580"</f>
        <v>603580</v>
      </c>
      <c r="C1374" t="s">
        <v>2790</v>
      </c>
      <c r="D1374" t="s">
        <v>133</v>
      </c>
      <c r="F1374">
        <v>-54961321</v>
      </c>
      <c r="G1374">
        <v>-14003698</v>
      </c>
      <c r="H1374">
        <v>9812838</v>
      </c>
      <c r="I1374">
        <v>15511192</v>
      </c>
      <c r="J1374">
        <v>23027770</v>
      </c>
      <c r="K1374">
        <v>23990611</v>
      </c>
      <c r="L1374">
        <v>27525726</v>
      </c>
      <c r="M1374">
        <v>21245214</v>
      </c>
      <c r="P1374">
        <v>57</v>
      </c>
      <c r="Q1374" t="s">
        <v>2791</v>
      </c>
    </row>
    <row r="1375" spans="1:17" x14ac:dyDescent="0.3">
      <c r="A1375" t="s">
        <v>17</v>
      </c>
      <c r="B1375" t="str">
        <f>"603583"</f>
        <v>603583</v>
      </c>
      <c r="C1375" t="s">
        <v>2792</v>
      </c>
      <c r="D1375" t="s">
        <v>78</v>
      </c>
      <c r="F1375">
        <v>-467459251</v>
      </c>
      <c r="G1375">
        <v>176252835</v>
      </c>
      <c r="H1375">
        <v>52139691</v>
      </c>
      <c r="I1375">
        <v>74499944</v>
      </c>
      <c r="J1375">
        <v>105826831</v>
      </c>
      <c r="K1375">
        <v>49593108</v>
      </c>
      <c r="L1375">
        <v>45401575</v>
      </c>
      <c r="P1375">
        <v>705</v>
      </c>
      <c r="Q1375" t="s">
        <v>2793</v>
      </c>
    </row>
    <row r="1376" spans="1:17" x14ac:dyDescent="0.3">
      <c r="A1376" t="s">
        <v>17</v>
      </c>
      <c r="B1376" t="str">
        <f>"603585"</f>
        <v>603585</v>
      </c>
      <c r="C1376" t="s">
        <v>2794</v>
      </c>
      <c r="D1376" t="s">
        <v>133</v>
      </c>
      <c r="F1376">
        <v>28787479</v>
      </c>
      <c r="G1376">
        <v>-45837144</v>
      </c>
      <c r="H1376">
        <v>103353417</v>
      </c>
      <c r="I1376">
        <v>281375364</v>
      </c>
      <c r="J1376">
        <v>200415286</v>
      </c>
      <c r="K1376">
        <v>130130956</v>
      </c>
      <c r="L1376">
        <v>78219510</v>
      </c>
      <c r="M1376">
        <v>87660312</v>
      </c>
      <c r="N1376">
        <v>82878114</v>
      </c>
      <c r="P1376">
        <v>545</v>
      </c>
      <c r="Q1376" t="s">
        <v>2795</v>
      </c>
    </row>
    <row r="1377" spans="1:17" x14ac:dyDescent="0.3">
      <c r="A1377" t="s">
        <v>17</v>
      </c>
      <c r="B1377" t="str">
        <f>"603586"</f>
        <v>603586</v>
      </c>
      <c r="C1377" t="s">
        <v>2796</v>
      </c>
      <c r="D1377" t="s">
        <v>27</v>
      </c>
      <c r="F1377">
        <v>-4383742</v>
      </c>
      <c r="G1377">
        <v>212399019</v>
      </c>
      <c r="H1377">
        <v>75615103</v>
      </c>
      <c r="I1377">
        <v>-39427801</v>
      </c>
      <c r="J1377">
        <v>112655086</v>
      </c>
      <c r="K1377">
        <v>175107112</v>
      </c>
      <c r="L1377">
        <v>257709896</v>
      </c>
      <c r="M1377">
        <v>-38577287</v>
      </c>
      <c r="P1377">
        <v>109</v>
      </c>
      <c r="Q1377" t="s">
        <v>2797</v>
      </c>
    </row>
    <row r="1378" spans="1:17" x14ac:dyDescent="0.3">
      <c r="A1378" t="s">
        <v>17</v>
      </c>
      <c r="B1378" t="str">
        <f>"603587"</f>
        <v>603587</v>
      </c>
      <c r="C1378" t="s">
        <v>2798</v>
      </c>
      <c r="D1378" t="s">
        <v>227</v>
      </c>
      <c r="F1378">
        <v>833026403</v>
      </c>
      <c r="G1378">
        <v>669856183</v>
      </c>
      <c r="H1378">
        <v>517096180</v>
      </c>
      <c r="I1378">
        <v>426358678</v>
      </c>
      <c r="J1378">
        <v>283867435</v>
      </c>
      <c r="K1378">
        <v>445292871</v>
      </c>
      <c r="L1378">
        <v>520033877</v>
      </c>
      <c r="M1378">
        <v>516810494</v>
      </c>
      <c r="P1378">
        <v>1012</v>
      </c>
      <c r="Q1378" t="s">
        <v>2799</v>
      </c>
    </row>
    <row r="1379" spans="1:17" x14ac:dyDescent="0.3">
      <c r="A1379" t="s">
        <v>17</v>
      </c>
      <c r="B1379" t="str">
        <f>"603588"</f>
        <v>603588</v>
      </c>
      <c r="C1379" t="s">
        <v>2800</v>
      </c>
      <c r="D1379" t="s">
        <v>33</v>
      </c>
      <c r="F1379">
        <v>-1351762808</v>
      </c>
      <c r="G1379">
        <v>-1488640811</v>
      </c>
      <c r="H1379">
        <v>-880137550</v>
      </c>
      <c r="I1379">
        <v>-675364767</v>
      </c>
      <c r="J1379">
        <v>-524522217</v>
      </c>
      <c r="K1379">
        <v>-343979175</v>
      </c>
      <c r="L1379">
        <v>-121657417</v>
      </c>
      <c r="M1379">
        <v>-374516187</v>
      </c>
      <c r="N1379">
        <v>-286219757</v>
      </c>
      <c r="O1379">
        <v>-88292791</v>
      </c>
      <c r="P1379">
        <v>581</v>
      </c>
      <c r="Q1379" t="s">
        <v>2801</v>
      </c>
    </row>
    <row r="1380" spans="1:17" x14ac:dyDescent="0.3">
      <c r="A1380" t="s">
        <v>17</v>
      </c>
      <c r="B1380" t="str">
        <f>"603589"</f>
        <v>603589</v>
      </c>
      <c r="C1380" t="s">
        <v>2802</v>
      </c>
      <c r="D1380" t="s">
        <v>123</v>
      </c>
      <c r="F1380">
        <v>254651266</v>
      </c>
      <c r="G1380">
        <v>114275594</v>
      </c>
      <c r="H1380">
        <v>1159572660</v>
      </c>
      <c r="I1380">
        <v>847232675</v>
      </c>
      <c r="J1380">
        <v>1391910768</v>
      </c>
      <c r="K1380">
        <v>464916001</v>
      </c>
      <c r="L1380">
        <v>430260293</v>
      </c>
      <c r="M1380">
        <v>60094526</v>
      </c>
      <c r="N1380">
        <v>115359133</v>
      </c>
      <c r="O1380">
        <v>266709852</v>
      </c>
      <c r="P1380">
        <v>6971</v>
      </c>
      <c r="Q1380" t="s">
        <v>2803</v>
      </c>
    </row>
    <row r="1381" spans="1:17" x14ac:dyDescent="0.3">
      <c r="A1381" t="s">
        <v>17</v>
      </c>
      <c r="B1381" t="str">
        <f>"603590"</f>
        <v>603590</v>
      </c>
      <c r="C1381" t="s">
        <v>2804</v>
      </c>
      <c r="D1381" t="s">
        <v>113</v>
      </c>
      <c r="F1381">
        <v>-93693071</v>
      </c>
      <c r="G1381">
        <v>8032300</v>
      </c>
      <c r="H1381">
        <v>243153144</v>
      </c>
      <c r="I1381">
        <v>246262005</v>
      </c>
      <c r="J1381">
        <v>236856711</v>
      </c>
      <c r="K1381">
        <v>-30407423</v>
      </c>
      <c r="L1381">
        <v>146853910</v>
      </c>
      <c r="P1381">
        <v>158</v>
      </c>
      <c r="Q1381" t="s">
        <v>2805</v>
      </c>
    </row>
    <row r="1382" spans="1:17" x14ac:dyDescent="0.3">
      <c r="A1382" t="s">
        <v>17</v>
      </c>
      <c r="B1382" t="str">
        <f>"603595"</f>
        <v>603595</v>
      </c>
      <c r="C1382" t="s">
        <v>2806</v>
      </c>
      <c r="D1382" t="s">
        <v>150</v>
      </c>
      <c r="F1382">
        <v>-597274791</v>
      </c>
      <c r="G1382">
        <v>-289204859</v>
      </c>
      <c r="H1382">
        <v>-201386685</v>
      </c>
      <c r="I1382">
        <v>-158960861</v>
      </c>
      <c r="J1382">
        <v>-329780872</v>
      </c>
      <c r="K1382">
        <v>-76628779</v>
      </c>
      <c r="L1382">
        <v>23031196</v>
      </c>
      <c r="M1382">
        <v>13798634</v>
      </c>
      <c r="P1382">
        <v>184</v>
      </c>
      <c r="Q1382" t="s">
        <v>2807</v>
      </c>
    </row>
    <row r="1383" spans="1:17" x14ac:dyDescent="0.3">
      <c r="A1383" t="s">
        <v>17</v>
      </c>
      <c r="B1383" t="str">
        <f>"603596"</f>
        <v>603596</v>
      </c>
      <c r="C1383" t="s">
        <v>2808</v>
      </c>
      <c r="D1383" t="s">
        <v>27</v>
      </c>
      <c r="F1383">
        <v>151032100</v>
      </c>
      <c r="G1383">
        <v>412554637</v>
      </c>
      <c r="H1383">
        <v>494924959</v>
      </c>
      <c r="I1383">
        <v>225862323</v>
      </c>
      <c r="J1383">
        <v>-126691068</v>
      </c>
      <c r="K1383">
        <v>-41872841</v>
      </c>
      <c r="L1383">
        <v>-15613350</v>
      </c>
      <c r="P1383">
        <v>370</v>
      </c>
      <c r="Q1383" t="s">
        <v>2809</v>
      </c>
    </row>
    <row r="1384" spans="1:17" x14ac:dyDescent="0.3">
      <c r="A1384" t="s">
        <v>17</v>
      </c>
      <c r="B1384" t="str">
        <f>"603598"</f>
        <v>603598</v>
      </c>
      <c r="C1384" t="s">
        <v>2810</v>
      </c>
      <c r="D1384" t="s">
        <v>89</v>
      </c>
      <c r="F1384">
        <v>174044268</v>
      </c>
      <c r="G1384">
        <v>-30432070</v>
      </c>
      <c r="H1384">
        <v>208976398</v>
      </c>
      <c r="I1384">
        <v>10173993</v>
      </c>
      <c r="J1384">
        <v>96089955</v>
      </c>
      <c r="K1384">
        <v>122467033</v>
      </c>
      <c r="L1384">
        <v>-211825258</v>
      </c>
      <c r="M1384">
        <v>70602396</v>
      </c>
      <c r="N1384">
        <v>37924376</v>
      </c>
      <c r="O1384">
        <v>10455474</v>
      </c>
      <c r="P1384">
        <v>113</v>
      </c>
      <c r="Q1384" t="s">
        <v>2811</v>
      </c>
    </row>
    <row r="1385" spans="1:17" x14ac:dyDescent="0.3">
      <c r="A1385" t="s">
        <v>17</v>
      </c>
      <c r="B1385" t="str">
        <f>"603599"</f>
        <v>603599</v>
      </c>
      <c r="C1385" t="s">
        <v>2812</v>
      </c>
      <c r="D1385" t="s">
        <v>133</v>
      </c>
      <c r="F1385">
        <v>1171975385</v>
      </c>
      <c r="G1385">
        <v>460575081</v>
      </c>
      <c r="H1385">
        <v>472594285</v>
      </c>
      <c r="I1385">
        <v>250453588</v>
      </c>
      <c r="J1385">
        <v>507342957</v>
      </c>
      <c r="K1385">
        <v>-111103793</v>
      </c>
      <c r="L1385">
        <v>-133182423</v>
      </c>
      <c r="M1385">
        <v>-34708712</v>
      </c>
      <c r="N1385">
        <v>-9602771</v>
      </c>
      <c r="O1385">
        <v>136710944</v>
      </c>
      <c r="P1385">
        <v>304</v>
      </c>
      <c r="Q1385" t="s">
        <v>2813</v>
      </c>
    </row>
    <row r="1386" spans="1:17" x14ac:dyDescent="0.3">
      <c r="A1386" t="s">
        <v>17</v>
      </c>
      <c r="B1386" t="str">
        <f>"603600"</f>
        <v>603600</v>
      </c>
      <c r="C1386" t="s">
        <v>2814</v>
      </c>
      <c r="D1386" t="s">
        <v>161</v>
      </c>
      <c r="F1386">
        <v>-195632354</v>
      </c>
      <c r="G1386">
        <v>-286786708</v>
      </c>
      <c r="H1386">
        <v>63364934</v>
      </c>
      <c r="I1386">
        <v>-116443717</v>
      </c>
      <c r="J1386">
        <v>2902254</v>
      </c>
      <c r="K1386">
        <v>-20359195</v>
      </c>
      <c r="L1386">
        <v>65797700</v>
      </c>
      <c r="M1386">
        <v>33165997</v>
      </c>
      <c r="N1386">
        <v>52040147</v>
      </c>
      <c r="O1386">
        <v>-15150614</v>
      </c>
      <c r="P1386">
        <v>290</v>
      </c>
      <c r="Q1386" t="s">
        <v>2815</v>
      </c>
    </row>
    <row r="1387" spans="1:17" x14ac:dyDescent="0.3">
      <c r="A1387" t="s">
        <v>17</v>
      </c>
      <c r="B1387" t="str">
        <f>"603601"</f>
        <v>603601</v>
      </c>
      <c r="C1387" t="s">
        <v>2816</v>
      </c>
      <c r="D1387" t="s">
        <v>350</v>
      </c>
      <c r="F1387">
        <v>-9998993</v>
      </c>
      <c r="G1387">
        <v>198021289</v>
      </c>
      <c r="H1387">
        <v>233315322</v>
      </c>
      <c r="I1387">
        <v>-155035938</v>
      </c>
      <c r="J1387">
        <v>-121671151</v>
      </c>
      <c r="K1387">
        <v>-120166023</v>
      </c>
      <c r="L1387">
        <v>-50177026</v>
      </c>
      <c r="M1387">
        <v>18835144</v>
      </c>
      <c r="N1387">
        <v>-15023616</v>
      </c>
      <c r="O1387">
        <v>543768</v>
      </c>
      <c r="P1387">
        <v>501</v>
      </c>
      <c r="Q1387" t="s">
        <v>2817</v>
      </c>
    </row>
    <row r="1388" spans="1:17" x14ac:dyDescent="0.3">
      <c r="A1388" t="s">
        <v>17</v>
      </c>
      <c r="B1388" t="str">
        <f>"603602"</f>
        <v>603602</v>
      </c>
      <c r="C1388" t="s">
        <v>2818</v>
      </c>
      <c r="D1388" t="s">
        <v>100</v>
      </c>
      <c r="F1388">
        <v>-3246816</v>
      </c>
      <c r="G1388">
        <v>-68892132</v>
      </c>
      <c r="H1388">
        <v>-146056659</v>
      </c>
      <c r="I1388">
        <v>-33622066</v>
      </c>
      <c r="J1388">
        <v>28760359</v>
      </c>
      <c r="K1388">
        <v>113774483</v>
      </c>
      <c r="L1388">
        <v>85772736</v>
      </c>
      <c r="M1388">
        <v>35584785</v>
      </c>
      <c r="P1388">
        <v>193</v>
      </c>
      <c r="Q1388" t="s">
        <v>2819</v>
      </c>
    </row>
    <row r="1389" spans="1:17" x14ac:dyDescent="0.3">
      <c r="A1389" t="s">
        <v>17</v>
      </c>
      <c r="B1389" t="str">
        <f>"603603"</f>
        <v>603603</v>
      </c>
      <c r="C1389" t="s">
        <v>2820</v>
      </c>
      <c r="D1389" t="s">
        <v>33</v>
      </c>
      <c r="F1389">
        <v>147919631</v>
      </c>
      <c r="G1389">
        <v>-683705273</v>
      </c>
      <c r="H1389">
        <v>-1240708347</v>
      </c>
      <c r="I1389">
        <v>-794795115</v>
      </c>
      <c r="J1389">
        <v>-983475481</v>
      </c>
      <c r="K1389">
        <v>-1045889495</v>
      </c>
      <c r="L1389">
        <v>-667889894</v>
      </c>
      <c r="M1389">
        <v>-71350607</v>
      </c>
      <c r="N1389">
        <v>22279285</v>
      </c>
      <c r="P1389">
        <v>118</v>
      </c>
      <c r="Q1389" t="s">
        <v>2821</v>
      </c>
    </row>
    <row r="1390" spans="1:17" x14ac:dyDescent="0.3">
      <c r="A1390" t="s">
        <v>17</v>
      </c>
      <c r="B1390" t="str">
        <f>"603605"</f>
        <v>603605</v>
      </c>
      <c r="C1390" t="s">
        <v>2822</v>
      </c>
      <c r="D1390" t="s">
        <v>481</v>
      </c>
      <c r="F1390">
        <v>635615900</v>
      </c>
      <c r="G1390">
        <v>147530353</v>
      </c>
      <c r="H1390">
        <v>72299994</v>
      </c>
      <c r="I1390">
        <v>283249374</v>
      </c>
      <c r="J1390">
        <v>254459878</v>
      </c>
      <c r="K1390">
        <v>75422301</v>
      </c>
      <c r="L1390">
        <v>109473586</v>
      </c>
      <c r="M1390">
        <v>94371201</v>
      </c>
      <c r="P1390">
        <v>1728</v>
      </c>
      <c r="Q1390" t="s">
        <v>2823</v>
      </c>
    </row>
    <row r="1391" spans="1:17" x14ac:dyDescent="0.3">
      <c r="A1391" t="s">
        <v>17</v>
      </c>
      <c r="B1391" t="str">
        <f>"603606"</f>
        <v>603606</v>
      </c>
      <c r="C1391" t="s">
        <v>2824</v>
      </c>
      <c r="D1391" t="s">
        <v>188</v>
      </c>
      <c r="F1391">
        <v>-72669559</v>
      </c>
      <c r="G1391">
        <v>206808355</v>
      </c>
      <c r="H1391">
        <v>370316818</v>
      </c>
      <c r="I1391">
        <v>377971420</v>
      </c>
      <c r="J1391">
        <v>-840694618</v>
      </c>
      <c r="K1391">
        <v>384527</v>
      </c>
      <c r="L1391">
        <v>54884094</v>
      </c>
      <c r="M1391">
        <v>185985357</v>
      </c>
      <c r="N1391">
        <v>-64607369</v>
      </c>
      <c r="O1391">
        <v>94604451</v>
      </c>
      <c r="P1391">
        <v>1572</v>
      </c>
      <c r="Q1391" t="s">
        <v>2825</v>
      </c>
    </row>
    <row r="1392" spans="1:17" x14ac:dyDescent="0.3">
      <c r="A1392" t="s">
        <v>17</v>
      </c>
      <c r="B1392" t="str">
        <f>"603607"</f>
        <v>603607</v>
      </c>
      <c r="C1392" t="s">
        <v>2826</v>
      </c>
      <c r="D1392" t="s">
        <v>161</v>
      </c>
      <c r="F1392">
        <v>106846665</v>
      </c>
      <c r="G1392">
        <v>60881043</v>
      </c>
      <c r="H1392">
        <v>94601416</v>
      </c>
      <c r="I1392">
        <v>5951196</v>
      </c>
      <c r="J1392">
        <v>42100663</v>
      </c>
      <c r="K1392">
        <v>72403300</v>
      </c>
      <c r="L1392">
        <v>24836613</v>
      </c>
      <c r="M1392">
        <v>64693212</v>
      </c>
      <c r="P1392">
        <v>108</v>
      </c>
      <c r="Q1392" t="s">
        <v>2827</v>
      </c>
    </row>
    <row r="1393" spans="1:17" x14ac:dyDescent="0.3">
      <c r="A1393" t="s">
        <v>17</v>
      </c>
      <c r="B1393" t="str">
        <f>"603608"</f>
        <v>603608</v>
      </c>
      <c r="C1393" t="s">
        <v>2828</v>
      </c>
      <c r="D1393" t="s">
        <v>227</v>
      </c>
      <c r="F1393">
        <v>-218495802</v>
      </c>
      <c r="G1393">
        <v>146453446</v>
      </c>
      <c r="H1393">
        <v>159962485</v>
      </c>
      <c r="I1393">
        <v>206475235</v>
      </c>
      <c r="J1393">
        <v>139857719</v>
      </c>
      <c r="K1393">
        <v>53727264</v>
      </c>
      <c r="L1393">
        <v>75564860</v>
      </c>
      <c r="M1393">
        <v>151350398</v>
      </c>
      <c r="N1393">
        <v>27742920</v>
      </c>
      <c r="O1393">
        <v>10605463</v>
      </c>
      <c r="P1393">
        <v>138</v>
      </c>
      <c r="Q1393" t="s">
        <v>2829</v>
      </c>
    </row>
    <row r="1394" spans="1:17" x14ac:dyDescent="0.3">
      <c r="A1394" t="s">
        <v>17</v>
      </c>
      <c r="B1394" t="str">
        <f>"603609"</f>
        <v>603609</v>
      </c>
      <c r="C1394" t="s">
        <v>2830</v>
      </c>
      <c r="D1394" t="s">
        <v>205</v>
      </c>
      <c r="F1394">
        <v>-787464163</v>
      </c>
      <c r="G1394">
        <v>-576889281</v>
      </c>
      <c r="H1394">
        <v>364550152</v>
      </c>
      <c r="I1394">
        <v>85720306</v>
      </c>
      <c r="J1394">
        <v>145127152</v>
      </c>
      <c r="K1394">
        <v>-318476007</v>
      </c>
      <c r="L1394">
        <v>229284539</v>
      </c>
      <c r="M1394">
        <v>134057443</v>
      </c>
      <c r="N1394">
        <v>-87974520</v>
      </c>
      <c r="O1394">
        <v>-203989991</v>
      </c>
      <c r="P1394">
        <v>507</v>
      </c>
      <c r="Q1394" t="s">
        <v>2831</v>
      </c>
    </row>
    <row r="1395" spans="1:17" x14ac:dyDescent="0.3">
      <c r="A1395" t="s">
        <v>17</v>
      </c>
      <c r="B1395" t="str">
        <f>"603610"</f>
        <v>603610</v>
      </c>
      <c r="C1395" t="s">
        <v>2832</v>
      </c>
      <c r="D1395" t="s">
        <v>161</v>
      </c>
      <c r="F1395">
        <v>-75891767</v>
      </c>
      <c r="G1395">
        <v>-105807374</v>
      </c>
      <c r="H1395">
        <v>130130305</v>
      </c>
      <c r="I1395">
        <v>137109885</v>
      </c>
      <c r="J1395">
        <v>65597928</v>
      </c>
      <c r="K1395">
        <v>29702956</v>
      </c>
      <c r="P1395">
        <v>230</v>
      </c>
      <c r="Q1395" t="s">
        <v>2833</v>
      </c>
    </row>
    <row r="1396" spans="1:17" x14ac:dyDescent="0.3">
      <c r="A1396" t="s">
        <v>17</v>
      </c>
      <c r="B1396" t="str">
        <f>"603611"</f>
        <v>603611</v>
      </c>
      <c r="C1396" t="s">
        <v>2834</v>
      </c>
      <c r="D1396" t="s">
        <v>78</v>
      </c>
      <c r="F1396">
        <v>105150794</v>
      </c>
      <c r="G1396">
        <v>194207059</v>
      </c>
      <c r="H1396">
        <v>277735589</v>
      </c>
      <c r="I1396">
        <v>195874359</v>
      </c>
      <c r="J1396">
        <v>-35245448</v>
      </c>
      <c r="K1396">
        <v>36446742</v>
      </c>
      <c r="L1396">
        <v>88122849</v>
      </c>
      <c r="M1396">
        <v>119752379</v>
      </c>
      <c r="N1396">
        <v>29742927</v>
      </c>
      <c r="O1396">
        <v>43391595</v>
      </c>
      <c r="P1396">
        <v>315</v>
      </c>
      <c r="Q1396" t="s">
        <v>2835</v>
      </c>
    </row>
    <row r="1397" spans="1:17" x14ac:dyDescent="0.3">
      <c r="A1397" t="s">
        <v>17</v>
      </c>
      <c r="B1397" t="str">
        <f>"603612"</f>
        <v>603612</v>
      </c>
      <c r="C1397" t="s">
        <v>2836</v>
      </c>
      <c r="D1397" t="s">
        <v>133</v>
      </c>
      <c r="F1397">
        <v>-1879392435</v>
      </c>
      <c r="G1397">
        <v>-325924407</v>
      </c>
      <c r="H1397">
        <v>-782118555</v>
      </c>
      <c r="I1397">
        <v>-294712913</v>
      </c>
      <c r="J1397">
        <v>-88443379</v>
      </c>
      <c r="K1397">
        <v>42064733</v>
      </c>
      <c r="L1397">
        <v>7632384</v>
      </c>
      <c r="M1397">
        <v>-11507354</v>
      </c>
      <c r="P1397">
        <v>163</v>
      </c>
      <c r="Q1397" t="s">
        <v>2837</v>
      </c>
    </row>
    <row r="1398" spans="1:17" x14ac:dyDescent="0.3">
      <c r="A1398" t="s">
        <v>17</v>
      </c>
      <c r="B1398" t="str">
        <f>"603613"</f>
        <v>603613</v>
      </c>
      <c r="C1398" t="s">
        <v>2838</v>
      </c>
      <c r="D1398" t="s">
        <v>120</v>
      </c>
      <c r="F1398">
        <v>193106562</v>
      </c>
      <c r="G1398">
        <v>662553092</v>
      </c>
      <c r="H1398">
        <v>375963799</v>
      </c>
      <c r="I1398">
        <v>72474268</v>
      </c>
      <c r="J1398">
        <v>-91436359</v>
      </c>
      <c r="K1398">
        <v>-68763330</v>
      </c>
      <c r="P1398">
        <v>827</v>
      </c>
      <c r="Q1398" t="s">
        <v>2839</v>
      </c>
    </row>
    <row r="1399" spans="1:17" x14ac:dyDescent="0.3">
      <c r="A1399" t="s">
        <v>17</v>
      </c>
      <c r="B1399" t="str">
        <f>"603615"</f>
        <v>603615</v>
      </c>
      <c r="C1399" t="s">
        <v>2840</v>
      </c>
      <c r="D1399" t="s">
        <v>161</v>
      </c>
      <c r="F1399">
        <v>-92959158</v>
      </c>
      <c r="G1399">
        <v>-106893308</v>
      </c>
      <c r="H1399">
        <v>-12638662</v>
      </c>
      <c r="I1399">
        <v>-47364532</v>
      </c>
      <c r="J1399">
        <v>43752640</v>
      </c>
      <c r="K1399">
        <v>106156757</v>
      </c>
      <c r="L1399">
        <v>98104661</v>
      </c>
      <c r="M1399">
        <v>-6590428</v>
      </c>
      <c r="N1399">
        <v>39771185</v>
      </c>
      <c r="P1399">
        <v>107</v>
      </c>
      <c r="Q1399" t="s">
        <v>2841</v>
      </c>
    </row>
    <row r="1400" spans="1:17" x14ac:dyDescent="0.3">
      <c r="A1400" t="s">
        <v>17</v>
      </c>
      <c r="B1400" t="str">
        <f>"603616"</f>
        <v>603616</v>
      </c>
      <c r="C1400" t="s">
        <v>2842</v>
      </c>
      <c r="D1400" t="s">
        <v>350</v>
      </c>
      <c r="F1400">
        <v>-119540183</v>
      </c>
      <c r="G1400">
        <v>189770504</v>
      </c>
      <c r="H1400">
        <v>82489940</v>
      </c>
      <c r="I1400">
        <v>38511037</v>
      </c>
      <c r="J1400">
        <v>-145459466</v>
      </c>
      <c r="K1400">
        <v>52874513</v>
      </c>
      <c r="L1400">
        <v>-156885426</v>
      </c>
      <c r="M1400">
        <v>-127821061</v>
      </c>
      <c r="N1400">
        <v>-13194758</v>
      </c>
      <c r="O1400">
        <v>-73018252</v>
      </c>
      <c r="P1400">
        <v>71</v>
      </c>
      <c r="Q1400" t="s">
        <v>2843</v>
      </c>
    </row>
    <row r="1401" spans="1:17" x14ac:dyDescent="0.3">
      <c r="A1401" t="s">
        <v>17</v>
      </c>
      <c r="B1401" t="str">
        <f>"603617"</f>
        <v>603617</v>
      </c>
      <c r="C1401" t="s">
        <v>2844</v>
      </c>
      <c r="D1401" t="s">
        <v>78</v>
      </c>
      <c r="F1401">
        <v>-337048356</v>
      </c>
      <c r="G1401">
        <v>-9043626</v>
      </c>
      <c r="H1401">
        <v>20854966</v>
      </c>
      <c r="I1401">
        <v>-28001972</v>
      </c>
      <c r="J1401">
        <v>50251987</v>
      </c>
      <c r="K1401">
        <v>42009782</v>
      </c>
      <c r="L1401">
        <v>51062015</v>
      </c>
      <c r="M1401">
        <v>-14089079</v>
      </c>
      <c r="P1401">
        <v>105</v>
      </c>
      <c r="Q1401" t="s">
        <v>2845</v>
      </c>
    </row>
    <row r="1402" spans="1:17" x14ac:dyDescent="0.3">
      <c r="A1402" t="s">
        <v>17</v>
      </c>
      <c r="B1402" t="str">
        <f>"603618"</f>
        <v>603618</v>
      </c>
      <c r="C1402" t="s">
        <v>2846</v>
      </c>
      <c r="D1402" t="s">
        <v>188</v>
      </c>
      <c r="F1402">
        <v>-900349240</v>
      </c>
      <c r="G1402">
        <v>-247099400</v>
      </c>
      <c r="H1402">
        <v>-274541478</v>
      </c>
      <c r="I1402">
        <v>-1309971837</v>
      </c>
      <c r="J1402">
        <v>-188116684</v>
      </c>
      <c r="K1402">
        <v>-358944807</v>
      </c>
      <c r="L1402">
        <v>-129747863</v>
      </c>
      <c r="M1402">
        <v>-74901430</v>
      </c>
      <c r="N1402">
        <v>23535027</v>
      </c>
      <c r="O1402">
        <v>45081440</v>
      </c>
      <c r="P1402">
        <v>169</v>
      </c>
      <c r="Q1402" t="s">
        <v>2847</v>
      </c>
    </row>
    <row r="1403" spans="1:17" x14ac:dyDescent="0.3">
      <c r="A1403" t="s">
        <v>17</v>
      </c>
      <c r="B1403" t="str">
        <f>"603619"</f>
        <v>603619</v>
      </c>
      <c r="C1403" t="s">
        <v>2848</v>
      </c>
      <c r="D1403" t="s">
        <v>70</v>
      </c>
      <c r="F1403">
        <v>-33491522</v>
      </c>
      <c r="G1403">
        <v>-116217031</v>
      </c>
      <c r="H1403">
        <v>-174346614</v>
      </c>
      <c r="I1403">
        <v>-586376067</v>
      </c>
      <c r="J1403">
        <v>-221748961</v>
      </c>
      <c r="K1403">
        <v>16181559</v>
      </c>
      <c r="L1403">
        <v>410641678</v>
      </c>
      <c r="M1403">
        <v>-85330598</v>
      </c>
      <c r="P1403">
        <v>74</v>
      </c>
      <c r="Q1403" t="s">
        <v>2849</v>
      </c>
    </row>
    <row r="1404" spans="1:17" x14ac:dyDescent="0.3">
      <c r="A1404" t="s">
        <v>17</v>
      </c>
      <c r="B1404" t="str">
        <f>"603626"</f>
        <v>603626</v>
      </c>
      <c r="C1404" t="s">
        <v>2850</v>
      </c>
      <c r="D1404" t="s">
        <v>150</v>
      </c>
      <c r="F1404">
        <v>-270331781</v>
      </c>
      <c r="G1404">
        <v>-621181234</v>
      </c>
      <c r="H1404">
        <v>-35920135</v>
      </c>
      <c r="I1404">
        <v>-573259416</v>
      </c>
      <c r="J1404">
        <v>-886079564</v>
      </c>
      <c r="K1404">
        <v>156388786</v>
      </c>
      <c r="L1404">
        <v>-212421342</v>
      </c>
      <c r="M1404">
        <v>-109688793</v>
      </c>
      <c r="N1404">
        <v>7220819</v>
      </c>
      <c r="P1404">
        <v>173</v>
      </c>
      <c r="Q1404" t="s">
        <v>2851</v>
      </c>
    </row>
    <row r="1405" spans="1:17" x14ac:dyDescent="0.3">
      <c r="A1405" t="s">
        <v>17</v>
      </c>
      <c r="B1405" t="str">
        <f>"603628"</f>
        <v>603628</v>
      </c>
      <c r="C1405" t="s">
        <v>2852</v>
      </c>
      <c r="D1405" t="s">
        <v>188</v>
      </c>
      <c r="F1405">
        <v>44822442</v>
      </c>
      <c r="G1405">
        <v>326486049</v>
      </c>
      <c r="H1405">
        <v>129039229</v>
      </c>
      <c r="I1405">
        <v>-139317242</v>
      </c>
      <c r="J1405">
        <v>-459811883</v>
      </c>
      <c r="K1405">
        <v>-154357655</v>
      </c>
      <c r="L1405">
        <v>-9674494</v>
      </c>
      <c r="M1405">
        <v>-19449336</v>
      </c>
      <c r="N1405">
        <v>-6805024</v>
      </c>
      <c r="P1405">
        <v>80</v>
      </c>
      <c r="Q1405" t="s">
        <v>2853</v>
      </c>
    </row>
    <row r="1406" spans="1:17" x14ac:dyDescent="0.3">
      <c r="A1406" t="s">
        <v>17</v>
      </c>
      <c r="B1406" t="str">
        <f>"603629"</f>
        <v>603629</v>
      </c>
      <c r="C1406" t="s">
        <v>2854</v>
      </c>
      <c r="D1406" t="s">
        <v>150</v>
      </c>
      <c r="F1406">
        <v>-197470546</v>
      </c>
      <c r="G1406">
        <v>-235209694</v>
      </c>
      <c r="H1406">
        <v>-71956142</v>
      </c>
      <c r="I1406">
        <v>-114783091</v>
      </c>
      <c r="J1406">
        <v>93598095</v>
      </c>
      <c r="K1406">
        <v>-9954507</v>
      </c>
      <c r="L1406">
        <v>-56678873</v>
      </c>
      <c r="P1406">
        <v>51</v>
      </c>
      <c r="Q1406" t="s">
        <v>2855</v>
      </c>
    </row>
    <row r="1407" spans="1:17" x14ac:dyDescent="0.3">
      <c r="A1407" t="s">
        <v>17</v>
      </c>
      <c r="B1407" t="str">
        <f>"603630"</f>
        <v>603630</v>
      </c>
      <c r="C1407" t="s">
        <v>2856</v>
      </c>
      <c r="D1407" t="s">
        <v>481</v>
      </c>
      <c r="F1407">
        <v>-30635434</v>
      </c>
      <c r="G1407">
        <v>20546169</v>
      </c>
      <c r="H1407">
        <v>130230115</v>
      </c>
      <c r="I1407">
        <v>11337148</v>
      </c>
      <c r="J1407">
        <v>35238490</v>
      </c>
      <c r="K1407">
        <v>169966917</v>
      </c>
      <c r="L1407">
        <v>101497523</v>
      </c>
      <c r="M1407">
        <v>42675866</v>
      </c>
      <c r="P1407">
        <v>148</v>
      </c>
      <c r="Q1407" t="s">
        <v>2857</v>
      </c>
    </row>
    <row r="1408" spans="1:17" x14ac:dyDescent="0.3">
      <c r="A1408" t="s">
        <v>17</v>
      </c>
      <c r="B1408" t="str">
        <f>"603633"</f>
        <v>603633</v>
      </c>
      <c r="C1408" t="s">
        <v>2858</v>
      </c>
      <c r="D1408" t="s">
        <v>150</v>
      </c>
      <c r="F1408">
        <v>-126211043</v>
      </c>
      <c r="G1408">
        <v>-95778730</v>
      </c>
      <c r="H1408">
        <v>-73825183</v>
      </c>
      <c r="I1408">
        <v>-114402173</v>
      </c>
      <c r="J1408">
        <v>-41836578</v>
      </c>
      <c r="K1408">
        <v>-7112279</v>
      </c>
      <c r="L1408">
        <v>-44941002</v>
      </c>
      <c r="M1408">
        <v>-13105341</v>
      </c>
      <c r="N1408">
        <v>-21412808</v>
      </c>
      <c r="P1408">
        <v>90</v>
      </c>
      <c r="Q1408" t="s">
        <v>2859</v>
      </c>
    </row>
    <row r="1409" spans="1:17" x14ac:dyDescent="0.3">
      <c r="A1409" t="s">
        <v>17</v>
      </c>
      <c r="B1409" t="str">
        <f>"603636"</f>
        <v>603636</v>
      </c>
      <c r="C1409" t="s">
        <v>2860</v>
      </c>
      <c r="D1409" t="s">
        <v>212</v>
      </c>
      <c r="F1409">
        <v>-228733410</v>
      </c>
      <c r="G1409">
        <v>75518748</v>
      </c>
      <c r="H1409">
        <v>-238718303</v>
      </c>
      <c r="I1409">
        <v>-363729926</v>
      </c>
      <c r="J1409">
        <v>35527231</v>
      </c>
      <c r="K1409">
        <v>-129158708</v>
      </c>
      <c r="L1409">
        <v>-30644786</v>
      </c>
      <c r="M1409">
        <v>51564567</v>
      </c>
      <c r="N1409">
        <v>55743825</v>
      </c>
      <c r="O1409">
        <v>9332018</v>
      </c>
      <c r="P1409">
        <v>202</v>
      </c>
      <c r="Q1409" t="s">
        <v>2861</v>
      </c>
    </row>
    <row r="1410" spans="1:17" x14ac:dyDescent="0.3">
      <c r="A1410" t="s">
        <v>17</v>
      </c>
      <c r="B1410" t="str">
        <f>"603637"</f>
        <v>603637</v>
      </c>
      <c r="C1410" t="s">
        <v>2862</v>
      </c>
      <c r="D1410" t="s">
        <v>95</v>
      </c>
      <c r="F1410">
        <v>191106864</v>
      </c>
      <c r="G1410">
        <v>-143810492</v>
      </c>
      <c r="H1410">
        <v>425609433</v>
      </c>
      <c r="I1410">
        <v>79007547</v>
      </c>
      <c r="J1410">
        <v>-4366993</v>
      </c>
      <c r="K1410">
        <v>-77578502</v>
      </c>
      <c r="L1410">
        <v>130473230</v>
      </c>
      <c r="M1410">
        <v>67995067</v>
      </c>
      <c r="N1410">
        <v>74324753</v>
      </c>
      <c r="P1410">
        <v>70</v>
      </c>
      <c r="Q1410" t="s">
        <v>2863</v>
      </c>
    </row>
    <row r="1411" spans="1:17" x14ac:dyDescent="0.3">
      <c r="A1411" t="s">
        <v>17</v>
      </c>
      <c r="B1411" t="str">
        <f>"603638"</f>
        <v>603638</v>
      </c>
      <c r="C1411" t="s">
        <v>2864</v>
      </c>
      <c r="D1411" t="s">
        <v>78</v>
      </c>
      <c r="F1411">
        <v>-327781667</v>
      </c>
      <c r="G1411">
        <v>-334123695</v>
      </c>
      <c r="H1411">
        <v>91262379</v>
      </c>
      <c r="I1411">
        <v>-171702409</v>
      </c>
      <c r="J1411">
        <v>-131943872</v>
      </c>
      <c r="K1411">
        <v>-11668516</v>
      </c>
      <c r="L1411">
        <v>41395548</v>
      </c>
      <c r="M1411">
        <v>64578389</v>
      </c>
      <c r="N1411">
        <v>-51907051</v>
      </c>
      <c r="P1411">
        <v>664</v>
      </c>
      <c r="Q1411" t="s">
        <v>2865</v>
      </c>
    </row>
    <row r="1412" spans="1:17" x14ac:dyDescent="0.3">
      <c r="A1412" t="s">
        <v>17</v>
      </c>
      <c r="B1412" t="str">
        <f>"603639"</f>
        <v>603639</v>
      </c>
      <c r="C1412" t="s">
        <v>2866</v>
      </c>
      <c r="D1412" t="s">
        <v>133</v>
      </c>
      <c r="F1412">
        <v>-238677052</v>
      </c>
      <c r="G1412">
        <v>265928310</v>
      </c>
      <c r="H1412">
        <v>346547209</v>
      </c>
      <c r="I1412">
        <v>-304234481</v>
      </c>
      <c r="J1412">
        <v>-189358103</v>
      </c>
      <c r="K1412">
        <v>184494282</v>
      </c>
      <c r="L1412">
        <v>66777442</v>
      </c>
      <c r="M1412">
        <v>91309142</v>
      </c>
      <c r="N1412">
        <v>130010075</v>
      </c>
      <c r="P1412">
        <v>1570</v>
      </c>
      <c r="Q1412" t="s">
        <v>2867</v>
      </c>
    </row>
    <row r="1413" spans="1:17" x14ac:dyDescent="0.3">
      <c r="A1413" t="s">
        <v>17</v>
      </c>
      <c r="B1413" t="str">
        <f>"603648"</f>
        <v>603648</v>
      </c>
      <c r="C1413" t="s">
        <v>2868</v>
      </c>
      <c r="D1413" t="s">
        <v>22</v>
      </c>
      <c r="F1413">
        <v>231637303</v>
      </c>
      <c r="G1413">
        <v>154850880</v>
      </c>
      <c r="H1413">
        <v>-8163486</v>
      </c>
      <c r="I1413">
        <v>-298829129</v>
      </c>
      <c r="J1413">
        <v>75048466</v>
      </c>
      <c r="K1413">
        <v>8486954</v>
      </c>
      <c r="L1413">
        <v>53096462</v>
      </c>
      <c r="M1413">
        <v>74877157</v>
      </c>
      <c r="P1413">
        <v>72</v>
      </c>
      <c r="Q1413" t="s">
        <v>2869</v>
      </c>
    </row>
    <row r="1414" spans="1:17" x14ac:dyDescent="0.3">
      <c r="A1414" t="s">
        <v>17</v>
      </c>
      <c r="B1414" t="str">
        <f>"603650"</f>
        <v>603650</v>
      </c>
      <c r="C1414" t="s">
        <v>2870</v>
      </c>
      <c r="D1414" t="s">
        <v>133</v>
      </c>
      <c r="F1414">
        <v>-310276642</v>
      </c>
      <c r="G1414">
        <v>126572480</v>
      </c>
      <c r="H1414">
        <v>347803744</v>
      </c>
      <c r="I1414">
        <v>184157306</v>
      </c>
      <c r="J1414">
        <v>210983330</v>
      </c>
      <c r="K1414">
        <v>213903160</v>
      </c>
      <c r="L1414">
        <v>170341006</v>
      </c>
      <c r="P1414">
        <v>258</v>
      </c>
      <c r="Q1414" t="s">
        <v>2871</v>
      </c>
    </row>
    <row r="1415" spans="1:17" x14ac:dyDescent="0.3">
      <c r="A1415" t="s">
        <v>17</v>
      </c>
      <c r="B1415" t="str">
        <f>"603655"</f>
        <v>603655</v>
      </c>
      <c r="C1415" t="s">
        <v>2872</v>
      </c>
      <c r="D1415" t="s">
        <v>27</v>
      </c>
      <c r="F1415">
        <v>28953026</v>
      </c>
      <c r="G1415">
        <v>12242457</v>
      </c>
      <c r="H1415">
        <v>6408733</v>
      </c>
      <c r="I1415">
        <v>22217613</v>
      </c>
      <c r="J1415">
        <v>18553394</v>
      </c>
      <c r="K1415">
        <v>-9177376</v>
      </c>
      <c r="L1415">
        <v>8948085</v>
      </c>
      <c r="M1415">
        <v>-3127283</v>
      </c>
      <c r="P1415">
        <v>88</v>
      </c>
      <c r="Q1415" t="s">
        <v>2873</v>
      </c>
    </row>
    <row r="1416" spans="1:17" x14ac:dyDescent="0.3">
      <c r="A1416" t="s">
        <v>17</v>
      </c>
      <c r="B1416" t="str">
        <f>"603656"</f>
        <v>603656</v>
      </c>
      <c r="C1416" t="s">
        <v>2874</v>
      </c>
      <c r="D1416" t="s">
        <v>78</v>
      </c>
      <c r="F1416">
        <v>-55785321</v>
      </c>
      <c r="G1416">
        <v>-131540643</v>
      </c>
      <c r="H1416">
        <v>-24281051</v>
      </c>
      <c r="I1416">
        <v>25415782</v>
      </c>
      <c r="J1416">
        <v>78749385</v>
      </c>
      <c r="K1416">
        <v>63279993</v>
      </c>
      <c r="L1416">
        <v>23197527</v>
      </c>
      <c r="M1416">
        <v>13424183</v>
      </c>
      <c r="N1416">
        <v>32507375</v>
      </c>
      <c r="P1416">
        <v>80</v>
      </c>
      <c r="Q1416" t="s">
        <v>2875</v>
      </c>
    </row>
    <row r="1417" spans="1:17" x14ac:dyDescent="0.3">
      <c r="A1417" t="s">
        <v>17</v>
      </c>
      <c r="B1417" t="str">
        <f>"603657"</f>
        <v>603657</v>
      </c>
      <c r="C1417" t="s">
        <v>2876</v>
      </c>
      <c r="D1417" t="s">
        <v>126</v>
      </c>
      <c r="F1417">
        <v>-51671853</v>
      </c>
      <c r="G1417">
        <v>-33075773</v>
      </c>
      <c r="H1417">
        <v>29644534</v>
      </c>
      <c r="I1417">
        <v>75480231</v>
      </c>
      <c r="J1417">
        <v>20095888</v>
      </c>
      <c r="K1417">
        <v>67935894</v>
      </c>
      <c r="L1417">
        <v>14150857</v>
      </c>
      <c r="P1417">
        <v>153</v>
      </c>
      <c r="Q1417" t="s">
        <v>2877</v>
      </c>
    </row>
    <row r="1418" spans="1:17" x14ac:dyDescent="0.3">
      <c r="A1418" t="s">
        <v>17</v>
      </c>
      <c r="B1418" t="str">
        <f>"603658"</f>
        <v>603658</v>
      </c>
      <c r="C1418" t="s">
        <v>2878</v>
      </c>
      <c r="D1418" t="s">
        <v>113</v>
      </c>
      <c r="F1418">
        <v>395671575</v>
      </c>
      <c r="G1418">
        <v>-120053219</v>
      </c>
      <c r="H1418">
        <v>81589066</v>
      </c>
      <c r="I1418">
        <v>243587233</v>
      </c>
      <c r="J1418">
        <v>26645889</v>
      </c>
      <c r="K1418">
        <v>178449786</v>
      </c>
      <c r="L1418">
        <v>86825233</v>
      </c>
      <c r="M1418">
        <v>77883793</v>
      </c>
      <c r="N1418">
        <v>27045030</v>
      </c>
      <c r="P1418">
        <v>2608</v>
      </c>
      <c r="Q1418" t="s">
        <v>2879</v>
      </c>
    </row>
    <row r="1419" spans="1:17" x14ac:dyDescent="0.3">
      <c r="A1419" t="s">
        <v>17</v>
      </c>
      <c r="B1419" t="str">
        <f>"603659"</f>
        <v>603659</v>
      </c>
      <c r="C1419" t="s">
        <v>2880</v>
      </c>
      <c r="D1419" t="s">
        <v>188</v>
      </c>
      <c r="F1419">
        <v>-936216653</v>
      </c>
      <c r="G1419">
        <v>-55980191</v>
      </c>
      <c r="H1419">
        <v>-558433568</v>
      </c>
      <c r="I1419">
        <v>-465763558</v>
      </c>
      <c r="J1419">
        <v>-256380765</v>
      </c>
      <c r="K1419">
        <v>41533850</v>
      </c>
      <c r="L1419">
        <v>-68656728</v>
      </c>
      <c r="M1419">
        <v>-79710796</v>
      </c>
      <c r="P1419">
        <v>1048</v>
      </c>
      <c r="Q1419" t="s">
        <v>2881</v>
      </c>
    </row>
    <row r="1420" spans="1:17" x14ac:dyDescent="0.3">
      <c r="A1420" t="s">
        <v>17</v>
      </c>
      <c r="B1420" t="str">
        <f>"603660"</f>
        <v>603660</v>
      </c>
      <c r="C1420" t="s">
        <v>2882</v>
      </c>
      <c r="D1420" t="s">
        <v>212</v>
      </c>
      <c r="F1420">
        <v>-158355670</v>
      </c>
      <c r="G1420">
        <v>33507949</v>
      </c>
      <c r="H1420">
        <v>-149313912</v>
      </c>
      <c r="I1420">
        <v>-49948794</v>
      </c>
      <c r="J1420">
        <v>25749552</v>
      </c>
      <c r="K1420">
        <v>89914851</v>
      </c>
      <c r="L1420">
        <v>176723668</v>
      </c>
      <c r="M1420">
        <v>-38177535</v>
      </c>
      <c r="N1420">
        <v>50408017</v>
      </c>
      <c r="P1420">
        <v>291</v>
      </c>
      <c r="Q1420" t="s">
        <v>2883</v>
      </c>
    </row>
    <row r="1421" spans="1:17" x14ac:dyDescent="0.3">
      <c r="A1421" t="s">
        <v>17</v>
      </c>
      <c r="B1421" t="str">
        <f>"603661"</f>
        <v>603661</v>
      </c>
      <c r="C1421" t="s">
        <v>2884</v>
      </c>
      <c r="D1421" t="s">
        <v>161</v>
      </c>
      <c r="F1421">
        <v>-357283506</v>
      </c>
      <c r="G1421">
        <v>274267269</v>
      </c>
      <c r="H1421">
        <v>7688326</v>
      </c>
      <c r="I1421">
        <v>-166252226</v>
      </c>
      <c r="J1421">
        <v>-95271706</v>
      </c>
      <c r="K1421">
        <v>217452037</v>
      </c>
      <c r="L1421">
        <v>188443696</v>
      </c>
      <c r="M1421">
        <v>131010484</v>
      </c>
      <c r="P1421">
        <v>148</v>
      </c>
      <c r="Q1421" t="s">
        <v>2885</v>
      </c>
    </row>
    <row r="1422" spans="1:17" x14ac:dyDescent="0.3">
      <c r="A1422" t="s">
        <v>17</v>
      </c>
      <c r="B1422" t="str">
        <f>"603662"</f>
        <v>603662</v>
      </c>
      <c r="C1422" t="s">
        <v>2886</v>
      </c>
      <c r="D1422" t="s">
        <v>78</v>
      </c>
      <c r="F1422">
        <v>31210623</v>
      </c>
      <c r="G1422">
        <v>153096989</v>
      </c>
      <c r="H1422">
        <v>96074979</v>
      </c>
      <c r="I1422">
        <v>84398226</v>
      </c>
      <c r="J1422">
        <v>71420408</v>
      </c>
      <c r="K1422">
        <v>78412402</v>
      </c>
      <c r="P1422">
        <v>125</v>
      </c>
      <c r="Q1422" t="s">
        <v>2887</v>
      </c>
    </row>
    <row r="1423" spans="1:17" x14ac:dyDescent="0.3">
      <c r="A1423" t="s">
        <v>17</v>
      </c>
      <c r="B1423" t="str">
        <f>"603663"</f>
        <v>603663</v>
      </c>
      <c r="C1423" t="s">
        <v>2888</v>
      </c>
      <c r="D1423" t="s">
        <v>133</v>
      </c>
      <c r="F1423">
        <v>84164246</v>
      </c>
      <c r="G1423">
        <v>-101431247</v>
      </c>
      <c r="H1423">
        <v>-49739587</v>
      </c>
      <c r="I1423">
        <v>-73055087</v>
      </c>
      <c r="J1423">
        <v>-76979954</v>
      </c>
      <c r="K1423">
        <v>18498927</v>
      </c>
      <c r="L1423">
        <v>42916372</v>
      </c>
      <c r="M1423">
        <v>36670056</v>
      </c>
      <c r="N1423">
        <v>16572997</v>
      </c>
      <c r="P1423">
        <v>143</v>
      </c>
      <c r="Q1423" t="s">
        <v>2889</v>
      </c>
    </row>
    <row r="1424" spans="1:17" x14ac:dyDescent="0.3">
      <c r="A1424" t="s">
        <v>17</v>
      </c>
      <c r="B1424" t="str">
        <f>"603665"</f>
        <v>603665</v>
      </c>
      <c r="C1424" t="s">
        <v>2890</v>
      </c>
      <c r="D1424" t="s">
        <v>227</v>
      </c>
      <c r="F1424">
        <v>-274544031</v>
      </c>
      <c r="G1424">
        <v>-526669664</v>
      </c>
      <c r="H1424">
        <v>-20825506</v>
      </c>
      <c r="I1424">
        <v>-100678070</v>
      </c>
      <c r="J1424">
        <v>29992720</v>
      </c>
      <c r="K1424">
        <v>38786330</v>
      </c>
      <c r="L1424">
        <v>54698304</v>
      </c>
      <c r="M1424">
        <v>-2231418</v>
      </c>
      <c r="P1424">
        <v>89</v>
      </c>
      <c r="Q1424" t="s">
        <v>2891</v>
      </c>
    </row>
    <row r="1425" spans="1:17" x14ac:dyDescent="0.3">
      <c r="A1425" t="s">
        <v>17</v>
      </c>
      <c r="B1425" t="str">
        <f>"603666"</f>
        <v>603666</v>
      </c>
      <c r="C1425" t="s">
        <v>2892</v>
      </c>
      <c r="D1425" t="s">
        <v>78</v>
      </c>
      <c r="F1425">
        <v>-216953486</v>
      </c>
      <c r="G1425">
        <v>-187392838</v>
      </c>
      <c r="H1425">
        <v>-82320162</v>
      </c>
      <c r="I1425">
        <v>122131341</v>
      </c>
      <c r="J1425">
        <v>4625583</v>
      </c>
      <c r="K1425">
        <v>17484346</v>
      </c>
      <c r="L1425">
        <v>73883461</v>
      </c>
      <c r="P1425">
        <v>451</v>
      </c>
      <c r="Q1425" t="s">
        <v>2893</v>
      </c>
    </row>
    <row r="1426" spans="1:17" x14ac:dyDescent="0.3">
      <c r="A1426" t="s">
        <v>17</v>
      </c>
      <c r="B1426" t="str">
        <f>"603667"</f>
        <v>603667</v>
      </c>
      <c r="C1426" t="s">
        <v>2894</v>
      </c>
      <c r="D1426" t="s">
        <v>78</v>
      </c>
      <c r="F1426">
        <v>-192204890</v>
      </c>
      <c r="G1426">
        <v>28048621</v>
      </c>
      <c r="H1426">
        <v>79889517</v>
      </c>
      <c r="I1426">
        <v>-66939367</v>
      </c>
      <c r="J1426">
        <v>-83283218</v>
      </c>
      <c r="K1426">
        <v>44150579</v>
      </c>
      <c r="L1426">
        <v>4281541</v>
      </c>
      <c r="M1426">
        <v>23536013</v>
      </c>
      <c r="N1426">
        <v>20792595</v>
      </c>
      <c r="P1426">
        <v>116</v>
      </c>
      <c r="Q1426" t="s">
        <v>2895</v>
      </c>
    </row>
    <row r="1427" spans="1:17" x14ac:dyDescent="0.3">
      <c r="A1427" t="s">
        <v>17</v>
      </c>
      <c r="B1427" t="str">
        <f>"603668"</f>
        <v>603668</v>
      </c>
      <c r="C1427" t="s">
        <v>2896</v>
      </c>
      <c r="D1427" t="s">
        <v>205</v>
      </c>
      <c r="F1427">
        <v>-442191757</v>
      </c>
      <c r="G1427">
        <v>95536077</v>
      </c>
      <c r="H1427">
        <v>565044480</v>
      </c>
      <c r="I1427">
        <v>152744266</v>
      </c>
      <c r="J1427">
        <v>-27021234</v>
      </c>
      <c r="K1427">
        <v>-9092489</v>
      </c>
      <c r="L1427">
        <v>14139207</v>
      </c>
      <c r="M1427">
        <v>49053782</v>
      </c>
      <c r="N1427">
        <v>-21979380</v>
      </c>
      <c r="P1427">
        <v>126</v>
      </c>
      <c r="Q1427" t="s">
        <v>2897</v>
      </c>
    </row>
    <row r="1428" spans="1:17" x14ac:dyDescent="0.3">
      <c r="A1428" t="s">
        <v>17</v>
      </c>
      <c r="B1428" t="str">
        <f>"603669"</f>
        <v>603669</v>
      </c>
      <c r="C1428" t="s">
        <v>2898</v>
      </c>
      <c r="D1428" t="s">
        <v>113</v>
      </c>
      <c r="F1428">
        <v>73692198</v>
      </c>
      <c r="G1428">
        <v>64936254</v>
      </c>
      <c r="H1428">
        <v>224937680</v>
      </c>
      <c r="I1428">
        <v>12177965</v>
      </c>
      <c r="J1428">
        <v>102475543</v>
      </c>
      <c r="K1428">
        <v>93411209</v>
      </c>
      <c r="L1428">
        <v>28773984</v>
      </c>
      <c r="M1428">
        <v>64839378</v>
      </c>
      <c r="N1428">
        <v>56806840</v>
      </c>
      <c r="O1428">
        <v>32973805</v>
      </c>
      <c r="P1428">
        <v>194</v>
      </c>
      <c r="Q1428" t="s">
        <v>2899</v>
      </c>
    </row>
    <row r="1429" spans="1:17" x14ac:dyDescent="0.3">
      <c r="A1429" t="s">
        <v>17</v>
      </c>
      <c r="B1429" t="str">
        <f>"603676"</f>
        <v>603676</v>
      </c>
      <c r="C1429" t="s">
        <v>2900</v>
      </c>
      <c r="D1429" t="s">
        <v>113</v>
      </c>
      <c r="F1429">
        <v>115414353</v>
      </c>
      <c r="G1429">
        <v>79383507</v>
      </c>
      <c r="H1429">
        <v>62727696</v>
      </c>
      <c r="I1429">
        <v>-11136583</v>
      </c>
      <c r="J1429">
        <v>-14460708</v>
      </c>
      <c r="K1429">
        <v>77385725</v>
      </c>
      <c r="L1429">
        <v>71176395</v>
      </c>
      <c r="M1429">
        <v>47551926</v>
      </c>
      <c r="P1429">
        <v>107</v>
      </c>
      <c r="Q1429" t="s">
        <v>2901</v>
      </c>
    </row>
    <row r="1430" spans="1:17" x14ac:dyDescent="0.3">
      <c r="A1430" t="s">
        <v>17</v>
      </c>
      <c r="B1430" t="str">
        <f>"603677"</f>
        <v>603677</v>
      </c>
      <c r="C1430" t="s">
        <v>2902</v>
      </c>
      <c r="D1430" t="s">
        <v>126</v>
      </c>
      <c r="F1430">
        <v>-46191562</v>
      </c>
      <c r="G1430">
        <v>227804540</v>
      </c>
      <c r="H1430">
        <v>-45707628</v>
      </c>
      <c r="I1430">
        <v>-71404215</v>
      </c>
      <c r="J1430">
        <v>-233258119</v>
      </c>
      <c r="K1430">
        <v>66209996</v>
      </c>
      <c r="L1430">
        <v>112973805</v>
      </c>
      <c r="M1430">
        <v>84254109</v>
      </c>
      <c r="N1430">
        <v>1911930</v>
      </c>
      <c r="P1430">
        <v>124</v>
      </c>
      <c r="Q1430" t="s">
        <v>2903</v>
      </c>
    </row>
    <row r="1431" spans="1:17" x14ac:dyDescent="0.3">
      <c r="A1431" t="s">
        <v>17</v>
      </c>
      <c r="B1431" t="str">
        <f>"603678"</f>
        <v>603678</v>
      </c>
      <c r="C1431" t="s">
        <v>2904</v>
      </c>
      <c r="D1431" t="s">
        <v>92</v>
      </c>
      <c r="F1431">
        <v>-24070352</v>
      </c>
      <c r="G1431">
        <v>-244078099</v>
      </c>
      <c r="H1431">
        <v>-116629072</v>
      </c>
      <c r="I1431">
        <v>-202318457</v>
      </c>
      <c r="J1431">
        <v>-161028099</v>
      </c>
      <c r="K1431">
        <v>-178396876</v>
      </c>
      <c r="L1431">
        <v>-154044364</v>
      </c>
      <c r="M1431">
        <v>1648211</v>
      </c>
      <c r="N1431">
        <v>1624801</v>
      </c>
      <c r="O1431">
        <v>28130206</v>
      </c>
      <c r="P1431">
        <v>640</v>
      </c>
      <c r="Q1431" t="s">
        <v>2905</v>
      </c>
    </row>
    <row r="1432" spans="1:17" x14ac:dyDescent="0.3">
      <c r="A1432" t="s">
        <v>17</v>
      </c>
      <c r="B1432" t="str">
        <f>"603679"</f>
        <v>603679</v>
      </c>
      <c r="C1432" t="s">
        <v>2906</v>
      </c>
      <c r="D1432" t="s">
        <v>150</v>
      </c>
      <c r="F1432">
        <v>82510670</v>
      </c>
      <c r="G1432">
        <v>-115106434</v>
      </c>
      <c r="H1432">
        <v>-96806655</v>
      </c>
      <c r="I1432">
        <v>-66625629</v>
      </c>
      <c r="J1432">
        <v>24117100</v>
      </c>
      <c r="K1432">
        <v>29248643</v>
      </c>
      <c r="L1432">
        <v>25885622</v>
      </c>
      <c r="M1432">
        <v>2563665</v>
      </c>
      <c r="P1432">
        <v>164</v>
      </c>
      <c r="Q1432" t="s">
        <v>2907</v>
      </c>
    </row>
    <row r="1433" spans="1:17" x14ac:dyDescent="0.3">
      <c r="A1433" t="s">
        <v>17</v>
      </c>
      <c r="B1433" t="str">
        <f>"603680"</f>
        <v>603680</v>
      </c>
      <c r="C1433" t="s">
        <v>2908</v>
      </c>
      <c r="D1433" t="s">
        <v>78</v>
      </c>
      <c r="F1433">
        <v>306885689</v>
      </c>
      <c r="G1433">
        <v>498787057</v>
      </c>
      <c r="H1433">
        <v>-697406882</v>
      </c>
      <c r="I1433">
        <v>109007423</v>
      </c>
      <c r="J1433">
        <v>-239301134</v>
      </c>
      <c r="K1433">
        <v>-197218320</v>
      </c>
      <c r="L1433">
        <v>249595930</v>
      </c>
      <c r="M1433">
        <v>369483780</v>
      </c>
      <c r="P1433">
        <v>81</v>
      </c>
      <c r="Q1433" t="s">
        <v>2909</v>
      </c>
    </row>
    <row r="1434" spans="1:17" x14ac:dyDescent="0.3">
      <c r="A1434" t="s">
        <v>17</v>
      </c>
      <c r="B1434" t="str">
        <f>"603681"</f>
        <v>603681</v>
      </c>
      <c r="C1434" t="s">
        <v>2910</v>
      </c>
      <c r="D1434" t="s">
        <v>133</v>
      </c>
      <c r="F1434">
        <v>-870625670</v>
      </c>
      <c r="G1434">
        <v>-552990306</v>
      </c>
      <c r="H1434">
        <v>23518070</v>
      </c>
      <c r="I1434">
        <v>87150667</v>
      </c>
      <c r="J1434">
        <v>4632077</v>
      </c>
      <c r="K1434">
        <v>-68604400</v>
      </c>
      <c r="L1434">
        <v>-41064434</v>
      </c>
      <c r="P1434">
        <v>114</v>
      </c>
      <c r="Q1434" t="s">
        <v>2911</v>
      </c>
    </row>
    <row r="1435" spans="1:17" x14ac:dyDescent="0.3">
      <c r="A1435" t="s">
        <v>17</v>
      </c>
      <c r="B1435" t="str">
        <f>"603682"</f>
        <v>603682</v>
      </c>
      <c r="C1435" t="s">
        <v>2912</v>
      </c>
      <c r="D1435" t="s">
        <v>120</v>
      </c>
      <c r="F1435">
        <v>379488141</v>
      </c>
      <c r="G1435">
        <v>-17140318</v>
      </c>
      <c r="H1435">
        <v>162093453</v>
      </c>
      <c r="I1435">
        <v>199972623</v>
      </c>
      <c r="J1435">
        <v>122539412</v>
      </c>
      <c r="K1435">
        <v>-55098915</v>
      </c>
      <c r="P1435">
        <v>156</v>
      </c>
      <c r="Q1435" t="s">
        <v>2913</v>
      </c>
    </row>
    <row r="1436" spans="1:17" x14ac:dyDescent="0.3">
      <c r="A1436" t="s">
        <v>17</v>
      </c>
      <c r="B1436" t="str">
        <f>"603683"</f>
        <v>603683</v>
      </c>
      <c r="C1436" t="s">
        <v>2914</v>
      </c>
      <c r="D1436" t="s">
        <v>133</v>
      </c>
      <c r="F1436">
        <v>57553134</v>
      </c>
      <c r="G1436">
        <v>51007289</v>
      </c>
      <c r="H1436">
        <v>-116946701</v>
      </c>
      <c r="I1436">
        <v>-168858251</v>
      </c>
      <c r="J1436">
        <v>-139874802</v>
      </c>
      <c r="K1436">
        <v>-32730121</v>
      </c>
      <c r="L1436">
        <v>-5318123</v>
      </c>
      <c r="M1436">
        <v>45127386</v>
      </c>
      <c r="P1436">
        <v>58</v>
      </c>
      <c r="Q1436" t="s">
        <v>2915</v>
      </c>
    </row>
    <row r="1437" spans="1:17" x14ac:dyDescent="0.3">
      <c r="A1437" t="s">
        <v>17</v>
      </c>
      <c r="B1437" t="str">
        <f>"603685"</f>
        <v>603685</v>
      </c>
      <c r="C1437" t="s">
        <v>2916</v>
      </c>
      <c r="D1437" t="s">
        <v>150</v>
      </c>
      <c r="F1437">
        <v>-247668553</v>
      </c>
      <c r="G1437">
        <v>-196005253</v>
      </c>
      <c r="H1437">
        <v>-101674640</v>
      </c>
      <c r="I1437">
        <v>9399625</v>
      </c>
      <c r="J1437">
        <v>-29797834</v>
      </c>
      <c r="K1437">
        <v>-4337818</v>
      </c>
      <c r="L1437">
        <v>28169029</v>
      </c>
      <c r="M1437">
        <v>-3164880</v>
      </c>
      <c r="P1437">
        <v>102</v>
      </c>
      <c r="Q1437" t="s">
        <v>2917</v>
      </c>
    </row>
    <row r="1438" spans="1:17" x14ac:dyDescent="0.3">
      <c r="A1438" t="s">
        <v>17</v>
      </c>
      <c r="B1438" t="str">
        <f>"603686"</f>
        <v>603686</v>
      </c>
      <c r="C1438" t="s">
        <v>2918</v>
      </c>
      <c r="D1438" t="s">
        <v>33</v>
      </c>
      <c r="F1438">
        <v>-258470554</v>
      </c>
      <c r="G1438">
        <v>402556298</v>
      </c>
      <c r="H1438">
        <v>-85480234</v>
      </c>
      <c r="I1438">
        <v>-579491759</v>
      </c>
      <c r="J1438">
        <v>36887477</v>
      </c>
      <c r="K1438">
        <v>127088590</v>
      </c>
      <c r="L1438">
        <v>218792863</v>
      </c>
      <c r="M1438">
        <v>33750726</v>
      </c>
      <c r="N1438">
        <v>73960805</v>
      </c>
      <c r="O1438">
        <v>54915907</v>
      </c>
      <c r="P1438">
        <v>762</v>
      </c>
      <c r="Q1438" t="s">
        <v>2919</v>
      </c>
    </row>
    <row r="1439" spans="1:17" x14ac:dyDescent="0.3">
      <c r="A1439" t="s">
        <v>17</v>
      </c>
      <c r="B1439" t="str">
        <f>"603687"</f>
        <v>603687</v>
      </c>
      <c r="C1439" t="s">
        <v>2920</v>
      </c>
      <c r="D1439" t="s">
        <v>161</v>
      </c>
      <c r="F1439">
        <v>-72809077</v>
      </c>
      <c r="G1439">
        <v>327749505</v>
      </c>
      <c r="H1439">
        <v>12584155</v>
      </c>
      <c r="I1439">
        <v>-159946326</v>
      </c>
      <c r="J1439">
        <v>-68932599</v>
      </c>
      <c r="K1439">
        <v>90155668</v>
      </c>
      <c r="P1439">
        <v>92</v>
      </c>
      <c r="Q1439" t="s">
        <v>2921</v>
      </c>
    </row>
    <row r="1440" spans="1:17" x14ac:dyDescent="0.3">
      <c r="A1440" t="s">
        <v>17</v>
      </c>
      <c r="B1440" t="str">
        <f>"603688"</f>
        <v>603688</v>
      </c>
      <c r="C1440" t="s">
        <v>2922</v>
      </c>
      <c r="D1440" t="s">
        <v>133</v>
      </c>
      <c r="F1440">
        <v>41392724</v>
      </c>
      <c r="G1440">
        <v>-14717528</v>
      </c>
      <c r="H1440">
        <v>-4805952</v>
      </c>
      <c r="I1440">
        <v>34744444</v>
      </c>
      <c r="J1440">
        <v>13490222</v>
      </c>
      <c r="K1440">
        <v>50445121</v>
      </c>
      <c r="L1440">
        <v>-38527698</v>
      </c>
      <c r="M1440">
        <v>3701999</v>
      </c>
      <c r="N1440">
        <v>30095243</v>
      </c>
      <c r="O1440">
        <v>6149436</v>
      </c>
      <c r="P1440">
        <v>219</v>
      </c>
      <c r="Q1440" t="s">
        <v>2923</v>
      </c>
    </row>
    <row r="1441" spans="1:17" x14ac:dyDescent="0.3">
      <c r="A1441" t="s">
        <v>17</v>
      </c>
      <c r="B1441" t="str">
        <f>"603689"</f>
        <v>603689</v>
      </c>
      <c r="C1441" t="s">
        <v>2924</v>
      </c>
      <c r="D1441" t="s">
        <v>41</v>
      </c>
      <c r="F1441">
        <v>116644471</v>
      </c>
      <c r="G1441">
        <v>195830251</v>
      </c>
      <c r="H1441">
        <v>54470869</v>
      </c>
      <c r="I1441">
        <v>31265965</v>
      </c>
      <c r="J1441">
        <v>-53270327</v>
      </c>
      <c r="K1441">
        <v>-136374286</v>
      </c>
      <c r="L1441">
        <v>-151051960</v>
      </c>
      <c r="M1441">
        <v>-193986253</v>
      </c>
      <c r="N1441">
        <v>-127973873</v>
      </c>
      <c r="P1441">
        <v>117</v>
      </c>
      <c r="Q1441" t="s">
        <v>2925</v>
      </c>
    </row>
    <row r="1442" spans="1:17" x14ac:dyDescent="0.3">
      <c r="A1442" t="s">
        <v>17</v>
      </c>
      <c r="B1442" t="str">
        <f>"603690"</f>
        <v>603690</v>
      </c>
      <c r="C1442" t="s">
        <v>2926</v>
      </c>
      <c r="D1442" t="s">
        <v>150</v>
      </c>
      <c r="F1442">
        <v>-1111674157</v>
      </c>
      <c r="G1442">
        <v>-864392294</v>
      </c>
      <c r="H1442">
        <v>-350890828</v>
      </c>
      <c r="I1442">
        <v>-135055705</v>
      </c>
      <c r="J1442">
        <v>-98923356</v>
      </c>
      <c r="K1442">
        <v>5016162</v>
      </c>
      <c r="L1442">
        <v>-46660820</v>
      </c>
      <c r="M1442">
        <v>1005456</v>
      </c>
      <c r="N1442">
        <v>-31675655</v>
      </c>
      <c r="P1442">
        <v>450</v>
      </c>
      <c r="Q1442" t="s">
        <v>2927</v>
      </c>
    </row>
    <row r="1443" spans="1:17" x14ac:dyDescent="0.3">
      <c r="A1443" t="s">
        <v>17</v>
      </c>
      <c r="B1443" t="str">
        <f>"603693"</f>
        <v>603693</v>
      </c>
      <c r="C1443" t="s">
        <v>2928</v>
      </c>
      <c r="D1443" t="s">
        <v>41</v>
      </c>
      <c r="F1443">
        <v>-880381079</v>
      </c>
      <c r="G1443">
        <v>-797674698</v>
      </c>
      <c r="H1443">
        <v>-190990451</v>
      </c>
      <c r="I1443">
        <v>175586071</v>
      </c>
      <c r="J1443">
        <v>99208114</v>
      </c>
      <c r="K1443">
        <v>-730595602</v>
      </c>
      <c r="L1443">
        <v>-929554364</v>
      </c>
      <c r="P1443">
        <v>160</v>
      </c>
      <c r="Q1443" t="s">
        <v>2929</v>
      </c>
    </row>
    <row r="1444" spans="1:17" x14ac:dyDescent="0.3">
      <c r="A1444" t="s">
        <v>17</v>
      </c>
      <c r="B1444" t="str">
        <f>"603696"</f>
        <v>603696</v>
      </c>
      <c r="C1444" t="s">
        <v>2930</v>
      </c>
      <c r="D1444" t="s">
        <v>123</v>
      </c>
      <c r="F1444">
        <v>87890831</v>
      </c>
      <c r="G1444">
        <v>14419897</v>
      </c>
      <c r="H1444">
        <v>28987629</v>
      </c>
      <c r="I1444">
        <v>1190249</v>
      </c>
      <c r="J1444">
        <v>-110878026</v>
      </c>
      <c r="K1444">
        <v>38208181</v>
      </c>
      <c r="L1444">
        <v>18598473</v>
      </c>
      <c r="M1444">
        <v>40071099</v>
      </c>
      <c r="N1444">
        <v>40611959</v>
      </c>
      <c r="O1444">
        <v>38512264</v>
      </c>
      <c r="P1444">
        <v>195</v>
      </c>
      <c r="Q1444" t="s">
        <v>2931</v>
      </c>
    </row>
    <row r="1445" spans="1:17" x14ac:dyDescent="0.3">
      <c r="A1445" t="s">
        <v>17</v>
      </c>
      <c r="B1445" t="str">
        <f>"603697"</f>
        <v>603697</v>
      </c>
      <c r="C1445" t="s">
        <v>2932</v>
      </c>
      <c r="D1445" t="s">
        <v>123</v>
      </c>
      <c r="F1445">
        <v>152547318</v>
      </c>
      <c r="G1445">
        <v>41351858</v>
      </c>
      <c r="H1445">
        <v>145469083</v>
      </c>
      <c r="I1445">
        <v>37970132</v>
      </c>
      <c r="J1445">
        <v>163671631</v>
      </c>
      <c r="K1445">
        <v>70961525</v>
      </c>
      <c r="P1445">
        <v>394</v>
      </c>
      <c r="Q1445" t="s">
        <v>2933</v>
      </c>
    </row>
    <row r="1446" spans="1:17" x14ac:dyDescent="0.3">
      <c r="A1446" t="s">
        <v>17</v>
      </c>
      <c r="B1446" t="str">
        <f>"603698"</f>
        <v>603698</v>
      </c>
      <c r="C1446" t="s">
        <v>2934</v>
      </c>
      <c r="D1446" t="s">
        <v>78</v>
      </c>
      <c r="F1446">
        <v>266170566</v>
      </c>
      <c r="G1446">
        <v>250088179</v>
      </c>
      <c r="H1446">
        <v>-74294686</v>
      </c>
      <c r="I1446">
        <v>12539418</v>
      </c>
      <c r="J1446">
        <v>718557278</v>
      </c>
      <c r="K1446">
        <v>-261274235</v>
      </c>
      <c r="L1446">
        <v>-452106427</v>
      </c>
      <c r="M1446">
        <v>338221371</v>
      </c>
      <c r="N1446">
        <v>135654410</v>
      </c>
      <c r="O1446">
        <v>220841812</v>
      </c>
      <c r="P1446">
        <v>108</v>
      </c>
      <c r="Q1446" t="s">
        <v>2935</v>
      </c>
    </row>
    <row r="1447" spans="1:17" x14ac:dyDescent="0.3">
      <c r="A1447" t="s">
        <v>17</v>
      </c>
      <c r="B1447" t="str">
        <f>"603699"</f>
        <v>603699</v>
      </c>
      <c r="C1447" t="s">
        <v>2936</v>
      </c>
      <c r="D1447" t="s">
        <v>78</v>
      </c>
      <c r="F1447">
        <v>319682783</v>
      </c>
      <c r="G1447">
        <v>320041412</v>
      </c>
      <c r="H1447">
        <v>-239281217</v>
      </c>
      <c r="I1447">
        <v>197866274</v>
      </c>
      <c r="J1447">
        <v>242662434</v>
      </c>
      <c r="K1447">
        <v>162143851</v>
      </c>
      <c r="L1447">
        <v>73521461</v>
      </c>
      <c r="M1447">
        <v>269108802</v>
      </c>
      <c r="N1447">
        <v>308451119</v>
      </c>
      <c r="O1447">
        <v>382684683</v>
      </c>
      <c r="P1447">
        <v>272</v>
      </c>
      <c r="Q1447" t="s">
        <v>2937</v>
      </c>
    </row>
    <row r="1448" spans="1:17" x14ac:dyDescent="0.3">
      <c r="A1448" t="s">
        <v>17</v>
      </c>
      <c r="B1448" t="str">
        <f>"603700"</f>
        <v>603700</v>
      </c>
      <c r="C1448" t="s">
        <v>2938</v>
      </c>
      <c r="D1448" t="s">
        <v>78</v>
      </c>
      <c r="F1448">
        <v>20787202</v>
      </c>
      <c r="G1448">
        <v>53979354</v>
      </c>
      <c r="H1448">
        <v>94891894</v>
      </c>
      <c r="I1448">
        <v>82710119</v>
      </c>
      <c r="J1448">
        <v>124588578</v>
      </c>
      <c r="K1448">
        <v>143333918</v>
      </c>
      <c r="L1448">
        <v>59403663</v>
      </c>
      <c r="P1448">
        <v>395</v>
      </c>
      <c r="Q1448" t="s">
        <v>2939</v>
      </c>
    </row>
    <row r="1449" spans="1:17" x14ac:dyDescent="0.3">
      <c r="A1449" t="s">
        <v>17</v>
      </c>
      <c r="B1449" t="str">
        <f>"603701"</f>
        <v>603701</v>
      </c>
      <c r="C1449" t="s">
        <v>2940</v>
      </c>
      <c r="D1449" t="s">
        <v>27</v>
      </c>
      <c r="F1449">
        <v>39085633</v>
      </c>
      <c r="G1449">
        <v>-14669108</v>
      </c>
      <c r="H1449">
        <v>25305295</v>
      </c>
      <c r="I1449">
        <v>78992630</v>
      </c>
      <c r="J1449">
        <v>29897652</v>
      </c>
      <c r="K1449">
        <v>17428118</v>
      </c>
      <c r="L1449">
        <v>42790860</v>
      </c>
      <c r="M1449">
        <v>33442031</v>
      </c>
      <c r="N1449">
        <v>43103768</v>
      </c>
      <c r="O1449">
        <v>28839769</v>
      </c>
      <c r="P1449">
        <v>93</v>
      </c>
      <c r="Q1449" t="s">
        <v>2941</v>
      </c>
    </row>
    <row r="1450" spans="1:17" x14ac:dyDescent="0.3">
      <c r="A1450" t="s">
        <v>17</v>
      </c>
      <c r="B1450" t="str">
        <f>"603703"</f>
        <v>603703</v>
      </c>
      <c r="C1450" t="s">
        <v>2942</v>
      </c>
      <c r="D1450" t="s">
        <v>150</v>
      </c>
      <c r="F1450">
        <v>-11897338</v>
      </c>
      <c r="G1450">
        <v>5523173</v>
      </c>
      <c r="H1450">
        <v>19309666</v>
      </c>
      <c r="I1450">
        <v>33403923</v>
      </c>
      <c r="J1450">
        <v>99579973</v>
      </c>
      <c r="K1450">
        <v>12732690</v>
      </c>
      <c r="L1450">
        <v>-65943601</v>
      </c>
      <c r="M1450">
        <v>21998140</v>
      </c>
      <c r="N1450">
        <v>4672527</v>
      </c>
      <c r="O1450">
        <v>-18714825</v>
      </c>
      <c r="P1450">
        <v>78</v>
      </c>
      <c r="Q1450" t="s">
        <v>2943</v>
      </c>
    </row>
    <row r="1451" spans="1:17" x14ac:dyDescent="0.3">
      <c r="A1451" t="s">
        <v>17</v>
      </c>
      <c r="B1451" t="str">
        <f>"603706"</f>
        <v>603706</v>
      </c>
      <c r="C1451" t="s">
        <v>2944</v>
      </c>
      <c r="D1451" t="s">
        <v>41</v>
      </c>
      <c r="F1451">
        <v>232991013</v>
      </c>
      <c r="G1451">
        <v>273200650</v>
      </c>
      <c r="H1451">
        <v>79134425</v>
      </c>
      <c r="I1451">
        <v>66692672</v>
      </c>
      <c r="J1451">
        <v>51886753</v>
      </c>
      <c r="K1451">
        <v>3995660</v>
      </c>
      <c r="L1451">
        <v>75406402</v>
      </c>
      <c r="P1451">
        <v>91</v>
      </c>
      <c r="Q1451" t="s">
        <v>2945</v>
      </c>
    </row>
    <row r="1452" spans="1:17" x14ac:dyDescent="0.3">
      <c r="A1452" t="s">
        <v>17</v>
      </c>
      <c r="B1452" t="str">
        <f>"603707"</f>
        <v>603707</v>
      </c>
      <c r="C1452" t="s">
        <v>2946</v>
      </c>
      <c r="D1452" t="s">
        <v>113</v>
      </c>
      <c r="F1452">
        <v>243413092</v>
      </c>
      <c r="G1452">
        <v>-860094195</v>
      </c>
      <c r="H1452">
        <v>-956474082</v>
      </c>
      <c r="I1452">
        <v>-20335336</v>
      </c>
      <c r="J1452">
        <v>-315710674</v>
      </c>
      <c r="K1452">
        <v>-359134421</v>
      </c>
      <c r="L1452">
        <v>112577144</v>
      </c>
      <c r="M1452">
        <v>149483555</v>
      </c>
      <c r="P1452">
        <v>775</v>
      </c>
      <c r="Q1452" t="s">
        <v>2947</v>
      </c>
    </row>
    <row r="1453" spans="1:17" x14ac:dyDescent="0.3">
      <c r="A1453" t="s">
        <v>17</v>
      </c>
      <c r="B1453" t="str">
        <f>"603708"</f>
        <v>603708</v>
      </c>
      <c r="C1453" t="s">
        <v>2948</v>
      </c>
      <c r="D1453" t="s">
        <v>120</v>
      </c>
      <c r="F1453">
        <v>573523530</v>
      </c>
      <c r="G1453">
        <v>-97473306</v>
      </c>
      <c r="H1453">
        <v>-90407556</v>
      </c>
      <c r="I1453">
        <v>-149220708</v>
      </c>
      <c r="J1453">
        <v>380402418</v>
      </c>
      <c r="K1453">
        <v>471467542</v>
      </c>
      <c r="L1453">
        <v>193402742</v>
      </c>
      <c r="M1453">
        <v>120601272</v>
      </c>
      <c r="N1453">
        <v>-2962701</v>
      </c>
      <c r="P1453">
        <v>702</v>
      </c>
      <c r="Q1453" t="s">
        <v>2949</v>
      </c>
    </row>
    <row r="1454" spans="1:17" x14ac:dyDescent="0.3">
      <c r="A1454" t="s">
        <v>17</v>
      </c>
      <c r="B1454" t="str">
        <f>"603709"</f>
        <v>603709</v>
      </c>
      <c r="C1454" t="s">
        <v>2950</v>
      </c>
      <c r="D1454" t="s">
        <v>161</v>
      </c>
      <c r="F1454">
        <v>-189772682</v>
      </c>
      <c r="G1454">
        <v>-71705138</v>
      </c>
      <c r="H1454">
        <v>-45834817</v>
      </c>
      <c r="I1454">
        <v>-47680608</v>
      </c>
      <c r="J1454">
        <v>14718456</v>
      </c>
      <c r="K1454">
        <v>76557200</v>
      </c>
      <c r="L1454">
        <v>71648190</v>
      </c>
      <c r="M1454">
        <v>38844755</v>
      </c>
      <c r="P1454">
        <v>99</v>
      </c>
      <c r="Q1454" t="s">
        <v>2951</v>
      </c>
    </row>
    <row r="1455" spans="1:17" x14ac:dyDescent="0.3">
      <c r="A1455" t="s">
        <v>17</v>
      </c>
      <c r="B1455" t="str">
        <f>"603711"</f>
        <v>603711</v>
      </c>
      <c r="C1455" t="s">
        <v>2952</v>
      </c>
      <c r="D1455" t="s">
        <v>123</v>
      </c>
      <c r="F1455">
        <v>-146682258</v>
      </c>
      <c r="G1455">
        <v>-56570188</v>
      </c>
      <c r="H1455">
        <v>188543898</v>
      </c>
      <c r="I1455">
        <v>129021750</v>
      </c>
      <c r="J1455">
        <v>-239374736</v>
      </c>
      <c r="K1455">
        <v>101142900</v>
      </c>
      <c r="L1455">
        <v>31116296</v>
      </c>
      <c r="M1455">
        <v>143892172</v>
      </c>
      <c r="P1455">
        <v>392</v>
      </c>
      <c r="Q1455" t="s">
        <v>2953</v>
      </c>
    </row>
    <row r="1456" spans="1:17" x14ac:dyDescent="0.3">
      <c r="A1456" t="s">
        <v>17</v>
      </c>
      <c r="B1456" t="str">
        <f>"603712"</f>
        <v>603712</v>
      </c>
      <c r="C1456" t="s">
        <v>2954</v>
      </c>
      <c r="D1456" t="s">
        <v>92</v>
      </c>
      <c r="F1456">
        <v>172682534</v>
      </c>
      <c r="G1456">
        <v>743825459</v>
      </c>
      <c r="H1456">
        <v>151345340</v>
      </c>
      <c r="I1456">
        <v>100374347</v>
      </c>
      <c r="J1456">
        <v>59735100</v>
      </c>
      <c r="K1456">
        <v>-15808442</v>
      </c>
      <c r="L1456">
        <v>68752196</v>
      </c>
      <c r="M1456">
        <v>3255018</v>
      </c>
      <c r="P1456">
        <v>326</v>
      </c>
      <c r="Q1456" t="s">
        <v>2955</v>
      </c>
    </row>
    <row r="1457" spans="1:17" x14ac:dyDescent="0.3">
      <c r="A1457" t="s">
        <v>17</v>
      </c>
      <c r="B1457" t="str">
        <f>"603713"</f>
        <v>603713</v>
      </c>
      <c r="C1457" t="s">
        <v>2956</v>
      </c>
      <c r="D1457" t="s">
        <v>22</v>
      </c>
      <c r="F1457">
        <v>-148519848</v>
      </c>
      <c r="G1457">
        <v>236237849</v>
      </c>
      <c r="H1457">
        <v>24227582</v>
      </c>
      <c r="I1457">
        <v>-24513281</v>
      </c>
      <c r="J1457">
        <v>33689229</v>
      </c>
      <c r="K1457">
        <v>-40904966</v>
      </c>
      <c r="L1457">
        <v>553446</v>
      </c>
      <c r="P1457">
        <v>457</v>
      </c>
      <c r="Q1457" t="s">
        <v>2957</v>
      </c>
    </row>
    <row r="1458" spans="1:17" x14ac:dyDescent="0.3">
      <c r="A1458" t="s">
        <v>17</v>
      </c>
      <c r="B1458" t="str">
        <f>"603716"</f>
        <v>603716</v>
      </c>
      <c r="C1458" t="s">
        <v>2958</v>
      </c>
      <c r="D1458" t="s">
        <v>113</v>
      </c>
      <c r="F1458">
        <v>-179270456</v>
      </c>
      <c r="G1458">
        <v>-117592015</v>
      </c>
      <c r="H1458">
        <v>-1322818</v>
      </c>
      <c r="I1458">
        <v>-178436520</v>
      </c>
      <c r="J1458">
        <v>-178670066</v>
      </c>
      <c r="K1458">
        <v>-86053615</v>
      </c>
      <c r="L1458">
        <v>5638103</v>
      </c>
      <c r="M1458">
        <v>-1624787</v>
      </c>
      <c r="N1458">
        <v>-1812781</v>
      </c>
      <c r="P1458">
        <v>137</v>
      </c>
      <c r="Q1458" t="s">
        <v>2959</v>
      </c>
    </row>
    <row r="1459" spans="1:17" x14ac:dyDescent="0.3">
      <c r="A1459" t="s">
        <v>17</v>
      </c>
      <c r="B1459" t="str">
        <f>"603717"</f>
        <v>603717</v>
      </c>
      <c r="C1459" t="s">
        <v>2960</v>
      </c>
      <c r="D1459" t="s">
        <v>95</v>
      </c>
      <c r="F1459">
        <v>-208617620</v>
      </c>
      <c r="G1459">
        <v>-162534147</v>
      </c>
      <c r="H1459">
        <v>-312256058</v>
      </c>
      <c r="I1459">
        <v>-33142009</v>
      </c>
      <c r="J1459">
        <v>-424181091</v>
      </c>
      <c r="K1459">
        <v>123357578</v>
      </c>
      <c r="L1459">
        <v>-219225042</v>
      </c>
      <c r="M1459">
        <v>-59565871</v>
      </c>
      <c r="P1459">
        <v>55</v>
      </c>
      <c r="Q1459" t="s">
        <v>2961</v>
      </c>
    </row>
    <row r="1460" spans="1:17" x14ac:dyDescent="0.3">
      <c r="A1460" t="s">
        <v>17</v>
      </c>
      <c r="B1460" t="str">
        <f>"603718"</f>
        <v>603718</v>
      </c>
      <c r="C1460" t="s">
        <v>2962</v>
      </c>
      <c r="D1460" t="s">
        <v>205</v>
      </c>
      <c r="F1460">
        <v>34061862</v>
      </c>
      <c r="G1460">
        <v>136669425</v>
      </c>
      <c r="H1460">
        <v>20496293</v>
      </c>
      <c r="I1460">
        <v>-93126692</v>
      </c>
      <c r="J1460">
        <v>-51093812</v>
      </c>
      <c r="K1460">
        <v>-27762014</v>
      </c>
      <c r="L1460">
        <v>62505734</v>
      </c>
      <c r="M1460">
        <v>23149315</v>
      </c>
      <c r="N1460">
        <v>122787780</v>
      </c>
      <c r="O1460">
        <v>87969004</v>
      </c>
      <c r="P1460">
        <v>166</v>
      </c>
      <c r="Q1460" t="s">
        <v>2963</v>
      </c>
    </row>
    <row r="1461" spans="1:17" x14ac:dyDescent="0.3">
      <c r="A1461" t="s">
        <v>17</v>
      </c>
      <c r="B1461" t="str">
        <f>"603719"</f>
        <v>603719</v>
      </c>
      <c r="C1461" t="s">
        <v>2964</v>
      </c>
      <c r="D1461" t="s">
        <v>123</v>
      </c>
      <c r="F1461">
        <v>143022362</v>
      </c>
      <c r="G1461">
        <v>180213584</v>
      </c>
      <c r="H1461">
        <v>216423775</v>
      </c>
      <c r="I1461">
        <v>-114292540</v>
      </c>
      <c r="J1461">
        <v>359402751</v>
      </c>
      <c r="K1461">
        <v>531600706</v>
      </c>
      <c r="P1461">
        <v>716</v>
      </c>
      <c r="Q1461" t="s">
        <v>2965</v>
      </c>
    </row>
    <row r="1462" spans="1:17" x14ac:dyDescent="0.3">
      <c r="A1462" t="s">
        <v>17</v>
      </c>
      <c r="B1462" t="str">
        <f>"603721"</f>
        <v>603721</v>
      </c>
      <c r="C1462" t="s">
        <v>2966</v>
      </c>
      <c r="D1462" t="s">
        <v>89</v>
      </c>
      <c r="F1462">
        <v>-11161271</v>
      </c>
      <c r="G1462">
        <v>16134118</v>
      </c>
      <c r="H1462">
        <v>-48759886</v>
      </c>
      <c r="I1462">
        <v>-54685680</v>
      </c>
      <c r="J1462">
        <v>66195626</v>
      </c>
      <c r="K1462">
        <v>-6853997</v>
      </c>
      <c r="L1462">
        <v>-12664475</v>
      </c>
      <c r="M1462">
        <v>-16693610</v>
      </c>
      <c r="P1462">
        <v>89</v>
      </c>
      <c r="Q1462" t="s">
        <v>2967</v>
      </c>
    </row>
    <row r="1463" spans="1:17" x14ac:dyDescent="0.3">
      <c r="A1463" t="s">
        <v>17</v>
      </c>
      <c r="B1463" t="str">
        <f>"603722"</f>
        <v>603722</v>
      </c>
      <c r="C1463" t="s">
        <v>2968</v>
      </c>
      <c r="D1463" t="s">
        <v>133</v>
      </c>
      <c r="F1463">
        <v>131292506</v>
      </c>
      <c r="G1463">
        <v>42203628</v>
      </c>
      <c r="H1463">
        <v>2070788</v>
      </c>
      <c r="I1463">
        <v>-17107767</v>
      </c>
      <c r="J1463">
        <v>-9610363</v>
      </c>
      <c r="K1463">
        <v>3000783</v>
      </c>
      <c r="L1463">
        <v>31843380</v>
      </c>
      <c r="M1463">
        <v>2514336</v>
      </c>
      <c r="P1463">
        <v>84</v>
      </c>
      <c r="Q1463" t="s">
        <v>2969</v>
      </c>
    </row>
    <row r="1464" spans="1:17" x14ac:dyDescent="0.3">
      <c r="A1464" t="s">
        <v>17</v>
      </c>
      <c r="B1464" t="str">
        <f>"603725"</f>
        <v>603725</v>
      </c>
      <c r="C1464" t="s">
        <v>2970</v>
      </c>
      <c r="D1464" t="s">
        <v>133</v>
      </c>
      <c r="F1464">
        <v>230424311</v>
      </c>
      <c r="G1464">
        <v>35558518</v>
      </c>
      <c r="H1464">
        <v>17958822</v>
      </c>
      <c r="I1464">
        <v>-44107755</v>
      </c>
      <c r="J1464">
        <v>-134722355</v>
      </c>
      <c r="K1464">
        <v>4948947</v>
      </c>
      <c r="L1464">
        <v>-49828569</v>
      </c>
      <c r="M1464">
        <v>-50265110</v>
      </c>
      <c r="P1464">
        <v>74</v>
      </c>
      <c r="Q1464" t="s">
        <v>2971</v>
      </c>
    </row>
    <row r="1465" spans="1:17" x14ac:dyDescent="0.3">
      <c r="A1465" t="s">
        <v>17</v>
      </c>
      <c r="B1465" t="str">
        <f>"603726"</f>
        <v>603726</v>
      </c>
      <c r="C1465" t="s">
        <v>2972</v>
      </c>
      <c r="D1465" t="s">
        <v>126</v>
      </c>
      <c r="F1465">
        <v>100991114</v>
      </c>
      <c r="G1465">
        <v>65116939</v>
      </c>
      <c r="H1465">
        <v>77710422</v>
      </c>
      <c r="I1465">
        <v>-44103292</v>
      </c>
      <c r="J1465">
        <v>-41767447</v>
      </c>
      <c r="K1465">
        <v>-9503731</v>
      </c>
      <c r="L1465">
        <v>42882505</v>
      </c>
      <c r="M1465">
        <v>11695448</v>
      </c>
      <c r="N1465">
        <v>-21870144</v>
      </c>
      <c r="P1465">
        <v>123</v>
      </c>
      <c r="Q1465" t="s">
        <v>2973</v>
      </c>
    </row>
    <row r="1466" spans="1:17" x14ac:dyDescent="0.3">
      <c r="A1466" t="s">
        <v>17</v>
      </c>
      <c r="B1466" t="str">
        <f>"603727"</f>
        <v>603727</v>
      </c>
      <c r="C1466" t="s">
        <v>2974</v>
      </c>
      <c r="D1466" t="s">
        <v>70</v>
      </c>
      <c r="F1466">
        <v>-515671615</v>
      </c>
      <c r="G1466">
        <v>48003351</v>
      </c>
      <c r="H1466">
        <v>-388906835</v>
      </c>
      <c r="I1466">
        <v>-470489535</v>
      </c>
      <c r="J1466">
        <v>-181910917</v>
      </c>
      <c r="K1466">
        <v>656188444</v>
      </c>
      <c r="L1466">
        <v>100477215</v>
      </c>
      <c r="M1466">
        <v>48767713</v>
      </c>
      <c r="N1466">
        <v>-28770155</v>
      </c>
      <c r="O1466">
        <v>-198208122</v>
      </c>
      <c r="P1466">
        <v>123</v>
      </c>
      <c r="Q1466" t="s">
        <v>2975</v>
      </c>
    </row>
    <row r="1467" spans="1:17" x14ac:dyDescent="0.3">
      <c r="A1467" t="s">
        <v>17</v>
      </c>
      <c r="B1467" t="str">
        <f>"603728"</f>
        <v>603728</v>
      </c>
      <c r="C1467" t="s">
        <v>2976</v>
      </c>
      <c r="D1467" t="s">
        <v>188</v>
      </c>
      <c r="F1467">
        <v>-12951933</v>
      </c>
      <c r="G1467">
        <v>185166324</v>
      </c>
      <c r="H1467">
        <v>64964389</v>
      </c>
      <c r="I1467">
        <v>6845253</v>
      </c>
      <c r="J1467">
        <v>100356170</v>
      </c>
      <c r="K1467">
        <v>86429555</v>
      </c>
      <c r="L1467">
        <v>107547394</v>
      </c>
      <c r="M1467">
        <v>80340331</v>
      </c>
      <c r="P1467">
        <v>311</v>
      </c>
      <c r="Q1467" t="s">
        <v>2977</v>
      </c>
    </row>
    <row r="1468" spans="1:17" x14ac:dyDescent="0.3">
      <c r="A1468" t="s">
        <v>17</v>
      </c>
      <c r="B1468" t="str">
        <f>"603729"</f>
        <v>603729</v>
      </c>
      <c r="C1468" t="s">
        <v>2978</v>
      </c>
      <c r="D1468" t="s">
        <v>89</v>
      </c>
      <c r="F1468">
        <v>19152040</v>
      </c>
      <c r="G1468">
        <v>-34292651</v>
      </c>
      <c r="H1468">
        <v>159709671</v>
      </c>
      <c r="I1468">
        <v>-31091186</v>
      </c>
      <c r="J1468">
        <v>-13622786</v>
      </c>
      <c r="K1468">
        <v>136267506</v>
      </c>
      <c r="L1468">
        <v>-221309247</v>
      </c>
      <c r="M1468">
        <v>-46192732</v>
      </c>
      <c r="N1468">
        <v>34867181</v>
      </c>
      <c r="O1468">
        <v>-3609763</v>
      </c>
      <c r="P1468">
        <v>51</v>
      </c>
      <c r="Q1468" t="s">
        <v>2979</v>
      </c>
    </row>
    <row r="1469" spans="1:17" x14ac:dyDescent="0.3">
      <c r="A1469" t="s">
        <v>17</v>
      </c>
      <c r="B1469" t="str">
        <f>"603730"</f>
        <v>603730</v>
      </c>
      <c r="C1469" t="s">
        <v>2980</v>
      </c>
      <c r="D1469" t="s">
        <v>27</v>
      </c>
      <c r="F1469">
        <v>-79461929</v>
      </c>
      <c r="G1469">
        <v>596407899</v>
      </c>
      <c r="H1469">
        <v>230834070</v>
      </c>
      <c r="I1469">
        <v>548931485</v>
      </c>
      <c r="J1469">
        <v>287401017</v>
      </c>
      <c r="K1469">
        <v>141878925</v>
      </c>
      <c r="L1469">
        <v>176980813</v>
      </c>
      <c r="M1469">
        <v>97947081</v>
      </c>
      <c r="P1469">
        <v>522</v>
      </c>
      <c r="Q1469" t="s">
        <v>2981</v>
      </c>
    </row>
    <row r="1470" spans="1:17" x14ac:dyDescent="0.3">
      <c r="A1470" t="s">
        <v>17</v>
      </c>
      <c r="B1470" t="str">
        <f>"603733"</f>
        <v>603733</v>
      </c>
      <c r="C1470" t="s">
        <v>2982</v>
      </c>
      <c r="D1470" t="s">
        <v>161</v>
      </c>
      <c r="F1470">
        <v>-212825060</v>
      </c>
      <c r="G1470">
        <v>-259924350</v>
      </c>
      <c r="H1470">
        <v>78958951</v>
      </c>
      <c r="I1470">
        <v>-372712575</v>
      </c>
      <c r="J1470">
        <v>-511799080</v>
      </c>
      <c r="K1470">
        <v>-64555752</v>
      </c>
      <c r="L1470">
        <v>-103687838</v>
      </c>
      <c r="P1470">
        <v>233</v>
      </c>
      <c r="Q1470" t="s">
        <v>2983</v>
      </c>
    </row>
    <row r="1471" spans="1:17" x14ac:dyDescent="0.3">
      <c r="A1471" t="s">
        <v>17</v>
      </c>
      <c r="B1471" t="str">
        <f>"603737"</f>
        <v>603737</v>
      </c>
      <c r="C1471" t="s">
        <v>2984</v>
      </c>
      <c r="D1471" t="s">
        <v>350</v>
      </c>
      <c r="F1471">
        <v>-1772608653</v>
      </c>
      <c r="G1471">
        <v>-392351099</v>
      </c>
      <c r="H1471">
        <v>-288736890</v>
      </c>
      <c r="I1471">
        <v>-12588860</v>
      </c>
      <c r="J1471">
        <v>17724146</v>
      </c>
      <c r="K1471">
        <v>-133113010</v>
      </c>
      <c r="L1471">
        <v>130926389</v>
      </c>
      <c r="M1471">
        <v>74408090</v>
      </c>
      <c r="N1471">
        <v>126781922</v>
      </c>
      <c r="P1471">
        <v>1048</v>
      </c>
      <c r="Q1471" t="s">
        <v>2985</v>
      </c>
    </row>
    <row r="1472" spans="1:17" x14ac:dyDescent="0.3">
      <c r="A1472" t="s">
        <v>17</v>
      </c>
      <c r="B1472" t="str">
        <f>"603738"</f>
        <v>603738</v>
      </c>
      <c r="C1472" t="s">
        <v>2986</v>
      </c>
      <c r="D1472" t="s">
        <v>150</v>
      </c>
      <c r="F1472">
        <v>114174804</v>
      </c>
      <c r="G1472">
        <v>-92723947</v>
      </c>
      <c r="H1472">
        <v>136219471</v>
      </c>
      <c r="I1472">
        <v>-136172821</v>
      </c>
      <c r="J1472">
        <v>-261791311</v>
      </c>
      <c r="K1472">
        <v>19112527</v>
      </c>
      <c r="L1472">
        <v>17419391</v>
      </c>
      <c r="M1472">
        <v>-3945862</v>
      </c>
      <c r="N1472">
        <v>-32687216</v>
      </c>
      <c r="P1472">
        <v>248</v>
      </c>
      <c r="Q1472" t="s">
        <v>2987</v>
      </c>
    </row>
    <row r="1473" spans="1:17" x14ac:dyDescent="0.3">
      <c r="A1473" t="s">
        <v>17</v>
      </c>
      <c r="B1473" t="str">
        <f>"603739"</f>
        <v>603739</v>
      </c>
      <c r="C1473" t="s">
        <v>2988</v>
      </c>
      <c r="D1473" t="s">
        <v>205</v>
      </c>
      <c r="F1473">
        <v>-403957882</v>
      </c>
      <c r="G1473">
        <v>-38522243</v>
      </c>
      <c r="H1473">
        <v>-54731028</v>
      </c>
      <c r="I1473">
        <v>14192635</v>
      </c>
      <c r="J1473">
        <v>64137189</v>
      </c>
      <c r="K1473">
        <v>130163246</v>
      </c>
      <c r="L1473">
        <v>19667899</v>
      </c>
      <c r="P1473">
        <v>123</v>
      </c>
      <c r="Q1473" t="s">
        <v>2989</v>
      </c>
    </row>
    <row r="1474" spans="1:17" x14ac:dyDescent="0.3">
      <c r="A1474" t="s">
        <v>17</v>
      </c>
      <c r="B1474" t="str">
        <f>"603755"</f>
        <v>603755</v>
      </c>
      <c r="C1474" t="s">
        <v>2990</v>
      </c>
      <c r="D1474" t="s">
        <v>123</v>
      </c>
      <c r="F1474">
        <v>-11126229</v>
      </c>
      <c r="G1474">
        <v>-33282091</v>
      </c>
      <c r="H1474">
        <v>76734032</v>
      </c>
      <c r="I1474">
        <v>67799219</v>
      </c>
      <c r="J1474">
        <v>56676154</v>
      </c>
      <c r="K1474">
        <v>33618976</v>
      </c>
      <c r="P1474">
        <v>371</v>
      </c>
      <c r="Q1474" t="s">
        <v>2991</v>
      </c>
    </row>
    <row r="1475" spans="1:17" x14ac:dyDescent="0.3">
      <c r="A1475" t="s">
        <v>17</v>
      </c>
      <c r="B1475" t="str">
        <f>"603757"</f>
        <v>603757</v>
      </c>
      <c r="C1475" t="s">
        <v>2992</v>
      </c>
      <c r="D1475" t="s">
        <v>78</v>
      </c>
      <c r="F1475">
        <v>-36313264</v>
      </c>
      <c r="G1475">
        <v>113569552</v>
      </c>
      <c r="H1475">
        <v>199428201</v>
      </c>
      <c r="I1475">
        <v>53784413</v>
      </c>
      <c r="J1475">
        <v>86523892</v>
      </c>
      <c r="K1475">
        <v>78408901</v>
      </c>
      <c r="L1475">
        <v>60213785</v>
      </c>
      <c r="M1475">
        <v>32381395</v>
      </c>
      <c r="P1475">
        <v>523</v>
      </c>
      <c r="Q1475" t="s">
        <v>2993</v>
      </c>
    </row>
    <row r="1476" spans="1:17" x14ac:dyDescent="0.3">
      <c r="A1476" t="s">
        <v>17</v>
      </c>
      <c r="B1476" t="str">
        <f>"603758"</f>
        <v>603758</v>
      </c>
      <c r="C1476" t="s">
        <v>2994</v>
      </c>
      <c r="D1476" t="s">
        <v>27</v>
      </c>
      <c r="F1476">
        <v>35369396</v>
      </c>
      <c r="G1476">
        <v>47113377</v>
      </c>
      <c r="H1476">
        <v>304629394</v>
      </c>
      <c r="I1476">
        <v>135574381</v>
      </c>
      <c r="J1476">
        <v>393841357</v>
      </c>
      <c r="K1476">
        <v>217376031</v>
      </c>
      <c r="L1476">
        <v>-161262051</v>
      </c>
      <c r="M1476">
        <v>-243237328</v>
      </c>
      <c r="P1476">
        <v>133</v>
      </c>
      <c r="Q1476" t="s">
        <v>2995</v>
      </c>
    </row>
    <row r="1477" spans="1:17" x14ac:dyDescent="0.3">
      <c r="A1477" t="s">
        <v>17</v>
      </c>
      <c r="B1477" t="str">
        <f>"603759"</f>
        <v>603759</v>
      </c>
      <c r="C1477" t="s">
        <v>2996</v>
      </c>
      <c r="D1477" t="s">
        <v>33</v>
      </c>
      <c r="F1477">
        <v>-196156968</v>
      </c>
      <c r="G1477">
        <v>-54266191</v>
      </c>
      <c r="H1477">
        <v>73823535</v>
      </c>
      <c r="I1477">
        <v>87244878</v>
      </c>
      <c r="J1477">
        <v>-53605987</v>
      </c>
      <c r="P1477">
        <v>48</v>
      </c>
      <c r="Q1477" t="s">
        <v>2997</v>
      </c>
    </row>
    <row r="1478" spans="1:17" x14ac:dyDescent="0.3">
      <c r="A1478" t="s">
        <v>17</v>
      </c>
      <c r="B1478" t="str">
        <f>"603766"</f>
        <v>603766</v>
      </c>
      <c r="C1478" t="s">
        <v>2998</v>
      </c>
      <c r="D1478" t="s">
        <v>27</v>
      </c>
      <c r="F1478">
        <v>611383232</v>
      </c>
      <c r="G1478">
        <v>702109759</v>
      </c>
      <c r="H1478">
        <v>542241948</v>
      </c>
      <c r="I1478">
        <v>653506903</v>
      </c>
      <c r="J1478">
        <v>541959429</v>
      </c>
      <c r="K1478">
        <v>803508380</v>
      </c>
      <c r="L1478">
        <v>681519725</v>
      </c>
      <c r="M1478">
        <v>347160679</v>
      </c>
      <c r="N1478">
        <v>238936833</v>
      </c>
      <c r="O1478">
        <v>279456708</v>
      </c>
      <c r="P1478">
        <v>460</v>
      </c>
      <c r="Q1478" t="s">
        <v>2999</v>
      </c>
    </row>
    <row r="1479" spans="1:17" x14ac:dyDescent="0.3">
      <c r="A1479" t="s">
        <v>17</v>
      </c>
      <c r="B1479" t="str">
        <f>"603767"</f>
        <v>603767</v>
      </c>
      <c r="C1479" t="s">
        <v>3000</v>
      </c>
      <c r="D1479" t="s">
        <v>27</v>
      </c>
      <c r="F1479">
        <v>156545891</v>
      </c>
      <c r="G1479">
        <v>-86046021</v>
      </c>
      <c r="H1479">
        <v>16402765</v>
      </c>
      <c r="I1479">
        <v>-82162706</v>
      </c>
      <c r="J1479">
        <v>95292981</v>
      </c>
      <c r="K1479">
        <v>144804866</v>
      </c>
      <c r="L1479">
        <v>133204031</v>
      </c>
      <c r="M1479">
        <v>18760486</v>
      </c>
      <c r="P1479">
        <v>80</v>
      </c>
      <c r="Q1479" t="s">
        <v>3001</v>
      </c>
    </row>
    <row r="1480" spans="1:17" x14ac:dyDescent="0.3">
      <c r="A1480" t="s">
        <v>17</v>
      </c>
      <c r="B1480" t="str">
        <f>"603768"</f>
        <v>603768</v>
      </c>
      <c r="C1480" t="s">
        <v>3002</v>
      </c>
      <c r="D1480" t="s">
        <v>27</v>
      </c>
      <c r="F1480">
        <v>-307105708</v>
      </c>
      <c r="G1480">
        <v>-49680493</v>
      </c>
      <c r="H1480">
        <v>-285574728</v>
      </c>
      <c r="I1480">
        <v>-303870666</v>
      </c>
      <c r="J1480">
        <v>-134991531</v>
      </c>
      <c r="K1480">
        <v>981482</v>
      </c>
      <c r="L1480">
        <v>58080543</v>
      </c>
      <c r="M1480">
        <v>123577494</v>
      </c>
      <c r="P1480">
        <v>58</v>
      </c>
      <c r="Q1480" t="s">
        <v>3003</v>
      </c>
    </row>
    <row r="1481" spans="1:17" x14ac:dyDescent="0.3">
      <c r="A1481" t="s">
        <v>17</v>
      </c>
      <c r="B1481" t="str">
        <f>"603773"</f>
        <v>603773</v>
      </c>
      <c r="C1481" t="s">
        <v>3004</v>
      </c>
      <c r="D1481" t="s">
        <v>150</v>
      </c>
      <c r="F1481">
        <v>-125220033</v>
      </c>
      <c r="G1481">
        <v>-117518138</v>
      </c>
      <c r="H1481">
        <v>-102794010</v>
      </c>
      <c r="I1481">
        <v>36193677</v>
      </c>
      <c r="J1481">
        <v>111215316</v>
      </c>
      <c r="K1481">
        <v>-57579937</v>
      </c>
      <c r="L1481">
        <v>-82031921</v>
      </c>
      <c r="P1481">
        <v>141</v>
      </c>
      <c r="Q1481" t="s">
        <v>3005</v>
      </c>
    </row>
    <row r="1482" spans="1:17" x14ac:dyDescent="0.3">
      <c r="A1482" t="s">
        <v>17</v>
      </c>
      <c r="B1482" t="str">
        <f>"603776"</f>
        <v>603776</v>
      </c>
      <c r="C1482" t="s">
        <v>3006</v>
      </c>
      <c r="D1482" t="s">
        <v>27</v>
      </c>
      <c r="F1482">
        <v>-16853452</v>
      </c>
      <c r="G1482">
        <v>18247291</v>
      </c>
      <c r="H1482">
        <v>-46295975</v>
      </c>
      <c r="I1482">
        <v>13115329</v>
      </c>
      <c r="J1482">
        <v>-79537177</v>
      </c>
      <c r="K1482">
        <v>-64957205</v>
      </c>
      <c r="L1482">
        <v>2539257</v>
      </c>
      <c r="M1482">
        <v>-64553375</v>
      </c>
      <c r="P1482">
        <v>189</v>
      </c>
      <c r="Q1482" t="s">
        <v>3007</v>
      </c>
    </row>
    <row r="1483" spans="1:17" x14ac:dyDescent="0.3">
      <c r="A1483" t="s">
        <v>17</v>
      </c>
      <c r="B1483" t="str">
        <f>"603777"</f>
        <v>603777</v>
      </c>
      <c r="C1483" t="s">
        <v>3008</v>
      </c>
      <c r="D1483" t="s">
        <v>123</v>
      </c>
      <c r="F1483">
        <v>461722719</v>
      </c>
      <c r="G1483">
        <v>18835145</v>
      </c>
      <c r="H1483">
        <v>-16044077</v>
      </c>
      <c r="I1483">
        <v>-84357485</v>
      </c>
      <c r="J1483">
        <v>33232292</v>
      </c>
      <c r="K1483">
        <v>226699184</v>
      </c>
      <c r="L1483">
        <v>-11065422</v>
      </c>
      <c r="M1483">
        <v>49037931</v>
      </c>
      <c r="N1483">
        <v>100686041</v>
      </c>
      <c r="P1483">
        <v>259</v>
      </c>
      <c r="Q1483" t="s">
        <v>3009</v>
      </c>
    </row>
    <row r="1484" spans="1:17" x14ac:dyDescent="0.3">
      <c r="A1484" t="s">
        <v>17</v>
      </c>
      <c r="B1484" t="str">
        <f>"603778"</f>
        <v>603778</v>
      </c>
      <c r="C1484" t="s">
        <v>3010</v>
      </c>
      <c r="D1484" t="s">
        <v>95</v>
      </c>
      <c r="F1484">
        <v>-157862228</v>
      </c>
      <c r="G1484">
        <v>-79540101</v>
      </c>
      <c r="H1484">
        <v>-30594548</v>
      </c>
      <c r="I1484">
        <v>-156832046</v>
      </c>
      <c r="J1484">
        <v>-77303593</v>
      </c>
      <c r="K1484">
        <v>-3751848</v>
      </c>
      <c r="L1484">
        <v>15528024</v>
      </c>
      <c r="M1484">
        <v>-58530234</v>
      </c>
      <c r="N1484">
        <v>138505331</v>
      </c>
      <c r="O1484">
        <v>-31320550</v>
      </c>
      <c r="P1484">
        <v>72</v>
      </c>
      <c r="Q1484" t="s">
        <v>3011</v>
      </c>
    </row>
    <row r="1485" spans="1:17" x14ac:dyDescent="0.3">
      <c r="A1485" t="s">
        <v>17</v>
      </c>
      <c r="B1485" t="str">
        <f>"603779"</f>
        <v>603779</v>
      </c>
      <c r="C1485" t="s">
        <v>3012</v>
      </c>
      <c r="D1485" t="s">
        <v>123</v>
      </c>
      <c r="F1485">
        <v>48803908</v>
      </c>
      <c r="G1485">
        <v>26837527</v>
      </c>
      <c r="H1485">
        <v>-16288355</v>
      </c>
      <c r="I1485">
        <v>-221895982</v>
      </c>
      <c r="J1485">
        <v>-54814918</v>
      </c>
      <c r="K1485">
        <v>-41672876</v>
      </c>
      <c r="L1485">
        <v>122865390</v>
      </c>
      <c r="M1485">
        <v>242298429</v>
      </c>
      <c r="N1485">
        <v>94633975</v>
      </c>
      <c r="P1485">
        <v>101</v>
      </c>
      <c r="Q1485" t="s">
        <v>3013</v>
      </c>
    </row>
    <row r="1486" spans="1:17" x14ac:dyDescent="0.3">
      <c r="A1486" t="s">
        <v>17</v>
      </c>
      <c r="B1486" t="str">
        <f>"603786"</f>
        <v>603786</v>
      </c>
      <c r="C1486" t="s">
        <v>3014</v>
      </c>
      <c r="D1486" t="s">
        <v>27</v>
      </c>
      <c r="F1486">
        <v>249037240</v>
      </c>
      <c r="G1486">
        <v>419265384</v>
      </c>
      <c r="H1486">
        <v>430039669</v>
      </c>
      <c r="I1486">
        <v>195969110</v>
      </c>
      <c r="J1486">
        <v>133417107</v>
      </c>
      <c r="K1486">
        <v>271216859</v>
      </c>
      <c r="P1486">
        <v>346</v>
      </c>
      <c r="Q1486" t="s">
        <v>3015</v>
      </c>
    </row>
    <row r="1487" spans="1:17" x14ac:dyDescent="0.3">
      <c r="A1487" t="s">
        <v>17</v>
      </c>
      <c r="B1487" t="str">
        <f>"603787"</f>
        <v>603787</v>
      </c>
      <c r="C1487" t="s">
        <v>3016</v>
      </c>
      <c r="D1487" t="s">
        <v>27</v>
      </c>
      <c r="F1487">
        <v>-48403745</v>
      </c>
      <c r="G1487">
        <v>201639020</v>
      </c>
      <c r="H1487">
        <v>-60691344</v>
      </c>
      <c r="I1487">
        <v>-36384268</v>
      </c>
      <c r="J1487">
        <v>109221644</v>
      </c>
      <c r="K1487">
        <v>285668103</v>
      </c>
      <c r="L1487">
        <v>84790159</v>
      </c>
      <c r="M1487">
        <v>103972466</v>
      </c>
      <c r="P1487">
        <v>103</v>
      </c>
      <c r="Q1487" t="s">
        <v>3017</v>
      </c>
    </row>
    <row r="1488" spans="1:17" x14ac:dyDescent="0.3">
      <c r="A1488" t="s">
        <v>17</v>
      </c>
      <c r="B1488" t="str">
        <f>"603788"</f>
        <v>603788</v>
      </c>
      <c r="C1488" t="s">
        <v>3018</v>
      </c>
      <c r="D1488" t="s">
        <v>27</v>
      </c>
      <c r="F1488">
        <v>140777676</v>
      </c>
      <c r="G1488">
        <v>155136264</v>
      </c>
      <c r="H1488">
        <v>302106589</v>
      </c>
      <c r="I1488">
        <v>216800583</v>
      </c>
      <c r="J1488">
        <v>74692044</v>
      </c>
      <c r="K1488">
        <v>62425728</v>
      </c>
      <c r="L1488">
        <v>7362705</v>
      </c>
      <c r="M1488">
        <v>36395555</v>
      </c>
      <c r="N1488">
        <v>45081866</v>
      </c>
      <c r="O1488">
        <v>33630807</v>
      </c>
      <c r="P1488">
        <v>330</v>
      </c>
      <c r="Q1488" t="s">
        <v>3019</v>
      </c>
    </row>
    <row r="1489" spans="1:17" x14ac:dyDescent="0.3">
      <c r="A1489" t="s">
        <v>17</v>
      </c>
      <c r="B1489" t="str">
        <f>"603789"</f>
        <v>603789</v>
      </c>
      <c r="C1489" t="s">
        <v>3020</v>
      </c>
      <c r="D1489" t="s">
        <v>78</v>
      </c>
      <c r="F1489">
        <v>16511578</v>
      </c>
      <c r="G1489">
        <v>-138013479</v>
      </c>
      <c r="H1489">
        <v>-114476720</v>
      </c>
      <c r="I1489">
        <v>-195527663</v>
      </c>
      <c r="J1489">
        <v>-219905480</v>
      </c>
      <c r="K1489">
        <v>23692969</v>
      </c>
      <c r="L1489">
        <v>-229950126</v>
      </c>
      <c r="M1489">
        <v>160354154</v>
      </c>
      <c r="N1489">
        <v>-85381291</v>
      </c>
      <c r="O1489">
        <v>196712097</v>
      </c>
      <c r="P1489">
        <v>64</v>
      </c>
      <c r="Q1489" t="s">
        <v>3021</v>
      </c>
    </row>
    <row r="1490" spans="1:17" x14ac:dyDescent="0.3">
      <c r="A1490" t="s">
        <v>17</v>
      </c>
      <c r="B1490" t="str">
        <f>"603790"</f>
        <v>603790</v>
      </c>
      <c r="C1490" t="s">
        <v>3022</v>
      </c>
      <c r="D1490" t="s">
        <v>133</v>
      </c>
      <c r="F1490">
        <v>-90794627</v>
      </c>
      <c r="G1490">
        <v>-14071606</v>
      </c>
      <c r="H1490">
        <v>-69504004</v>
      </c>
      <c r="I1490">
        <v>8728359</v>
      </c>
      <c r="J1490">
        <v>69240596</v>
      </c>
      <c r="K1490">
        <v>96857139</v>
      </c>
      <c r="L1490">
        <v>78511982</v>
      </c>
      <c r="P1490">
        <v>64</v>
      </c>
      <c r="Q1490" t="s">
        <v>3023</v>
      </c>
    </row>
    <row r="1491" spans="1:17" x14ac:dyDescent="0.3">
      <c r="A1491" t="s">
        <v>17</v>
      </c>
      <c r="B1491" t="str">
        <f>"603797"</f>
        <v>603797</v>
      </c>
      <c r="C1491" t="s">
        <v>3024</v>
      </c>
      <c r="D1491" t="s">
        <v>33</v>
      </c>
      <c r="F1491">
        <v>-914653012</v>
      </c>
      <c r="G1491">
        <v>-1587168795</v>
      </c>
      <c r="H1491">
        <v>-737926845</v>
      </c>
      <c r="I1491">
        <v>-581344216</v>
      </c>
      <c r="J1491">
        <v>-296554159</v>
      </c>
      <c r="K1491">
        <v>-393225439</v>
      </c>
      <c r="L1491">
        <v>-59581388</v>
      </c>
      <c r="M1491">
        <v>98296302</v>
      </c>
      <c r="P1491">
        <v>243</v>
      </c>
      <c r="Q1491" t="s">
        <v>3025</v>
      </c>
    </row>
    <row r="1492" spans="1:17" x14ac:dyDescent="0.3">
      <c r="A1492" t="s">
        <v>17</v>
      </c>
      <c r="B1492" t="str">
        <f>"603798"</f>
        <v>603798</v>
      </c>
      <c r="C1492" t="s">
        <v>3026</v>
      </c>
      <c r="D1492" t="s">
        <v>70</v>
      </c>
      <c r="F1492">
        <v>138315666</v>
      </c>
      <c r="G1492">
        <v>175436743</v>
      </c>
      <c r="H1492">
        <v>-5135649</v>
      </c>
      <c r="I1492">
        <v>23662192</v>
      </c>
      <c r="J1492">
        <v>35847875</v>
      </c>
      <c r="K1492">
        <v>-14340247</v>
      </c>
      <c r="L1492">
        <v>89918628</v>
      </c>
      <c r="M1492">
        <v>75583049</v>
      </c>
      <c r="N1492">
        <v>45344758</v>
      </c>
      <c r="P1492">
        <v>141</v>
      </c>
      <c r="Q1492" t="s">
        <v>3027</v>
      </c>
    </row>
    <row r="1493" spans="1:17" x14ac:dyDescent="0.3">
      <c r="A1493" t="s">
        <v>17</v>
      </c>
      <c r="B1493" t="str">
        <f>"603799"</f>
        <v>603799</v>
      </c>
      <c r="C1493" t="s">
        <v>3028</v>
      </c>
      <c r="D1493" t="s">
        <v>234</v>
      </c>
      <c r="F1493">
        <v>-6906661097</v>
      </c>
      <c r="G1493">
        <v>-1764906825</v>
      </c>
      <c r="H1493">
        <v>-41371086</v>
      </c>
      <c r="I1493">
        <v>453755300</v>
      </c>
      <c r="J1493">
        <v>-2432210502</v>
      </c>
      <c r="K1493">
        <v>654335954</v>
      </c>
      <c r="L1493">
        <v>-1321743249</v>
      </c>
      <c r="M1493">
        <v>-1667486330</v>
      </c>
      <c r="N1493">
        <v>-1469131392</v>
      </c>
      <c r="O1493">
        <v>-255651838</v>
      </c>
      <c r="P1493">
        <v>1518</v>
      </c>
      <c r="Q1493" t="s">
        <v>3029</v>
      </c>
    </row>
    <row r="1494" spans="1:17" x14ac:dyDescent="0.3">
      <c r="A1494" t="s">
        <v>17</v>
      </c>
      <c r="B1494" t="str">
        <f>"603800"</f>
        <v>603800</v>
      </c>
      <c r="C1494" t="s">
        <v>3030</v>
      </c>
      <c r="D1494" t="s">
        <v>78</v>
      </c>
      <c r="F1494">
        <v>-74972912</v>
      </c>
      <c r="G1494">
        <v>-95986094</v>
      </c>
      <c r="H1494">
        <v>126232913</v>
      </c>
      <c r="I1494">
        <v>22453050</v>
      </c>
      <c r="J1494">
        <v>-100323629</v>
      </c>
      <c r="K1494">
        <v>-104182868</v>
      </c>
      <c r="L1494">
        <v>21128499</v>
      </c>
      <c r="M1494">
        <v>27234402</v>
      </c>
      <c r="N1494">
        <v>12846648</v>
      </c>
      <c r="O1494">
        <v>6704518</v>
      </c>
      <c r="P1494">
        <v>75</v>
      </c>
      <c r="Q1494" t="s">
        <v>3031</v>
      </c>
    </row>
    <row r="1495" spans="1:17" x14ac:dyDescent="0.3">
      <c r="A1495" t="s">
        <v>17</v>
      </c>
      <c r="B1495" t="str">
        <f>"603801"</f>
        <v>603801</v>
      </c>
      <c r="C1495" t="s">
        <v>3032</v>
      </c>
      <c r="D1495" t="s">
        <v>161</v>
      </c>
      <c r="F1495">
        <v>-19245698</v>
      </c>
      <c r="G1495">
        <v>258509315</v>
      </c>
      <c r="H1495">
        <v>11458877</v>
      </c>
      <c r="I1495">
        <v>-7925484</v>
      </c>
      <c r="J1495">
        <v>121152925</v>
      </c>
      <c r="K1495">
        <v>160701432</v>
      </c>
      <c r="L1495">
        <v>12197339</v>
      </c>
      <c r="M1495">
        <v>39996094</v>
      </c>
      <c r="P1495">
        <v>770</v>
      </c>
      <c r="Q1495" t="s">
        <v>3033</v>
      </c>
    </row>
    <row r="1496" spans="1:17" x14ac:dyDescent="0.3">
      <c r="A1496" t="s">
        <v>17</v>
      </c>
      <c r="B1496" t="str">
        <f>"603803"</f>
        <v>603803</v>
      </c>
      <c r="C1496" t="s">
        <v>3034</v>
      </c>
      <c r="D1496" t="s">
        <v>100</v>
      </c>
      <c r="F1496">
        <v>-122058257</v>
      </c>
      <c r="G1496">
        <v>-28554794</v>
      </c>
      <c r="H1496">
        <v>169425152</v>
      </c>
      <c r="I1496">
        <v>44495150</v>
      </c>
      <c r="J1496">
        <v>-129463302</v>
      </c>
      <c r="K1496">
        <v>93642871</v>
      </c>
      <c r="L1496">
        <v>60939147</v>
      </c>
      <c r="M1496">
        <v>102034527</v>
      </c>
      <c r="P1496">
        <v>153</v>
      </c>
      <c r="Q1496" t="s">
        <v>3035</v>
      </c>
    </row>
    <row r="1497" spans="1:17" x14ac:dyDescent="0.3">
      <c r="A1497" t="s">
        <v>17</v>
      </c>
      <c r="B1497" t="str">
        <f>"603806"</f>
        <v>603806</v>
      </c>
      <c r="C1497" t="s">
        <v>3036</v>
      </c>
      <c r="D1497" t="s">
        <v>188</v>
      </c>
      <c r="F1497">
        <v>-678317807</v>
      </c>
      <c r="G1497">
        <v>-83074791</v>
      </c>
      <c r="H1497">
        <v>387917771</v>
      </c>
      <c r="I1497">
        <v>-25611842</v>
      </c>
      <c r="J1497">
        <v>38643291</v>
      </c>
      <c r="K1497">
        <v>24234668</v>
      </c>
      <c r="L1497">
        <v>301778355</v>
      </c>
      <c r="M1497">
        <v>35233565</v>
      </c>
      <c r="N1497">
        <v>308344464</v>
      </c>
      <c r="O1497">
        <v>220445603</v>
      </c>
      <c r="P1497">
        <v>1030</v>
      </c>
      <c r="Q1497" t="s">
        <v>3037</v>
      </c>
    </row>
    <row r="1498" spans="1:17" x14ac:dyDescent="0.3">
      <c r="A1498" t="s">
        <v>17</v>
      </c>
      <c r="B1498" t="str">
        <f>"603808"</f>
        <v>603808</v>
      </c>
      <c r="C1498" t="s">
        <v>3038</v>
      </c>
      <c r="D1498" t="s">
        <v>227</v>
      </c>
      <c r="F1498">
        <v>167907128</v>
      </c>
      <c r="G1498">
        <v>148857625</v>
      </c>
      <c r="H1498">
        <v>348356917</v>
      </c>
      <c r="I1498">
        <v>338917700</v>
      </c>
      <c r="J1498">
        <v>387329693</v>
      </c>
      <c r="K1498">
        <v>40560854</v>
      </c>
      <c r="L1498">
        <v>46236515</v>
      </c>
      <c r="M1498">
        <v>115118158</v>
      </c>
      <c r="N1498">
        <v>81658710</v>
      </c>
      <c r="O1498">
        <v>-51014852</v>
      </c>
      <c r="P1498">
        <v>479</v>
      </c>
      <c r="Q1498" t="s">
        <v>3039</v>
      </c>
    </row>
    <row r="1499" spans="1:17" x14ac:dyDescent="0.3">
      <c r="A1499" t="s">
        <v>17</v>
      </c>
      <c r="B1499" t="str">
        <f>"603809"</f>
        <v>603809</v>
      </c>
      <c r="C1499" t="s">
        <v>3040</v>
      </c>
      <c r="D1499" t="s">
        <v>27</v>
      </c>
      <c r="F1499">
        <v>-107198842</v>
      </c>
      <c r="G1499">
        <v>-144617048</v>
      </c>
      <c r="H1499">
        <v>-209274944</v>
      </c>
      <c r="I1499">
        <v>-108029120</v>
      </c>
      <c r="J1499">
        <v>-57487403</v>
      </c>
      <c r="K1499">
        <v>-68485794</v>
      </c>
      <c r="L1499">
        <v>-27190368</v>
      </c>
      <c r="M1499">
        <v>-24672856</v>
      </c>
      <c r="P1499">
        <v>138</v>
      </c>
      <c r="Q1499" t="s">
        <v>3041</v>
      </c>
    </row>
    <row r="1500" spans="1:17" x14ac:dyDescent="0.3">
      <c r="A1500" t="s">
        <v>17</v>
      </c>
      <c r="B1500" t="str">
        <f>"603810"</f>
        <v>603810</v>
      </c>
      <c r="C1500" t="s">
        <v>3042</v>
      </c>
      <c r="D1500" t="s">
        <v>133</v>
      </c>
      <c r="F1500">
        <v>-79373060</v>
      </c>
      <c r="G1500">
        <v>21374329</v>
      </c>
      <c r="H1500">
        <v>33255842</v>
      </c>
      <c r="I1500">
        <v>75686664</v>
      </c>
      <c r="J1500">
        <v>140605702</v>
      </c>
      <c r="K1500">
        <v>-55754666</v>
      </c>
      <c r="L1500">
        <v>40722315</v>
      </c>
      <c r="P1500">
        <v>79</v>
      </c>
      <c r="Q1500" t="s">
        <v>3043</v>
      </c>
    </row>
    <row r="1501" spans="1:17" x14ac:dyDescent="0.3">
      <c r="A1501" t="s">
        <v>17</v>
      </c>
      <c r="B1501" t="str">
        <f>"603811"</f>
        <v>603811</v>
      </c>
      <c r="C1501" t="s">
        <v>3044</v>
      </c>
      <c r="D1501" t="s">
        <v>113</v>
      </c>
      <c r="F1501">
        <v>9800602</v>
      </c>
      <c r="G1501">
        <v>34269544</v>
      </c>
      <c r="H1501">
        <v>-2615528</v>
      </c>
      <c r="I1501">
        <v>-137097229</v>
      </c>
      <c r="J1501">
        <v>28928576</v>
      </c>
      <c r="K1501">
        <v>73518783</v>
      </c>
      <c r="L1501">
        <v>65247613</v>
      </c>
      <c r="M1501">
        <v>59356768</v>
      </c>
      <c r="P1501">
        <v>328</v>
      </c>
      <c r="Q1501" t="s">
        <v>3045</v>
      </c>
    </row>
    <row r="1502" spans="1:17" x14ac:dyDescent="0.3">
      <c r="A1502" t="s">
        <v>17</v>
      </c>
      <c r="B1502" t="str">
        <f>"603813"</f>
        <v>603813</v>
      </c>
      <c r="C1502" t="s">
        <v>3046</v>
      </c>
      <c r="D1502" t="s">
        <v>22</v>
      </c>
      <c r="F1502">
        <v>89460480</v>
      </c>
      <c r="G1502">
        <v>24812665</v>
      </c>
      <c r="H1502">
        <v>30273594</v>
      </c>
      <c r="I1502">
        <v>-169496880</v>
      </c>
      <c r="J1502">
        <v>22399763</v>
      </c>
      <c r="K1502">
        <v>-11153913</v>
      </c>
      <c r="L1502">
        <v>-54218183</v>
      </c>
      <c r="M1502">
        <v>6751305</v>
      </c>
      <c r="P1502">
        <v>59</v>
      </c>
      <c r="Q1502" t="s">
        <v>3047</v>
      </c>
    </row>
    <row r="1503" spans="1:17" x14ac:dyDescent="0.3">
      <c r="A1503" t="s">
        <v>17</v>
      </c>
      <c r="B1503" t="str">
        <f>"603815"</f>
        <v>603815</v>
      </c>
      <c r="C1503" t="s">
        <v>3048</v>
      </c>
      <c r="D1503" t="s">
        <v>95</v>
      </c>
      <c r="F1503">
        <v>-262474367</v>
      </c>
      <c r="G1503">
        <v>-109644221</v>
      </c>
      <c r="H1503">
        <v>-732904693</v>
      </c>
      <c r="I1503">
        <v>-68874472</v>
      </c>
      <c r="J1503">
        <v>112912407</v>
      </c>
      <c r="K1503">
        <v>88608921</v>
      </c>
      <c r="P1503">
        <v>85</v>
      </c>
      <c r="Q1503" t="s">
        <v>3049</v>
      </c>
    </row>
    <row r="1504" spans="1:17" x14ac:dyDescent="0.3">
      <c r="A1504" t="s">
        <v>17</v>
      </c>
      <c r="B1504" t="str">
        <f>"603816"</f>
        <v>603816</v>
      </c>
      <c r="C1504" t="s">
        <v>3050</v>
      </c>
      <c r="D1504" t="s">
        <v>161</v>
      </c>
      <c r="F1504">
        <v>378207297</v>
      </c>
      <c r="G1504">
        <v>1105694989</v>
      </c>
      <c r="H1504">
        <v>1367968417</v>
      </c>
      <c r="I1504">
        <v>293723190</v>
      </c>
      <c r="J1504">
        <v>862209474</v>
      </c>
      <c r="K1504">
        <v>744135787</v>
      </c>
      <c r="L1504">
        <v>462058244</v>
      </c>
      <c r="M1504">
        <v>-200262637</v>
      </c>
      <c r="N1504">
        <v>303100568</v>
      </c>
      <c r="P1504">
        <v>1964</v>
      </c>
      <c r="Q1504" t="s">
        <v>3051</v>
      </c>
    </row>
    <row r="1505" spans="1:17" x14ac:dyDescent="0.3">
      <c r="A1505" t="s">
        <v>17</v>
      </c>
      <c r="B1505" t="str">
        <f>"603817"</f>
        <v>603817</v>
      </c>
      <c r="C1505" t="s">
        <v>3052</v>
      </c>
      <c r="D1505" t="s">
        <v>33</v>
      </c>
      <c r="F1505">
        <v>-58222687</v>
      </c>
      <c r="G1505">
        <v>62883679</v>
      </c>
      <c r="H1505">
        <v>-322525968</v>
      </c>
      <c r="I1505">
        <v>-456572673</v>
      </c>
      <c r="J1505">
        <v>-230830422</v>
      </c>
      <c r="K1505">
        <v>-86396336</v>
      </c>
      <c r="L1505">
        <v>-89560212</v>
      </c>
      <c r="M1505">
        <v>-167093196</v>
      </c>
      <c r="N1505">
        <v>60798925</v>
      </c>
      <c r="P1505">
        <v>121</v>
      </c>
      <c r="Q1505" t="s">
        <v>3053</v>
      </c>
    </row>
    <row r="1506" spans="1:17" x14ac:dyDescent="0.3">
      <c r="A1506" t="s">
        <v>17</v>
      </c>
      <c r="B1506" t="str">
        <f>"603818"</f>
        <v>603818</v>
      </c>
      <c r="C1506" t="s">
        <v>3054</v>
      </c>
      <c r="D1506" t="s">
        <v>161</v>
      </c>
      <c r="F1506">
        <v>295129563</v>
      </c>
      <c r="G1506">
        <v>512277220</v>
      </c>
      <c r="H1506">
        <v>454819116</v>
      </c>
      <c r="I1506">
        <v>121873931</v>
      </c>
      <c r="J1506">
        <v>48491761</v>
      </c>
      <c r="K1506">
        <v>171886314</v>
      </c>
      <c r="L1506">
        <v>125669703</v>
      </c>
      <c r="M1506">
        <v>59655325</v>
      </c>
      <c r="N1506">
        <v>130154309</v>
      </c>
      <c r="O1506">
        <v>44932702</v>
      </c>
      <c r="P1506">
        <v>203</v>
      </c>
      <c r="Q1506" t="s">
        <v>3055</v>
      </c>
    </row>
    <row r="1507" spans="1:17" x14ac:dyDescent="0.3">
      <c r="A1507" t="s">
        <v>17</v>
      </c>
      <c r="B1507" t="str">
        <f>"603819"</f>
        <v>603819</v>
      </c>
      <c r="C1507" t="s">
        <v>3056</v>
      </c>
      <c r="D1507" t="s">
        <v>188</v>
      </c>
      <c r="F1507">
        <v>-142212012</v>
      </c>
      <c r="G1507">
        <v>125888507</v>
      </c>
      <c r="H1507">
        <v>-37174846</v>
      </c>
      <c r="I1507">
        <v>-161021083</v>
      </c>
      <c r="J1507">
        <v>-135895228</v>
      </c>
      <c r="K1507">
        <v>-65624941</v>
      </c>
      <c r="L1507">
        <v>69754468</v>
      </c>
      <c r="M1507">
        <v>77343011</v>
      </c>
      <c r="N1507">
        <v>-19806434</v>
      </c>
      <c r="P1507">
        <v>74</v>
      </c>
      <c r="Q1507" t="s">
        <v>3057</v>
      </c>
    </row>
    <row r="1508" spans="1:17" x14ac:dyDescent="0.3">
      <c r="A1508" t="s">
        <v>17</v>
      </c>
      <c r="B1508" t="str">
        <f>"603822"</f>
        <v>603822</v>
      </c>
      <c r="C1508" t="s">
        <v>3058</v>
      </c>
      <c r="D1508" t="s">
        <v>133</v>
      </c>
      <c r="F1508">
        <v>-217553998</v>
      </c>
      <c r="G1508">
        <v>-286849718</v>
      </c>
      <c r="H1508">
        <v>-26302660</v>
      </c>
      <c r="I1508">
        <v>-132966500</v>
      </c>
      <c r="J1508">
        <v>109438147</v>
      </c>
      <c r="K1508">
        <v>28715553</v>
      </c>
      <c r="L1508">
        <v>2088100</v>
      </c>
      <c r="M1508">
        <v>-108365466</v>
      </c>
      <c r="N1508">
        <v>-48034646</v>
      </c>
      <c r="P1508">
        <v>125</v>
      </c>
      <c r="Q1508" t="s">
        <v>3059</v>
      </c>
    </row>
    <row r="1509" spans="1:17" x14ac:dyDescent="0.3">
      <c r="A1509" t="s">
        <v>17</v>
      </c>
      <c r="B1509" t="str">
        <f>"603823"</f>
        <v>603823</v>
      </c>
      <c r="C1509" t="s">
        <v>3060</v>
      </c>
      <c r="D1509" t="s">
        <v>133</v>
      </c>
      <c r="F1509">
        <v>35573339</v>
      </c>
      <c r="G1509">
        <v>131911087</v>
      </c>
      <c r="H1509">
        <v>62541683</v>
      </c>
      <c r="I1509">
        <v>24856829</v>
      </c>
      <c r="J1509">
        <v>-31017935</v>
      </c>
      <c r="K1509">
        <v>127081376</v>
      </c>
      <c r="L1509">
        <v>39194388</v>
      </c>
      <c r="M1509">
        <v>65137104</v>
      </c>
      <c r="N1509">
        <v>107196055</v>
      </c>
      <c r="P1509">
        <v>142</v>
      </c>
      <c r="Q1509" t="s">
        <v>3061</v>
      </c>
    </row>
    <row r="1510" spans="1:17" x14ac:dyDescent="0.3">
      <c r="A1510" t="s">
        <v>17</v>
      </c>
      <c r="B1510" t="str">
        <f>"603825"</f>
        <v>603825</v>
      </c>
      <c r="C1510" t="s">
        <v>3062</v>
      </c>
      <c r="D1510" t="s">
        <v>89</v>
      </c>
      <c r="F1510">
        <v>335241649</v>
      </c>
      <c r="G1510">
        <v>-427779967</v>
      </c>
      <c r="H1510">
        <v>745887052</v>
      </c>
      <c r="I1510">
        <v>-470095129</v>
      </c>
      <c r="J1510">
        <v>-288969236</v>
      </c>
      <c r="K1510">
        <v>-198429812</v>
      </c>
      <c r="L1510">
        <v>-250870849</v>
      </c>
      <c r="M1510">
        <v>75282612</v>
      </c>
      <c r="P1510">
        <v>158</v>
      </c>
      <c r="Q1510" t="s">
        <v>3063</v>
      </c>
    </row>
    <row r="1511" spans="1:17" x14ac:dyDescent="0.3">
      <c r="A1511" t="s">
        <v>17</v>
      </c>
      <c r="B1511" t="str">
        <f>"603826"</f>
        <v>603826</v>
      </c>
      <c r="C1511" t="s">
        <v>3064</v>
      </c>
      <c r="D1511" t="s">
        <v>133</v>
      </c>
      <c r="F1511">
        <v>-315205731</v>
      </c>
      <c r="G1511">
        <v>-239459446</v>
      </c>
      <c r="H1511">
        <v>-218686018</v>
      </c>
      <c r="I1511">
        <v>-166050270</v>
      </c>
      <c r="J1511">
        <v>-50632072</v>
      </c>
      <c r="K1511">
        <v>-87034945</v>
      </c>
      <c r="L1511">
        <v>-13565758</v>
      </c>
      <c r="M1511">
        <v>52742772</v>
      </c>
      <c r="P1511">
        <v>265</v>
      </c>
      <c r="Q1511" t="s">
        <v>3065</v>
      </c>
    </row>
    <row r="1512" spans="1:17" x14ac:dyDescent="0.3">
      <c r="A1512" t="s">
        <v>17</v>
      </c>
      <c r="B1512" t="str">
        <f>"603828"</f>
        <v>603828</v>
      </c>
      <c r="C1512" t="s">
        <v>3066</v>
      </c>
      <c r="D1512" t="s">
        <v>95</v>
      </c>
      <c r="F1512">
        <v>-511074271</v>
      </c>
      <c r="G1512">
        <v>-424125489</v>
      </c>
      <c r="H1512">
        <v>3558446</v>
      </c>
      <c r="I1512">
        <v>-60816841</v>
      </c>
      <c r="J1512">
        <v>-114710334</v>
      </c>
      <c r="K1512">
        <v>-19698210</v>
      </c>
      <c r="L1512">
        <v>-237535051</v>
      </c>
      <c r="M1512">
        <v>-32878443</v>
      </c>
      <c r="N1512">
        <v>20882806</v>
      </c>
      <c r="O1512">
        <v>41163196</v>
      </c>
      <c r="P1512">
        <v>66</v>
      </c>
      <c r="Q1512" t="s">
        <v>3067</v>
      </c>
    </row>
    <row r="1513" spans="1:17" x14ac:dyDescent="0.3">
      <c r="A1513" t="s">
        <v>17</v>
      </c>
      <c r="B1513" t="str">
        <f>"603829"</f>
        <v>603829</v>
      </c>
      <c r="C1513" t="s">
        <v>3068</v>
      </c>
      <c r="D1513" t="s">
        <v>188</v>
      </c>
      <c r="F1513">
        <v>-73652748</v>
      </c>
      <c r="G1513">
        <v>-160492910</v>
      </c>
      <c r="H1513">
        <v>-14077895</v>
      </c>
      <c r="I1513">
        <v>1324492</v>
      </c>
      <c r="J1513">
        <v>10101834</v>
      </c>
      <c r="K1513">
        <v>4265923</v>
      </c>
      <c r="L1513">
        <v>6325208</v>
      </c>
      <c r="M1513">
        <v>10215478</v>
      </c>
      <c r="P1513">
        <v>50</v>
      </c>
      <c r="Q1513" t="s">
        <v>3069</v>
      </c>
    </row>
    <row r="1514" spans="1:17" x14ac:dyDescent="0.3">
      <c r="A1514" t="s">
        <v>17</v>
      </c>
      <c r="B1514" t="str">
        <f>"603833"</f>
        <v>603833</v>
      </c>
      <c r="C1514" t="s">
        <v>3070</v>
      </c>
      <c r="D1514" t="s">
        <v>161</v>
      </c>
      <c r="F1514">
        <v>2814636215</v>
      </c>
      <c r="G1514">
        <v>2006741272</v>
      </c>
      <c r="H1514">
        <v>326111821</v>
      </c>
      <c r="I1514">
        <v>-267615646</v>
      </c>
      <c r="J1514">
        <v>93999663</v>
      </c>
      <c r="K1514">
        <v>280915016</v>
      </c>
      <c r="L1514">
        <v>56305616</v>
      </c>
      <c r="M1514">
        <v>470111269</v>
      </c>
      <c r="P1514">
        <v>2567</v>
      </c>
      <c r="Q1514" t="s">
        <v>3071</v>
      </c>
    </row>
    <row r="1515" spans="1:17" x14ac:dyDescent="0.3">
      <c r="A1515" t="s">
        <v>17</v>
      </c>
      <c r="B1515" t="str">
        <f>"603836"</f>
        <v>603836</v>
      </c>
      <c r="C1515" t="s">
        <v>3072</v>
      </c>
      <c r="D1515" t="s">
        <v>22</v>
      </c>
      <c r="F1515">
        <v>353742285</v>
      </c>
      <c r="G1515">
        <v>88543299</v>
      </c>
      <c r="H1515">
        <v>95367643</v>
      </c>
      <c r="I1515">
        <v>59264270</v>
      </c>
      <c r="J1515">
        <v>-30137297</v>
      </c>
      <c r="P1515">
        <v>29</v>
      </c>
      <c r="Q1515" t="s">
        <v>3073</v>
      </c>
    </row>
    <row r="1516" spans="1:17" x14ac:dyDescent="0.3">
      <c r="A1516" t="s">
        <v>17</v>
      </c>
      <c r="B1516" t="str">
        <f>"603838"</f>
        <v>603838</v>
      </c>
      <c r="C1516" t="s">
        <v>3074</v>
      </c>
      <c r="D1516" t="s">
        <v>161</v>
      </c>
      <c r="F1516">
        <v>18429829</v>
      </c>
      <c r="G1516">
        <v>-254336374</v>
      </c>
      <c r="H1516">
        <v>-6159344</v>
      </c>
      <c r="I1516">
        <v>-44285447</v>
      </c>
      <c r="J1516">
        <v>8435101</v>
      </c>
      <c r="K1516">
        <v>1418683</v>
      </c>
      <c r="L1516">
        <v>-109171</v>
      </c>
      <c r="M1516">
        <v>72412917</v>
      </c>
      <c r="N1516">
        <v>51091032</v>
      </c>
      <c r="O1516">
        <v>-39795960</v>
      </c>
      <c r="P1516">
        <v>49</v>
      </c>
      <c r="Q1516" t="s">
        <v>3075</v>
      </c>
    </row>
    <row r="1517" spans="1:17" x14ac:dyDescent="0.3">
      <c r="A1517" t="s">
        <v>17</v>
      </c>
      <c r="B1517" t="str">
        <f>"603839"</f>
        <v>603839</v>
      </c>
      <c r="C1517" t="s">
        <v>3076</v>
      </c>
      <c r="D1517" t="s">
        <v>227</v>
      </c>
      <c r="F1517">
        <v>499192352</v>
      </c>
      <c r="G1517">
        <v>295086089</v>
      </c>
      <c r="H1517">
        <v>-52164443</v>
      </c>
      <c r="I1517">
        <v>17745422</v>
      </c>
      <c r="J1517">
        <v>255090483</v>
      </c>
      <c r="K1517">
        <v>272716906</v>
      </c>
      <c r="L1517">
        <v>93292694</v>
      </c>
      <c r="M1517">
        <v>-38989460</v>
      </c>
      <c r="N1517">
        <v>136774846</v>
      </c>
      <c r="P1517">
        <v>136</v>
      </c>
      <c r="Q1517" t="s">
        <v>3077</v>
      </c>
    </row>
    <row r="1518" spans="1:17" x14ac:dyDescent="0.3">
      <c r="A1518" t="s">
        <v>17</v>
      </c>
      <c r="B1518" t="str">
        <f>"603843"</f>
        <v>603843</v>
      </c>
      <c r="C1518" t="s">
        <v>3078</v>
      </c>
      <c r="D1518" t="s">
        <v>95</v>
      </c>
      <c r="F1518">
        <v>19236481</v>
      </c>
      <c r="G1518">
        <v>233694228</v>
      </c>
      <c r="H1518">
        <v>321567761</v>
      </c>
      <c r="I1518">
        <v>-35963016</v>
      </c>
      <c r="J1518">
        <v>-705057154</v>
      </c>
      <c r="K1518">
        <v>82709000</v>
      </c>
      <c r="L1518">
        <v>-254640489</v>
      </c>
      <c r="M1518">
        <v>119214845</v>
      </c>
      <c r="N1518">
        <v>136873022</v>
      </c>
      <c r="P1518">
        <v>90</v>
      </c>
      <c r="Q1518" t="s">
        <v>3079</v>
      </c>
    </row>
    <row r="1519" spans="1:17" x14ac:dyDescent="0.3">
      <c r="A1519" t="s">
        <v>17</v>
      </c>
      <c r="B1519" t="str">
        <f>"603848"</f>
        <v>603848</v>
      </c>
      <c r="C1519" t="s">
        <v>3080</v>
      </c>
      <c r="D1519" t="s">
        <v>161</v>
      </c>
      <c r="F1519">
        <v>77656043</v>
      </c>
      <c r="G1519">
        <v>50616601</v>
      </c>
      <c r="H1519">
        <v>268484326</v>
      </c>
      <c r="I1519">
        <v>6273461</v>
      </c>
      <c r="J1519">
        <v>283966748</v>
      </c>
      <c r="K1519">
        <v>66094708</v>
      </c>
      <c r="L1519">
        <v>133448055</v>
      </c>
      <c r="M1519">
        <v>153688731</v>
      </c>
      <c r="P1519">
        <v>416</v>
      </c>
      <c r="Q1519" t="s">
        <v>3081</v>
      </c>
    </row>
    <row r="1520" spans="1:17" x14ac:dyDescent="0.3">
      <c r="A1520" t="s">
        <v>17</v>
      </c>
      <c r="B1520" t="str">
        <f>"603855"</f>
        <v>603855</v>
      </c>
      <c r="C1520" t="s">
        <v>3082</v>
      </c>
      <c r="D1520" t="s">
        <v>78</v>
      </c>
      <c r="F1520">
        <v>407170709</v>
      </c>
      <c r="G1520">
        <v>230750922</v>
      </c>
      <c r="H1520">
        <v>273466483</v>
      </c>
      <c r="I1520">
        <v>164390854</v>
      </c>
      <c r="J1520">
        <v>91030358</v>
      </c>
      <c r="K1520">
        <v>116502237</v>
      </c>
      <c r="L1520">
        <v>100417611</v>
      </c>
      <c r="M1520">
        <v>77834479</v>
      </c>
      <c r="P1520">
        <v>220</v>
      </c>
      <c r="Q1520" t="s">
        <v>3083</v>
      </c>
    </row>
    <row r="1521" spans="1:17" x14ac:dyDescent="0.3">
      <c r="A1521" t="s">
        <v>17</v>
      </c>
      <c r="B1521" t="str">
        <f>"603856"</f>
        <v>603856</v>
      </c>
      <c r="C1521" t="s">
        <v>3084</v>
      </c>
      <c r="D1521" t="s">
        <v>350</v>
      </c>
      <c r="F1521">
        <v>-363683139</v>
      </c>
      <c r="G1521">
        <v>-87695886</v>
      </c>
      <c r="H1521">
        <v>64305669</v>
      </c>
      <c r="I1521">
        <v>-1087015</v>
      </c>
      <c r="J1521">
        <v>-182857699</v>
      </c>
      <c r="K1521">
        <v>157521001</v>
      </c>
      <c r="L1521">
        <v>109428180</v>
      </c>
      <c r="M1521">
        <v>-35395287</v>
      </c>
      <c r="P1521">
        <v>138</v>
      </c>
      <c r="Q1521" t="s">
        <v>3085</v>
      </c>
    </row>
    <row r="1522" spans="1:17" x14ac:dyDescent="0.3">
      <c r="A1522" t="s">
        <v>17</v>
      </c>
      <c r="B1522" t="str">
        <f>"603858"</f>
        <v>603858</v>
      </c>
      <c r="C1522" t="s">
        <v>3086</v>
      </c>
      <c r="D1522" t="s">
        <v>113</v>
      </c>
      <c r="F1522">
        <v>888430446</v>
      </c>
      <c r="G1522">
        <v>1432555087</v>
      </c>
      <c r="H1522">
        <v>1959743110</v>
      </c>
      <c r="I1522">
        <v>809484345</v>
      </c>
      <c r="J1522">
        <v>508108878</v>
      </c>
      <c r="K1522">
        <v>990986934</v>
      </c>
      <c r="L1522">
        <v>1640538641</v>
      </c>
      <c r="M1522">
        <v>1575928425</v>
      </c>
      <c r="N1522">
        <v>603335931</v>
      </c>
      <c r="P1522">
        <v>828</v>
      </c>
      <c r="Q1522" t="s">
        <v>3087</v>
      </c>
    </row>
    <row r="1523" spans="1:17" x14ac:dyDescent="0.3">
      <c r="A1523" t="s">
        <v>17</v>
      </c>
      <c r="B1523" t="str">
        <f>"603859"</f>
        <v>603859</v>
      </c>
      <c r="C1523" t="s">
        <v>3088</v>
      </c>
      <c r="D1523" t="s">
        <v>78</v>
      </c>
      <c r="F1523">
        <v>-174222011</v>
      </c>
      <c r="G1523">
        <v>-156570939</v>
      </c>
      <c r="H1523">
        <v>-65443101</v>
      </c>
      <c r="I1523">
        <v>-99449186</v>
      </c>
      <c r="J1523">
        <v>-84044896</v>
      </c>
      <c r="K1523">
        <v>-65813606</v>
      </c>
      <c r="L1523">
        <v>30728549</v>
      </c>
      <c r="M1523">
        <v>6730039</v>
      </c>
      <c r="N1523">
        <v>18345488</v>
      </c>
      <c r="P1523">
        <v>206</v>
      </c>
      <c r="Q1523" t="s">
        <v>3089</v>
      </c>
    </row>
    <row r="1524" spans="1:17" x14ac:dyDescent="0.3">
      <c r="A1524" t="s">
        <v>17</v>
      </c>
      <c r="B1524" t="str">
        <f>"603860"</f>
        <v>603860</v>
      </c>
      <c r="C1524" t="s">
        <v>3090</v>
      </c>
      <c r="D1524" t="s">
        <v>95</v>
      </c>
      <c r="F1524">
        <v>-49099167</v>
      </c>
      <c r="G1524">
        <v>-33785588</v>
      </c>
      <c r="H1524">
        <v>35226686</v>
      </c>
      <c r="I1524">
        <v>6868753</v>
      </c>
      <c r="J1524">
        <v>3363483</v>
      </c>
      <c r="K1524">
        <v>2888760</v>
      </c>
      <c r="L1524">
        <v>47331553</v>
      </c>
      <c r="M1524">
        <v>17460027</v>
      </c>
      <c r="P1524">
        <v>58</v>
      </c>
      <c r="Q1524" t="s">
        <v>3091</v>
      </c>
    </row>
    <row r="1525" spans="1:17" x14ac:dyDescent="0.3">
      <c r="A1525" t="s">
        <v>17</v>
      </c>
      <c r="B1525" t="str">
        <f>"603861"</f>
        <v>603861</v>
      </c>
      <c r="C1525" t="s">
        <v>3092</v>
      </c>
      <c r="D1525" t="s">
        <v>188</v>
      </c>
      <c r="F1525">
        <v>-50547687</v>
      </c>
      <c r="G1525">
        <v>-62994547</v>
      </c>
      <c r="H1525">
        <v>-79832389</v>
      </c>
      <c r="I1525">
        <v>-438829205</v>
      </c>
      <c r="J1525">
        <v>67427994</v>
      </c>
      <c r="K1525">
        <v>14980630</v>
      </c>
      <c r="L1525">
        <v>107511287</v>
      </c>
      <c r="M1525">
        <v>68329192</v>
      </c>
      <c r="N1525">
        <v>38439526</v>
      </c>
      <c r="P1525">
        <v>109</v>
      </c>
      <c r="Q1525" t="s">
        <v>3093</v>
      </c>
    </row>
    <row r="1526" spans="1:17" x14ac:dyDescent="0.3">
      <c r="A1526" t="s">
        <v>17</v>
      </c>
      <c r="B1526" t="str">
        <f>"603863"</f>
        <v>603863</v>
      </c>
      <c r="C1526" t="s">
        <v>3094</v>
      </c>
      <c r="D1526" t="s">
        <v>161</v>
      </c>
      <c r="F1526">
        <v>-352690274</v>
      </c>
      <c r="G1526">
        <v>-348586889</v>
      </c>
      <c r="H1526">
        <v>-23981961</v>
      </c>
      <c r="I1526">
        <v>125140788</v>
      </c>
      <c r="J1526">
        <v>18917327</v>
      </c>
      <c r="K1526">
        <v>24995833</v>
      </c>
      <c r="P1526">
        <v>51</v>
      </c>
      <c r="Q1526" t="s">
        <v>3095</v>
      </c>
    </row>
    <row r="1527" spans="1:17" x14ac:dyDescent="0.3">
      <c r="A1527" t="s">
        <v>17</v>
      </c>
      <c r="B1527" t="str">
        <f>"603866"</f>
        <v>603866</v>
      </c>
      <c r="C1527" t="s">
        <v>3096</v>
      </c>
      <c r="D1527" t="s">
        <v>123</v>
      </c>
      <c r="F1527">
        <v>-103005602</v>
      </c>
      <c r="G1527">
        <v>210087089</v>
      </c>
      <c r="H1527">
        <v>-4566866</v>
      </c>
      <c r="I1527">
        <v>411096418</v>
      </c>
      <c r="J1527">
        <v>257363281</v>
      </c>
      <c r="K1527">
        <v>85238873</v>
      </c>
      <c r="L1527">
        <v>111981784</v>
      </c>
      <c r="M1527">
        <v>61215695</v>
      </c>
      <c r="N1527">
        <v>122004465</v>
      </c>
      <c r="O1527">
        <v>129285721</v>
      </c>
      <c r="P1527">
        <v>7674</v>
      </c>
      <c r="Q1527" t="s">
        <v>3097</v>
      </c>
    </row>
    <row r="1528" spans="1:17" x14ac:dyDescent="0.3">
      <c r="A1528" t="s">
        <v>17</v>
      </c>
      <c r="B1528" t="str">
        <f>"603867"</f>
        <v>603867</v>
      </c>
      <c r="C1528" t="s">
        <v>3098</v>
      </c>
      <c r="D1528" t="s">
        <v>133</v>
      </c>
      <c r="F1528">
        <v>-115019745</v>
      </c>
      <c r="G1528">
        <v>21089916</v>
      </c>
      <c r="H1528">
        <v>159458356</v>
      </c>
      <c r="I1528">
        <v>155394784</v>
      </c>
      <c r="J1528">
        <v>129795128</v>
      </c>
      <c r="K1528">
        <v>78231419</v>
      </c>
      <c r="P1528">
        <v>88</v>
      </c>
      <c r="Q1528" t="s">
        <v>3099</v>
      </c>
    </row>
    <row r="1529" spans="1:17" x14ac:dyDescent="0.3">
      <c r="A1529" t="s">
        <v>17</v>
      </c>
      <c r="B1529" t="str">
        <f>"603868"</f>
        <v>603868</v>
      </c>
      <c r="C1529" t="s">
        <v>3100</v>
      </c>
      <c r="D1529" t="s">
        <v>126</v>
      </c>
      <c r="F1529">
        <v>564185462</v>
      </c>
      <c r="G1529">
        <v>774938899</v>
      </c>
      <c r="H1529">
        <v>195032753</v>
      </c>
      <c r="I1529">
        <v>225208364</v>
      </c>
      <c r="J1529">
        <v>660666645</v>
      </c>
      <c r="K1529">
        <v>715708450</v>
      </c>
      <c r="L1529">
        <v>256013691</v>
      </c>
      <c r="M1529">
        <v>322744063</v>
      </c>
      <c r="N1529">
        <v>51099351</v>
      </c>
      <c r="P1529">
        <v>4442</v>
      </c>
      <c r="Q1529" t="s">
        <v>3101</v>
      </c>
    </row>
    <row r="1530" spans="1:17" x14ac:dyDescent="0.3">
      <c r="A1530" t="s">
        <v>17</v>
      </c>
      <c r="B1530" t="str">
        <f>"603869"</f>
        <v>603869</v>
      </c>
      <c r="C1530" t="s">
        <v>3102</v>
      </c>
      <c r="D1530" t="s">
        <v>212</v>
      </c>
      <c r="F1530">
        <v>653225077</v>
      </c>
      <c r="G1530">
        <v>263169330</v>
      </c>
      <c r="H1530">
        <v>-71592073</v>
      </c>
      <c r="I1530">
        <v>-1108794629</v>
      </c>
      <c r="J1530">
        <v>-679608934</v>
      </c>
      <c r="K1530">
        <v>-35685191</v>
      </c>
      <c r="L1530">
        <v>7877621</v>
      </c>
      <c r="M1530">
        <v>29798537</v>
      </c>
      <c r="N1530">
        <v>258283311</v>
      </c>
      <c r="O1530">
        <v>-104886524</v>
      </c>
      <c r="P1530">
        <v>143</v>
      </c>
      <c r="Q1530" t="s">
        <v>3103</v>
      </c>
    </row>
    <row r="1531" spans="1:17" x14ac:dyDescent="0.3">
      <c r="A1531" t="s">
        <v>17</v>
      </c>
      <c r="B1531" t="str">
        <f>"603871"</f>
        <v>603871</v>
      </c>
      <c r="C1531" t="s">
        <v>3104</v>
      </c>
      <c r="D1531" t="s">
        <v>22</v>
      </c>
      <c r="F1531">
        <v>-788848207</v>
      </c>
      <c r="G1531">
        <v>-13979791</v>
      </c>
      <c r="H1531">
        <v>281536004</v>
      </c>
      <c r="I1531">
        <v>-179028380</v>
      </c>
      <c r="J1531">
        <v>166210270</v>
      </c>
      <c r="K1531">
        <v>172216372</v>
      </c>
      <c r="L1531">
        <v>121704410</v>
      </c>
      <c r="M1531">
        <v>17444023</v>
      </c>
      <c r="P1531">
        <v>324</v>
      </c>
      <c r="Q1531" t="s">
        <v>3105</v>
      </c>
    </row>
    <row r="1532" spans="1:17" x14ac:dyDescent="0.3">
      <c r="A1532" t="s">
        <v>17</v>
      </c>
      <c r="B1532" t="str">
        <f>"603876"</f>
        <v>603876</v>
      </c>
      <c r="C1532" t="s">
        <v>3106</v>
      </c>
      <c r="D1532" t="s">
        <v>234</v>
      </c>
      <c r="F1532">
        <v>523863812</v>
      </c>
      <c r="G1532">
        <v>-1067544316</v>
      </c>
      <c r="H1532">
        <v>-1073061558</v>
      </c>
      <c r="I1532">
        <v>-163648269</v>
      </c>
      <c r="J1532">
        <v>-141768264</v>
      </c>
      <c r="K1532">
        <v>-604044464</v>
      </c>
      <c r="L1532">
        <v>644760152</v>
      </c>
      <c r="P1532">
        <v>143</v>
      </c>
      <c r="Q1532" t="s">
        <v>3107</v>
      </c>
    </row>
    <row r="1533" spans="1:17" x14ac:dyDescent="0.3">
      <c r="A1533" t="s">
        <v>17</v>
      </c>
      <c r="B1533" t="str">
        <f>"603877"</f>
        <v>603877</v>
      </c>
      <c r="C1533" t="s">
        <v>3108</v>
      </c>
      <c r="D1533" t="s">
        <v>227</v>
      </c>
      <c r="F1533">
        <v>971448454</v>
      </c>
      <c r="G1533">
        <v>763572365</v>
      </c>
      <c r="H1533">
        <v>344408782</v>
      </c>
      <c r="I1533">
        <v>424172589</v>
      </c>
      <c r="J1533">
        <v>214024317</v>
      </c>
      <c r="K1533">
        <v>401090722</v>
      </c>
      <c r="L1533">
        <v>-1515995</v>
      </c>
      <c r="M1533">
        <v>262478059</v>
      </c>
      <c r="N1533">
        <v>114270018</v>
      </c>
      <c r="P1533">
        <v>364</v>
      </c>
      <c r="Q1533" t="s">
        <v>3109</v>
      </c>
    </row>
    <row r="1534" spans="1:17" x14ac:dyDescent="0.3">
      <c r="A1534" t="s">
        <v>17</v>
      </c>
      <c r="B1534" t="str">
        <f>"603878"</f>
        <v>603878</v>
      </c>
      <c r="C1534" t="s">
        <v>3110</v>
      </c>
      <c r="D1534" t="s">
        <v>38</v>
      </c>
      <c r="F1534">
        <v>386876944</v>
      </c>
      <c r="G1534">
        <v>278647275</v>
      </c>
      <c r="H1534">
        <v>-26322717</v>
      </c>
      <c r="I1534">
        <v>-28550573</v>
      </c>
      <c r="J1534">
        <v>-14041064</v>
      </c>
      <c r="K1534">
        <v>223848636</v>
      </c>
      <c r="L1534">
        <v>274892061</v>
      </c>
      <c r="M1534">
        <v>47113050</v>
      </c>
      <c r="N1534">
        <v>160065769</v>
      </c>
      <c r="P1534">
        <v>142</v>
      </c>
      <c r="Q1534" t="s">
        <v>3111</v>
      </c>
    </row>
    <row r="1535" spans="1:17" x14ac:dyDescent="0.3">
      <c r="A1535" t="s">
        <v>17</v>
      </c>
      <c r="B1535" t="str">
        <f>"603879"</f>
        <v>603879</v>
      </c>
      <c r="C1535" t="s">
        <v>3112</v>
      </c>
      <c r="D1535" t="s">
        <v>133</v>
      </c>
      <c r="F1535">
        <v>9588290</v>
      </c>
      <c r="G1535">
        <v>-223784</v>
      </c>
      <c r="H1535">
        <v>-9127357</v>
      </c>
      <c r="I1535">
        <v>35884877</v>
      </c>
      <c r="J1535">
        <v>20484858</v>
      </c>
      <c r="K1535">
        <v>32358842</v>
      </c>
      <c r="L1535">
        <v>39329272</v>
      </c>
      <c r="M1535">
        <v>21431106</v>
      </c>
      <c r="P1535">
        <v>55</v>
      </c>
      <c r="Q1535" t="s">
        <v>3113</v>
      </c>
    </row>
    <row r="1536" spans="1:17" x14ac:dyDescent="0.3">
      <c r="A1536" t="s">
        <v>17</v>
      </c>
      <c r="B1536" t="str">
        <f>"603880"</f>
        <v>603880</v>
      </c>
      <c r="C1536" t="s">
        <v>3114</v>
      </c>
      <c r="D1536" t="s">
        <v>113</v>
      </c>
      <c r="F1536">
        <v>-295917732</v>
      </c>
      <c r="G1536">
        <v>30877536</v>
      </c>
      <c r="H1536">
        <v>43671458</v>
      </c>
      <c r="I1536">
        <v>-23967745</v>
      </c>
      <c r="J1536">
        <v>18358992</v>
      </c>
      <c r="K1536">
        <v>45398077</v>
      </c>
      <c r="L1536">
        <v>46641752</v>
      </c>
      <c r="M1536">
        <v>67021560</v>
      </c>
      <c r="P1536">
        <v>125</v>
      </c>
      <c r="Q1536" t="s">
        <v>3115</v>
      </c>
    </row>
    <row r="1537" spans="1:17" x14ac:dyDescent="0.3">
      <c r="A1537" t="s">
        <v>17</v>
      </c>
      <c r="B1537" t="str">
        <f>"603881"</f>
        <v>603881</v>
      </c>
      <c r="C1537" t="s">
        <v>3116</v>
      </c>
      <c r="D1537" t="s">
        <v>212</v>
      </c>
      <c r="F1537">
        <v>-557726725</v>
      </c>
      <c r="G1537">
        <v>-1517922462</v>
      </c>
      <c r="H1537">
        <v>-1012838207</v>
      </c>
      <c r="I1537">
        <v>-368414175</v>
      </c>
      <c r="J1537">
        <v>-82730123</v>
      </c>
      <c r="K1537">
        <v>-36287323</v>
      </c>
      <c r="L1537">
        <v>-154783423</v>
      </c>
      <c r="M1537">
        <v>1401292</v>
      </c>
      <c r="N1537">
        <v>-118953312</v>
      </c>
      <c r="P1537">
        <v>486</v>
      </c>
      <c r="Q1537" t="s">
        <v>3117</v>
      </c>
    </row>
    <row r="1538" spans="1:17" x14ac:dyDescent="0.3">
      <c r="A1538" t="s">
        <v>17</v>
      </c>
      <c r="B1538" t="str">
        <f>"603882"</f>
        <v>603882</v>
      </c>
      <c r="C1538" t="s">
        <v>3118</v>
      </c>
      <c r="D1538" t="s">
        <v>113</v>
      </c>
      <c r="F1538">
        <v>1208783805</v>
      </c>
      <c r="G1538">
        <v>983061903</v>
      </c>
      <c r="H1538">
        <v>390836634</v>
      </c>
      <c r="I1538">
        <v>183696022</v>
      </c>
      <c r="J1538">
        <v>-96042502</v>
      </c>
      <c r="K1538">
        <v>-135971271</v>
      </c>
      <c r="L1538">
        <v>-115246306</v>
      </c>
      <c r="M1538">
        <v>-221494456</v>
      </c>
      <c r="P1538">
        <v>1846</v>
      </c>
      <c r="Q1538" t="s">
        <v>3119</v>
      </c>
    </row>
    <row r="1539" spans="1:17" x14ac:dyDescent="0.3">
      <c r="A1539" t="s">
        <v>17</v>
      </c>
      <c r="B1539" t="str">
        <f>"603883"</f>
        <v>603883</v>
      </c>
      <c r="C1539" t="s">
        <v>3120</v>
      </c>
      <c r="D1539" t="s">
        <v>113</v>
      </c>
      <c r="F1539">
        <v>1839210826</v>
      </c>
      <c r="G1539">
        <v>1057155356</v>
      </c>
      <c r="H1539">
        <v>607873856</v>
      </c>
      <c r="I1539">
        <v>40427394</v>
      </c>
      <c r="J1539">
        <v>191054625</v>
      </c>
      <c r="K1539">
        <v>128422668</v>
      </c>
      <c r="L1539">
        <v>109709250</v>
      </c>
      <c r="M1539">
        <v>131855358</v>
      </c>
      <c r="N1539">
        <v>67301808</v>
      </c>
      <c r="O1539">
        <v>84852688</v>
      </c>
      <c r="P1539">
        <v>868</v>
      </c>
      <c r="Q1539" t="s">
        <v>3121</v>
      </c>
    </row>
    <row r="1540" spans="1:17" x14ac:dyDescent="0.3">
      <c r="A1540" t="s">
        <v>17</v>
      </c>
      <c r="B1540" t="str">
        <f>"603885"</f>
        <v>603885</v>
      </c>
      <c r="C1540" t="s">
        <v>3122</v>
      </c>
      <c r="D1540" t="s">
        <v>22</v>
      </c>
      <c r="F1540">
        <v>-452730584</v>
      </c>
      <c r="G1540">
        <v>45125883</v>
      </c>
      <c r="H1540">
        <v>-254479882</v>
      </c>
      <c r="I1540">
        <v>-2824084286</v>
      </c>
      <c r="J1540">
        <v>-424318095</v>
      </c>
      <c r="K1540">
        <v>-1429498982</v>
      </c>
      <c r="L1540">
        <v>-2662647781</v>
      </c>
      <c r="M1540">
        <v>-457888595</v>
      </c>
      <c r="N1540">
        <v>532381038</v>
      </c>
      <c r="O1540">
        <v>-1219652315</v>
      </c>
      <c r="P1540">
        <v>475</v>
      </c>
      <c r="Q1540" t="s">
        <v>3123</v>
      </c>
    </row>
    <row r="1541" spans="1:17" x14ac:dyDescent="0.3">
      <c r="A1541" t="s">
        <v>17</v>
      </c>
      <c r="B1541" t="str">
        <f>"603886"</f>
        <v>603886</v>
      </c>
      <c r="C1541" t="s">
        <v>3124</v>
      </c>
      <c r="D1541" t="s">
        <v>123</v>
      </c>
      <c r="F1541">
        <v>565232896</v>
      </c>
      <c r="G1541">
        <v>430163850</v>
      </c>
      <c r="H1541">
        <v>319223693</v>
      </c>
      <c r="I1541">
        <v>262716774</v>
      </c>
      <c r="J1541">
        <v>198779843</v>
      </c>
      <c r="K1541">
        <v>214857169</v>
      </c>
      <c r="L1541">
        <v>163979812</v>
      </c>
      <c r="M1541">
        <v>130877354</v>
      </c>
      <c r="N1541">
        <v>191756112</v>
      </c>
      <c r="P1541">
        <v>3079</v>
      </c>
      <c r="Q1541" t="s">
        <v>3125</v>
      </c>
    </row>
    <row r="1542" spans="1:17" x14ac:dyDescent="0.3">
      <c r="A1542" t="s">
        <v>17</v>
      </c>
      <c r="B1542" t="str">
        <f>"603887"</f>
        <v>603887</v>
      </c>
      <c r="C1542" t="s">
        <v>3126</v>
      </c>
      <c r="D1542" t="s">
        <v>212</v>
      </c>
      <c r="F1542">
        <v>-748081833</v>
      </c>
      <c r="G1542">
        <v>90423733</v>
      </c>
      <c r="H1542">
        <v>129178087</v>
      </c>
      <c r="I1542">
        <v>-217005242</v>
      </c>
      <c r="J1542">
        <v>-156722398</v>
      </c>
      <c r="K1542">
        <v>-74058517</v>
      </c>
      <c r="L1542">
        <v>-3258347</v>
      </c>
      <c r="M1542">
        <v>-9902591</v>
      </c>
      <c r="N1542">
        <v>-31769817</v>
      </c>
      <c r="P1542">
        <v>241</v>
      </c>
      <c r="Q1542" t="s">
        <v>3127</v>
      </c>
    </row>
    <row r="1543" spans="1:17" x14ac:dyDescent="0.3">
      <c r="A1543" t="s">
        <v>17</v>
      </c>
      <c r="B1543" t="str">
        <f>"603888"</f>
        <v>603888</v>
      </c>
      <c r="C1543" t="s">
        <v>3128</v>
      </c>
      <c r="D1543" t="s">
        <v>89</v>
      </c>
      <c r="F1543">
        <v>173942366</v>
      </c>
      <c r="G1543">
        <v>254195839</v>
      </c>
      <c r="H1543">
        <v>-69226252</v>
      </c>
      <c r="I1543">
        <v>105351393</v>
      </c>
      <c r="J1543">
        <v>155942210</v>
      </c>
      <c r="K1543">
        <v>10515015</v>
      </c>
      <c r="L1543">
        <v>130271033</v>
      </c>
      <c r="M1543">
        <v>59854978</v>
      </c>
      <c r="N1543">
        <v>80537550</v>
      </c>
      <c r="P1543">
        <v>227</v>
      </c>
      <c r="Q1543" t="s">
        <v>3129</v>
      </c>
    </row>
    <row r="1544" spans="1:17" x14ac:dyDescent="0.3">
      <c r="A1544" t="s">
        <v>17</v>
      </c>
      <c r="B1544" t="str">
        <f>"603889"</f>
        <v>603889</v>
      </c>
      <c r="C1544" t="s">
        <v>3130</v>
      </c>
      <c r="D1544" t="s">
        <v>227</v>
      </c>
      <c r="F1544">
        <v>-192061972</v>
      </c>
      <c r="G1544">
        <v>253799572</v>
      </c>
      <c r="H1544">
        <v>66171521</v>
      </c>
      <c r="I1544">
        <v>-346920131</v>
      </c>
      <c r="J1544">
        <v>-125904924</v>
      </c>
      <c r="K1544">
        <v>-96879976</v>
      </c>
      <c r="L1544">
        <v>109857986</v>
      </c>
      <c r="M1544">
        <v>14301550</v>
      </c>
      <c r="N1544">
        <v>-49795277</v>
      </c>
      <c r="O1544">
        <v>54771548</v>
      </c>
      <c r="P1544">
        <v>122</v>
      </c>
      <c r="Q1544" t="s">
        <v>3131</v>
      </c>
    </row>
    <row r="1545" spans="1:17" x14ac:dyDescent="0.3">
      <c r="A1545" t="s">
        <v>17</v>
      </c>
      <c r="B1545" t="str">
        <f>"603890"</f>
        <v>603890</v>
      </c>
      <c r="C1545" t="s">
        <v>3132</v>
      </c>
      <c r="D1545" t="s">
        <v>150</v>
      </c>
      <c r="F1545">
        <v>-397069816</v>
      </c>
      <c r="G1545">
        <v>-377068971</v>
      </c>
      <c r="H1545">
        <v>-166290806</v>
      </c>
      <c r="I1545">
        <v>-441137918</v>
      </c>
      <c r="J1545">
        <v>89977908</v>
      </c>
      <c r="K1545">
        <v>88119582</v>
      </c>
      <c r="L1545">
        <v>69568344</v>
      </c>
      <c r="M1545">
        <v>23809599</v>
      </c>
      <c r="P1545">
        <v>155</v>
      </c>
      <c r="Q1545" t="s">
        <v>3133</v>
      </c>
    </row>
    <row r="1546" spans="1:17" x14ac:dyDescent="0.3">
      <c r="A1546" t="s">
        <v>17</v>
      </c>
      <c r="B1546" t="str">
        <f>"603893"</f>
        <v>603893</v>
      </c>
      <c r="C1546" t="s">
        <v>3134</v>
      </c>
      <c r="D1546" t="s">
        <v>150</v>
      </c>
      <c r="F1546">
        <v>85732673</v>
      </c>
      <c r="G1546">
        <v>368637080</v>
      </c>
      <c r="H1546">
        <v>310089547</v>
      </c>
      <c r="I1546">
        <v>285250769</v>
      </c>
      <c r="J1546">
        <v>55143933</v>
      </c>
      <c r="K1546">
        <v>15453110</v>
      </c>
      <c r="P1546">
        <v>444</v>
      </c>
      <c r="Q1546" t="s">
        <v>3135</v>
      </c>
    </row>
    <row r="1547" spans="1:17" x14ac:dyDescent="0.3">
      <c r="A1547" t="s">
        <v>17</v>
      </c>
      <c r="B1547" t="str">
        <f>"603895"</f>
        <v>603895</v>
      </c>
      <c r="C1547" t="s">
        <v>3136</v>
      </c>
      <c r="D1547" t="s">
        <v>78</v>
      </c>
      <c r="F1547">
        <v>-206091394</v>
      </c>
      <c r="G1547">
        <v>85990664</v>
      </c>
      <c r="H1547">
        <v>-88180324</v>
      </c>
      <c r="I1547">
        <v>-71777256</v>
      </c>
      <c r="J1547">
        <v>-62970125</v>
      </c>
      <c r="K1547">
        <v>-60329071</v>
      </c>
      <c r="L1547">
        <v>73207558</v>
      </c>
      <c r="M1547">
        <v>-15245763</v>
      </c>
      <c r="P1547">
        <v>65</v>
      </c>
      <c r="Q1547" t="s">
        <v>3137</v>
      </c>
    </row>
    <row r="1548" spans="1:17" x14ac:dyDescent="0.3">
      <c r="A1548" t="s">
        <v>17</v>
      </c>
      <c r="B1548" t="str">
        <f>"603896"</f>
        <v>603896</v>
      </c>
      <c r="C1548" t="s">
        <v>3138</v>
      </c>
      <c r="D1548" t="s">
        <v>113</v>
      </c>
      <c r="F1548">
        <v>135127093</v>
      </c>
      <c r="G1548">
        <v>191379856</v>
      </c>
      <c r="H1548">
        <v>116466260</v>
      </c>
      <c r="I1548">
        <v>-61329622</v>
      </c>
      <c r="J1548">
        <v>79355889</v>
      </c>
      <c r="K1548">
        <v>55267120</v>
      </c>
      <c r="L1548">
        <v>-45843688</v>
      </c>
      <c r="M1548">
        <v>-31787977</v>
      </c>
      <c r="P1548">
        <v>232</v>
      </c>
      <c r="Q1548" t="s">
        <v>3139</v>
      </c>
    </row>
    <row r="1549" spans="1:17" x14ac:dyDescent="0.3">
      <c r="A1549" t="s">
        <v>17</v>
      </c>
      <c r="B1549" t="str">
        <f>"603897"</f>
        <v>603897</v>
      </c>
      <c r="C1549" t="s">
        <v>3140</v>
      </c>
      <c r="D1549" t="s">
        <v>188</v>
      </c>
      <c r="F1549">
        <v>-657104562</v>
      </c>
      <c r="G1549">
        <v>56032790</v>
      </c>
      <c r="H1549">
        <v>124601769</v>
      </c>
      <c r="I1549">
        <v>-519175344</v>
      </c>
      <c r="J1549">
        <v>61876582</v>
      </c>
      <c r="K1549">
        <v>47989884</v>
      </c>
      <c r="L1549">
        <v>352873141</v>
      </c>
      <c r="P1549">
        <v>138</v>
      </c>
      <c r="Q1549" t="s">
        <v>3141</v>
      </c>
    </row>
    <row r="1550" spans="1:17" x14ac:dyDescent="0.3">
      <c r="A1550" t="s">
        <v>17</v>
      </c>
      <c r="B1550" t="str">
        <f>"603898"</f>
        <v>603898</v>
      </c>
      <c r="C1550" t="s">
        <v>3142</v>
      </c>
      <c r="D1550" t="s">
        <v>161</v>
      </c>
      <c r="F1550">
        <v>75914670</v>
      </c>
      <c r="G1550">
        <v>205554813</v>
      </c>
      <c r="H1550">
        <v>-84003048</v>
      </c>
      <c r="I1550">
        <v>-82231895</v>
      </c>
      <c r="J1550">
        <v>158337688</v>
      </c>
      <c r="K1550">
        <v>228756360</v>
      </c>
      <c r="L1550">
        <v>-151734505</v>
      </c>
      <c r="M1550">
        <v>105802052</v>
      </c>
      <c r="N1550">
        <v>128616855</v>
      </c>
      <c r="O1550">
        <v>35491504</v>
      </c>
      <c r="P1550">
        <v>835</v>
      </c>
      <c r="Q1550" t="s">
        <v>3143</v>
      </c>
    </row>
    <row r="1551" spans="1:17" x14ac:dyDescent="0.3">
      <c r="A1551" t="s">
        <v>17</v>
      </c>
      <c r="B1551" t="str">
        <f>"603899"</f>
        <v>603899</v>
      </c>
      <c r="C1551" t="s">
        <v>3144</v>
      </c>
      <c r="D1551" t="s">
        <v>161</v>
      </c>
      <c r="F1551">
        <v>1190473668</v>
      </c>
      <c r="G1551">
        <v>947778961</v>
      </c>
      <c r="H1551">
        <v>709666009</v>
      </c>
      <c r="I1551">
        <v>510626253</v>
      </c>
      <c r="J1551">
        <v>181927051</v>
      </c>
      <c r="K1551">
        <v>474598905</v>
      </c>
      <c r="L1551">
        <v>368804573</v>
      </c>
      <c r="M1551">
        <v>94009852</v>
      </c>
      <c r="N1551">
        <v>-34988179</v>
      </c>
      <c r="O1551">
        <v>145213945</v>
      </c>
      <c r="P1551">
        <v>25828</v>
      </c>
      <c r="Q1551" t="s">
        <v>3145</v>
      </c>
    </row>
    <row r="1552" spans="1:17" x14ac:dyDescent="0.3">
      <c r="A1552" t="s">
        <v>17</v>
      </c>
      <c r="B1552" t="str">
        <f>"603900"</f>
        <v>603900</v>
      </c>
      <c r="C1552" t="s">
        <v>3146</v>
      </c>
      <c r="D1552" t="s">
        <v>227</v>
      </c>
      <c r="F1552">
        <v>-83581856</v>
      </c>
      <c r="G1552">
        <v>320471155</v>
      </c>
      <c r="H1552">
        <v>-107199395</v>
      </c>
      <c r="I1552">
        <v>124518919</v>
      </c>
      <c r="J1552">
        <v>121134454</v>
      </c>
      <c r="K1552">
        <v>7278654</v>
      </c>
      <c r="L1552">
        <v>90801053</v>
      </c>
      <c r="M1552">
        <v>38704125</v>
      </c>
      <c r="N1552">
        <v>-58038071</v>
      </c>
      <c r="P1552">
        <v>137</v>
      </c>
      <c r="Q1552" t="s">
        <v>3147</v>
      </c>
    </row>
    <row r="1553" spans="1:17" x14ac:dyDescent="0.3">
      <c r="A1553" t="s">
        <v>17</v>
      </c>
      <c r="B1553" t="str">
        <f>"603901"</f>
        <v>603901</v>
      </c>
      <c r="C1553" t="s">
        <v>3148</v>
      </c>
      <c r="D1553" t="s">
        <v>78</v>
      </c>
      <c r="F1553">
        <v>-72819241</v>
      </c>
      <c r="G1553">
        <v>206075757</v>
      </c>
      <c r="H1553">
        <v>51085923</v>
      </c>
      <c r="I1553">
        <v>26885907</v>
      </c>
      <c r="J1553">
        <v>-5178364</v>
      </c>
      <c r="K1553">
        <v>-40383240</v>
      </c>
      <c r="L1553">
        <v>-50327854</v>
      </c>
      <c r="M1553">
        <v>30599948</v>
      </c>
      <c r="N1553">
        <v>967559</v>
      </c>
      <c r="O1553">
        <v>-37388961</v>
      </c>
      <c r="P1553">
        <v>140</v>
      </c>
      <c r="Q1553" t="s">
        <v>3149</v>
      </c>
    </row>
    <row r="1554" spans="1:17" x14ac:dyDescent="0.3">
      <c r="A1554" t="s">
        <v>17</v>
      </c>
      <c r="B1554" t="str">
        <f>"603903"</f>
        <v>603903</v>
      </c>
      <c r="C1554" t="s">
        <v>3150</v>
      </c>
      <c r="D1554" t="s">
        <v>33</v>
      </c>
      <c r="F1554">
        <v>-207937695</v>
      </c>
      <c r="G1554">
        <v>52677483</v>
      </c>
      <c r="H1554">
        <v>75283701</v>
      </c>
      <c r="I1554">
        <v>-222272156</v>
      </c>
      <c r="J1554">
        <v>-238871088</v>
      </c>
      <c r="K1554">
        <v>51555525</v>
      </c>
      <c r="L1554">
        <v>-41374449</v>
      </c>
      <c r="M1554">
        <v>-58571565</v>
      </c>
      <c r="P1554">
        <v>119</v>
      </c>
      <c r="Q1554" t="s">
        <v>3151</v>
      </c>
    </row>
    <row r="1555" spans="1:17" x14ac:dyDescent="0.3">
      <c r="A1555" t="s">
        <v>17</v>
      </c>
      <c r="B1555" t="str">
        <f>"603906"</f>
        <v>603906</v>
      </c>
      <c r="C1555" t="s">
        <v>3152</v>
      </c>
      <c r="D1555" t="s">
        <v>133</v>
      </c>
      <c r="F1555">
        <v>-917661409</v>
      </c>
      <c r="G1555">
        <v>57708510</v>
      </c>
      <c r="H1555">
        <v>168999579</v>
      </c>
      <c r="I1555">
        <v>119097868</v>
      </c>
      <c r="J1555">
        <v>-47684138</v>
      </c>
      <c r="K1555">
        <v>8358707</v>
      </c>
      <c r="L1555">
        <v>-129771915</v>
      </c>
      <c r="M1555">
        <v>-36263250</v>
      </c>
      <c r="P1555">
        <v>184</v>
      </c>
      <c r="Q1555" t="s">
        <v>3153</v>
      </c>
    </row>
    <row r="1556" spans="1:17" x14ac:dyDescent="0.3">
      <c r="A1556" t="s">
        <v>17</v>
      </c>
      <c r="B1556" t="str">
        <f>"603908"</f>
        <v>603908</v>
      </c>
      <c r="C1556" t="s">
        <v>3154</v>
      </c>
      <c r="D1556" t="s">
        <v>227</v>
      </c>
      <c r="F1556">
        <v>-68334439</v>
      </c>
      <c r="G1556">
        <v>10014340</v>
      </c>
      <c r="H1556">
        <v>25690766</v>
      </c>
      <c r="I1556">
        <v>21506502</v>
      </c>
      <c r="J1556">
        <v>20087753</v>
      </c>
      <c r="K1556">
        <v>37045120</v>
      </c>
      <c r="L1556">
        <v>67766523</v>
      </c>
      <c r="M1556">
        <v>5968737</v>
      </c>
      <c r="P1556">
        <v>114</v>
      </c>
      <c r="Q1556" t="s">
        <v>3155</v>
      </c>
    </row>
    <row r="1557" spans="1:17" x14ac:dyDescent="0.3">
      <c r="A1557" t="s">
        <v>17</v>
      </c>
      <c r="B1557" t="str">
        <f>"603909"</f>
        <v>603909</v>
      </c>
      <c r="C1557" t="s">
        <v>3156</v>
      </c>
      <c r="D1557" t="s">
        <v>95</v>
      </c>
      <c r="F1557">
        <v>50459069</v>
      </c>
      <c r="G1557">
        <v>73872261</v>
      </c>
      <c r="H1557">
        <v>70560203</v>
      </c>
      <c r="I1557">
        <v>-27189525</v>
      </c>
      <c r="J1557">
        <v>-37491240</v>
      </c>
      <c r="K1557">
        <v>-15292649</v>
      </c>
      <c r="L1557">
        <v>11558044</v>
      </c>
      <c r="M1557">
        <v>14085716</v>
      </c>
      <c r="N1557">
        <v>1787869</v>
      </c>
      <c r="P1557">
        <v>65</v>
      </c>
      <c r="Q1557" t="s">
        <v>3157</v>
      </c>
    </row>
    <row r="1558" spans="1:17" x14ac:dyDescent="0.3">
      <c r="A1558" t="s">
        <v>17</v>
      </c>
      <c r="B1558" t="str">
        <f>"603912"</f>
        <v>603912</v>
      </c>
      <c r="C1558" t="s">
        <v>3158</v>
      </c>
      <c r="D1558" t="s">
        <v>78</v>
      </c>
      <c r="F1558">
        <v>-94847090</v>
      </c>
      <c r="G1558">
        <v>-10449757</v>
      </c>
      <c r="H1558">
        <v>222880346</v>
      </c>
      <c r="I1558">
        <v>53860196</v>
      </c>
      <c r="J1558">
        <v>53359579</v>
      </c>
      <c r="K1558">
        <v>76302516</v>
      </c>
      <c r="L1558">
        <v>44799374</v>
      </c>
      <c r="M1558">
        <v>7484699</v>
      </c>
      <c r="P1558">
        <v>287</v>
      </c>
      <c r="Q1558" t="s">
        <v>3159</v>
      </c>
    </row>
    <row r="1559" spans="1:17" x14ac:dyDescent="0.3">
      <c r="A1559" t="s">
        <v>17</v>
      </c>
      <c r="B1559" t="str">
        <f>"603915"</f>
        <v>603915</v>
      </c>
      <c r="C1559" t="s">
        <v>3160</v>
      </c>
      <c r="D1559" t="s">
        <v>78</v>
      </c>
      <c r="F1559">
        <v>63421368</v>
      </c>
      <c r="G1559">
        <v>145252011</v>
      </c>
      <c r="H1559">
        <v>219176826</v>
      </c>
      <c r="I1559">
        <v>143534380</v>
      </c>
      <c r="J1559">
        <v>41664285</v>
      </c>
      <c r="K1559">
        <v>142920624</v>
      </c>
      <c r="P1559">
        <v>161</v>
      </c>
      <c r="Q1559" t="s">
        <v>3161</v>
      </c>
    </row>
    <row r="1560" spans="1:17" x14ac:dyDescent="0.3">
      <c r="A1560" t="s">
        <v>17</v>
      </c>
      <c r="B1560" t="str">
        <f>"603916"</f>
        <v>603916</v>
      </c>
      <c r="C1560" t="s">
        <v>3162</v>
      </c>
      <c r="D1560" t="s">
        <v>133</v>
      </c>
      <c r="F1560">
        <v>50384343</v>
      </c>
      <c r="G1560">
        <v>-11915843</v>
      </c>
      <c r="H1560">
        <v>197336159</v>
      </c>
      <c r="I1560">
        <v>-145235750</v>
      </c>
      <c r="J1560">
        <v>-171960211</v>
      </c>
      <c r="K1560">
        <v>-32224783</v>
      </c>
      <c r="L1560">
        <v>-99318085</v>
      </c>
      <c r="M1560">
        <v>-144233276</v>
      </c>
      <c r="P1560">
        <v>274</v>
      </c>
      <c r="Q1560" t="s">
        <v>3163</v>
      </c>
    </row>
    <row r="1561" spans="1:17" x14ac:dyDescent="0.3">
      <c r="A1561" t="s">
        <v>17</v>
      </c>
      <c r="B1561" t="str">
        <f>"603917"</f>
        <v>603917</v>
      </c>
      <c r="C1561" t="s">
        <v>3164</v>
      </c>
      <c r="D1561" t="s">
        <v>27</v>
      </c>
      <c r="F1561">
        <v>80261342</v>
      </c>
      <c r="G1561">
        <v>76446804</v>
      </c>
      <c r="H1561">
        <v>-61303426</v>
      </c>
      <c r="I1561">
        <v>-146214567</v>
      </c>
      <c r="J1561">
        <v>3341681</v>
      </c>
      <c r="K1561">
        <v>24752532</v>
      </c>
      <c r="L1561">
        <v>-8920703</v>
      </c>
      <c r="M1561">
        <v>13403834</v>
      </c>
      <c r="P1561">
        <v>73</v>
      </c>
      <c r="Q1561" t="s">
        <v>3165</v>
      </c>
    </row>
    <row r="1562" spans="1:17" x14ac:dyDescent="0.3">
      <c r="A1562" t="s">
        <v>17</v>
      </c>
      <c r="B1562" t="str">
        <f>"603918"</f>
        <v>603918</v>
      </c>
      <c r="C1562" t="s">
        <v>3166</v>
      </c>
      <c r="D1562" t="s">
        <v>212</v>
      </c>
      <c r="F1562">
        <v>66492202</v>
      </c>
      <c r="G1562">
        <v>87837695</v>
      </c>
      <c r="H1562">
        <v>-28806880</v>
      </c>
      <c r="I1562">
        <v>-25049290</v>
      </c>
      <c r="J1562">
        <v>52383255</v>
      </c>
      <c r="K1562">
        <v>21433031</v>
      </c>
      <c r="L1562">
        <v>21277781</v>
      </c>
      <c r="M1562">
        <v>66712484</v>
      </c>
      <c r="N1562">
        <v>30423450</v>
      </c>
      <c r="O1562">
        <v>12545271</v>
      </c>
      <c r="P1562">
        <v>143</v>
      </c>
      <c r="Q1562" t="s">
        <v>3167</v>
      </c>
    </row>
    <row r="1563" spans="1:17" x14ac:dyDescent="0.3">
      <c r="A1563" t="s">
        <v>17</v>
      </c>
      <c r="B1563" t="str">
        <f>"603919"</f>
        <v>603919</v>
      </c>
      <c r="C1563" t="s">
        <v>3168</v>
      </c>
      <c r="D1563" t="s">
        <v>123</v>
      </c>
      <c r="F1563">
        <v>221307450</v>
      </c>
      <c r="G1563">
        <v>195237346</v>
      </c>
      <c r="H1563">
        <v>182910068</v>
      </c>
      <c r="I1563">
        <v>-231318659</v>
      </c>
      <c r="J1563">
        <v>-154776749</v>
      </c>
      <c r="K1563">
        <v>239808797</v>
      </c>
      <c r="L1563">
        <v>101351770</v>
      </c>
      <c r="M1563">
        <v>-141960324</v>
      </c>
      <c r="N1563">
        <v>20846666</v>
      </c>
      <c r="P1563">
        <v>447</v>
      </c>
      <c r="Q1563" t="s">
        <v>3169</v>
      </c>
    </row>
    <row r="1564" spans="1:17" x14ac:dyDescent="0.3">
      <c r="A1564" t="s">
        <v>17</v>
      </c>
      <c r="B1564" t="str">
        <f>"603920"</f>
        <v>603920</v>
      </c>
      <c r="C1564" t="s">
        <v>3170</v>
      </c>
      <c r="D1564" t="s">
        <v>150</v>
      </c>
      <c r="F1564">
        <v>-250562500</v>
      </c>
      <c r="G1564">
        <v>-47553862</v>
      </c>
      <c r="H1564">
        <v>307910159</v>
      </c>
      <c r="I1564">
        <v>-265454574</v>
      </c>
      <c r="J1564">
        <v>34174582</v>
      </c>
      <c r="K1564">
        <v>185367104</v>
      </c>
      <c r="L1564">
        <v>184381702</v>
      </c>
      <c r="M1564">
        <v>185044738</v>
      </c>
      <c r="P1564">
        <v>267</v>
      </c>
      <c r="Q1564" t="s">
        <v>3171</v>
      </c>
    </row>
    <row r="1565" spans="1:17" x14ac:dyDescent="0.3">
      <c r="A1565" t="s">
        <v>17</v>
      </c>
      <c r="B1565" t="str">
        <f>"603922"</f>
        <v>603922</v>
      </c>
      <c r="C1565" t="s">
        <v>3172</v>
      </c>
      <c r="D1565" t="s">
        <v>27</v>
      </c>
      <c r="F1565">
        <v>145395294</v>
      </c>
      <c r="G1565">
        <v>91064970</v>
      </c>
      <c r="H1565">
        <v>82465673</v>
      </c>
      <c r="I1565">
        <v>-39869322</v>
      </c>
      <c r="J1565">
        <v>-49633194</v>
      </c>
      <c r="K1565">
        <v>22317812</v>
      </c>
      <c r="L1565">
        <v>98612307</v>
      </c>
      <c r="M1565">
        <v>125381216</v>
      </c>
      <c r="P1565">
        <v>54</v>
      </c>
      <c r="Q1565" t="s">
        <v>3173</v>
      </c>
    </row>
    <row r="1566" spans="1:17" x14ac:dyDescent="0.3">
      <c r="A1566" t="s">
        <v>17</v>
      </c>
      <c r="B1566" t="str">
        <f>"603926"</f>
        <v>603926</v>
      </c>
      <c r="C1566" t="s">
        <v>3174</v>
      </c>
      <c r="D1566" t="s">
        <v>27</v>
      </c>
      <c r="F1566">
        <v>51367717</v>
      </c>
      <c r="G1566">
        <v>120582690</v>
      </c>
      <c r="H1566">
        <v>205818009</v>
      </c>
      <c r="I1566">
        <v>45240470</v>
      </c>
      <c r="J1566">
        <v>12483510</v>
      </c>
      <c r="K1566">
        <v>44798704</v>
      </c>
      <c r="L1566">
        <v>84475476</v>
      </c>
      <c r="M1566">
        <v>88629772</v>
      </c>
      <c r="P1566">
        <v>104</v>
      </c>
      <c r="Q1566" t="s">
        <v>3175</v>
      </c>
    </row>
    <row r="1567" spans="1:17" x14ac:dyDescent="0.3">
      <c r="A1567" t="s">
        <v>17</v>
      </c>
      <c r="B1567" t="str">
        <f>"603927"</f>
        <v>603927</v>
      </c>
      <c r="C1567" t="s">
        <v>3176</v>
      </c>
      <c r="D1567" t="s">
        <v>212</v>
      </c>
      <c r="F1567">
        <v>264014075</v>
      </c>
      <c r="G1567">
        <v>676187228</v>
      </c>
      <c r="H1567">
        <v>369501105</v>
      </c>
      <c r="I1567">
        <v>545567676</v>
      </c>
      <c r="J1567">
        <v>190665068</v>
      </c>
      <c r="K1567">
        <v>386820068</v>
      </c>
      <c r="P1567">
        <v>823</v>
      </c>
      <c r="Q1567" t="s">
        <v>3177</v>
      </c>
    </row>
    <row r="1568" spans="1:17" x14ac:dyDescent="0.3">
      <c r="A1568" t="s">
        <v>17</v>
      </c>
      <c r="B1568" t="str">
        <f>"603928"</f>
        <v>603928</v>
      </c>
      <c r="C1568" t="s">
        <v>3178</v>
      </c>
      <c r="D1568" t="s">
        <v>133</v>
      </c>
      <c r="F1568">
        <v>-20447244</v>
      </c>
      <c r="G1568">
        <v>86671545</v>
      </c>
      <c r="H1568">
        <v>49295060</v>
      </c>
      <c r="I1568">
        <v>-77822571</v>
      </c>
      <c r="J1568">
        <v>-93214119</v>
      </c>
      <c r="K1568">
        <v>29505149</v>
      </c>
      <c r="L1568">
        <v>77209698</v>
      </c>
      <c r="M1568">
        <v>62897478</v>
      </c>
      <c r="N1568">
        <v>70065619</v>
      </c>
      <c r="P1568">
        <v>102</v>
      </c>
      <c r="Q1568" t="s">
        <v>3179</v>
      </c>
    </row>
    <row r="1569" spans="1:17" x14ac:dyDescent="0.3">
      <c r="A1569" t="s">
        <v>17</v>
      </c>
      <c r="B1569" t="str">
        <f>"603929"</f>
        <v>603929</v>
      </c>
      <c r="C1569" t="s">
        <v>3180</v>
      </c>
      <c r="D1569" t="s">
        <v>95</v>
      </c>
      <c r="F1569">
        <v>39155046</v>
      </c>
      <c r="G1569">
        <v>-99419254</v>
      </c>
      <c r="H1569">
        <v>-219623051</v>
      </c>
      <c r="I1569">
        <v>237420639</v>
      </c>
      <c r="J1569">
        <v>-137007312</v>
      </c>
      <c r="K1569">
        <v>273700102</v>
      </c>
      <c r="L1569">
        <v>119366394</v>
      </c>
      <c r="M1569">
        <v>-82688947</v>
      </c>
      <c r="N1569">
        <v>-29877917</v>
      </c>
      <c r="P1569">
        <v>109</v>
      </c>
      <c r="Q1569" t="s">
        <v>3181</v>
      </c>
    </row>
    <row r="1570" spans="1:17" x14ac:dyDescent="0.3">
      <c r="A1570" t="s">
        <v>17</v>
      </c>
      <c r="B1570" t="str">
        <f>"603931"</f>
        <v>603931</v>
      </c>
      <c r="C1570" t="s">
        <v>3182</v>
      </c>
      <c r="D1570" t="s">
        <v>150</v>
      </c>
      <c r="F1570">
        <v>37193125</v>
      </c>
      <c r="G1570">
        <v>98277690</v>
      </c>
      <c r="H1570">
        <v>60813550</v>
      </c>
      <c r="I1570">
        <v>54969861</v>
      </c>
      <c r="J1570">
        <v>109868735</v>
      </c>
      <c r="P1570">
        <v>89</v>
      </c>
      <c r="Q1570" t="s">
        <v>3183</v>
      </c>
    </row>
    <row r="1571" spans="1:17" x14ac:dyDescent="0.3">
      <c r="A1571" t="s">
        <v>17</v>
      </c>
      <c r="B1571" t="str">
        <f>"603933"</f>
        <v>603933</v>
      </c>
      <c r="C1571" t="s">
        <v>3184</v>
      </c>
      <c r="D1571" t="s">
        <v>150</v>
      </c>
      <c r="F1571">
        <v>-72762509</v>
      </c>
      <c r="G1571">
        <v>36213281</v>
      </c>
      <c r="H1571">
        <v>32755723</v>
      </c>
      <c r="I1571">
        <v>-68600613</v>
      </c>
      <c r="J1571">
        <v>-44919920</v>
      </c>
      <c r="K1571">
        <v>51602859</v>
      </c>
      <c r="L1571">
        <v>12601753</v>
      </c>
      <c r="M1571">
        <v>38189299</v>
      </c>
      <c r="P1571">
        <v>122</v>
      </c>
      <c r="Q1571" t="s">
        <v>3185</v>
      </c>
    </row>
    <row r="1572" spans="1:17" x14ac:dyDescent="0.3">
      <c r="A1572" t="s">
        <v>17</v>
      </c>
      <c r="B1572" t="str">
        <f>"603936"</f>
        <v>603936</v>
      </c>
      <c r="C1572" t="s">
        <v>3186</v>
      </c>
      <c r="D1572" t="s">
        <v>150</v>
      </c>
      <c r="F1572">
        <v>-356657422</v>
      </c>
      <c r="G1572">
        <v>-234748692</v>
      </c>
      <c r="H1572">
        <v>57676198</v>
      </c>
      <c r="I1572">
        <v>21721741</v>
      </c>
      <c r="J1572">
        <v>5334623</v>
      </c>
      <c r="K1572">
        <v>-144761867</v>
      </c>
      <c r="L1572">
        <v>-154414142</v>
      </c>
      <c r="M1572">
        <v>-1789782</v>
      </c>
      <c r="N1572">
        <v>-92580760</v>
      </c>
      <c r="O1572">
        <v>31033884</v>
      </c>
      <c r="P1572">
        <v>222</v>
      </c>
      <c r="Q1572" t="s">
        <v>3187</v>
      </c>
    </row>
    <row r="1573" spans="1:17" x14ac:dyDescent="0.3">
      <c r="A1573" t="s">
        <v>17</v>
      </c>
      <c r="B1573" t="str">
        <f>"603937"</f>
        <v>603937</v>
      </c>
      <c r="C1573" t="s">
        <v>3188</v>
      </c>
      <c r="D1573" t="s">
        <v>234</v>
      </c>
      <c r="F1573">
        <v>-56599065</v>
      </c>
      <c r="G1573">
        <v>94778595</v>
      </c>
      <c r="H1573">
        <v>50790341</v>
      </c>
      <c r="I1573">
        <v>-47084881</v>
      </c>
      <c r="J1573">
        <v>37368798</v>
      </c>
      <c r="K1573">
        <v>-13665369</v>
      </c>
      <c r="L1573">
        <v>12442302</v>
      </c>
      <c r="M1573">
        <v>51543418</v>
      </c>
      <c r="P1573">
        <v>61</v>
      </c>
      <c r="Q1573" t="s">
        <v>3189</v>
      </c>
    </row>
    <row r="1574" spans="1:17" x14ac:dyDescent="0.3">
      <c r="A1574" t="s">
        <v>17</v>
      </c>
      <c r="B1574" t="str">
        <f>"603938"</f>
        <v>603938</v>
      </c>
      <c r="C1574" t="s">
        <v>3190</v>
      </c>
      <c r="D1574" t="s">
        <v>133</v>
      </c>
      <c r="F1574">
        <v>-79271096</v>
      </c>
      <c r="G1574">
        <v>-52233167</v>
      </c>
      <c r="H1574">
        <v>-85675178</v>
      </c>
      <c r="I1574">
        <v>69508388</v>
      </c>
      <c r="J1574">
        <v>-30633011</v>
      </c>
      <c r="K1574">
        <v>39901217</v>
      </c>
      <c r="L1574">
        <v>-1968356</v>
      </c>
      <c r="M1574">
        <v>11941516</v>
      </c>
      <c r="P1574">
        <v>103</v>
      </c>
      <c r="Q1574" t="s">
        <v>3191</v>
      </c>
    </row>
    <row r="1575" spans="1:17" x14ac:dyDescent="0.3">
      <c r="A1575" t="s">
        <v>17</v>
      </c>
      <c r="B1575" t="str">
        <f>"603939"</f>
        <v>603939</v>
      </c>
      <c r="C1575" t="s">
        <v>3192</v>
      </c>
      <c r="D1575" t="s">
        <v>113</v>
      </c>
      <c r="F1575">
        <v>1328954184</v>
      </c>
      <c r="G1575">
        <v>756731537</v>
      </c>
      <c r="H1575">
        <v>511444783</v>
      </c>
      <c r="I1575">
        <v>278493649</v>
      </c>
      <c r="J1575">
        <v>111647754</v>
      </c>
      <c r="K1575">
        <v>-114512700</v>
      </c>
      <c r="L1575">
        <v>19528898</v>
      </c>
      <c r="M1575">
        <v>116650362</v>
      </c>
      <c r="N1575">
        <v>100306656</v>
      </c>
      <c r="O1575">
        <v>-10836619</v>
      </c>
      <c r="P1575">
        <v>1483</v>
      </c>
      <c r="Q1575" t="s">
        <v>3193</v>
      </c>
    </row>
    <row r="1576" spans="1:17" x14ac:dyDescent="0.3">
      <c r="A1576" t="s">
        <v>17</v>
      </c>
      <c r="B1576" t="str">
        <f>"603948"</f>
        <v>603948</v>
      </c>
      <c r="C1576" t="s">
        <v>3194</v>
      </c>
      <c r="D1576" t="s">
        <v>133</v>
      </c>
      <c r="F1576">
        <v>88991056</v>
      </c>
      <c r="G1576">
        <v>67794229</v>
      </c>
      <c r="H1576">
        <v>85884857</v>
      </c>
      <c r="I1576">
        <v>220672356</v>
      </c>
      <c r="J1576">
        <v>109111185</v>
      </c>
      <c r="P1576">
        <v>60</v>
      </c>
      <c r="Q1576" t="s">
        <v>3195</v>
      </c>
    </row>
    <row r="1577" spans="1:17" x14ac:dyDescent="0.3">
      <c r="A1577" t="s">
        <v>17</v>
      </c>
      <c r="B1577" t="str">
        <f>"603949"</f>
        <v>603949</v>
      </c>
      <c r="C1577" t="s">
        <v>3196</v>
      </c>
      <c r="D1577" t="s">
        <v>27</v>
      </c>
      <c r="F1577">
        <v>132484876</v>
      </c>
      <c r="G1577">
        <v>9940139</v>
      </c>
      <c r="H1577">
        <v>23407402</v>
      </c>
      <c r="I1577">
        <v>127882358</v>
      </c>
      <c r="J1577">
        <v>46269431</v>
      </c>
      <c r="K1577">
        <v>37424465</v>
      </c>
      <c r="P1577">
        <v>158</v>
      </c>
      <c r="Q1577" t="s">
        <v>3197</v>
      </c>
    </row>
    <row r="1578" spans="1:17" x14ac:dyDescent="0.3">
      <c r="A1578" t="s">
        <v>17</v>
      </c>
      <c r="B1578" t="str">
        <f>"603950"</f>
        <v>603950</v>
      </c>
      <c r="C1578" t="s">
        <v>3198</v>
      </c>
      <c r="D1578" t="s">
        <v>27</v>
      </c>
      <c r="F1578">
        <v>256538881</v>
      </c>
      <c r="G1578">
        <v>55311896</v>
      </c>
      <c r="H1578">
        <v>-15556014</v>
      </c>
      <c r="I1578">
        <v>-305910336</v>
      </c>
      <c r="J1578">
        <v>14307065</v>
      </c>
      <c r="P1578">
        <v>97</v>
      </c>
      <c r="Q1578" t="s">
        <v>3199</v>
      </c>
    </row>
    <row r="1579" spans="1:17" x14ac:dyDescent="0.3">
      <c r="A1579" t="s">
        <v>17</v>
      </c>
      <c r="B1579" t="str">
        <f>"603955"</f>
        <v>603955</v>
      </c>
      <c r="C1579" t="s">
        <v>3200</v>
      </c>
      <c r="D1579" t="s">
        <v>95</v>
      </c>
      <c r="F1579">
        <v>13203028</v>
      </c>
      <c r="G1579">
        <v>25451322</v>
      </c>
      <c r="H1579">
        <v>133180433</v>
      </c>
      <c r="I1579">
        <v>-285926164</v>
      </c>
      <c r="J1579">
        <v>-319956100</v>
      </c>
      <c r="K1579">
        <v>68782349</v>
      </c>
      <c r="L1579">
        <v>9565159</v>
      </c>
      <c r="M1579">
        <v>-98625602</v>
      </c>
      <c r="N1579">
        <v>-131524208</v>
      </c>
      <c r="P1579">
        <v>60</v>
      </c>
      <c r="Q1579" t="s">
        <v>3201</v>
      </c>
    </row>
    <row r="1580" spans="1:17" x14ac:dyDescent="0.3">
      <c r="A1580" t="s">
        <v>17</v>
      </c>
      <c r="B1580" t="str">
        <f>"603956"</f>
        <v>603956</v>
      </c>
      <c r="C1580" t="s">
        <v>3202</v>
      </c>
      <c r="D1580" t="s">
        <v>78</v>
      </c>
      <c r="F1580">
        <v>-242992284</v>
      </c>
      <c r="G1580">
        <v>95520724</v>
      </c>
      <c r="H1580">
        <v>68500920</v>
      </c>
      <c r="I1580">
        <v>44814120</v>
      </c>
      <c r="J1580">
        <v>-24600043</v>
      </c>
      <c r="K1580">
        <v>35353051</v>
      </c>
      <c r="L1580">
        <v>-53429272</v>
      </c>
      <c r="P1580">
        <v>182</v>
      </c>
      <c r="Q1580" t="s">
        <v>3203</v>
      </c>
    </row>
    <row r="1581" spans="1:17" x14ac:dyDescent="0.3">
      <c r="A1581" t="s">
        <v>17</v>
      </c>
      <c r="B1581" t="str">
        <f>"603958"</f>
        <v>603958</v>
      </c>
      <c r="C1581" t="s">
        <v>3204</v>
      </c>
      <c r="D1581" t="s">
        <v>227</v>
      </c>
      <c r="F1581">
        <v>5773429</v>
      </c>
      <c r="G1581">
        <v>-15433407</v>
      </c>
      <c r="H1581">
        <v>49850836</v>
      </c>
      <c r="I1581">
        <v>28478344</v>
      </c>
      <c r="J1581">
        <v>77898730</v>
      </c>
      <c r="K1581">
        <v>-30231169</v>
      </c>
      <c r="L1581">
        <v>30646328</v>
      </c>
      <c r="M1581">
        <v>243660271</v>
      </c>
      <c r="N1581">
        <v>95363414</v>
      </c>
      <c r="P1581">
        <v>67</v>
      </c>
      <c r="Q1581" t="s">
        <v>3205</v>
      </c>
    </row>
    <row r="1582" spans="1:17" x14ac:dyDescent="0.3">
      <c r="A1582" t="s">
        <v>17</v>
      </c>
      <c r="B1582" t="str">
        <f>"603959"</f>
        <v>603959</v>
      </c>
      <c r="C1582" t="s">
        <v>3206</v>
      </c>
      <c r="D1582" t="s">
        <v>95</v>
      </c>
      <c r="F1582">
        <v>250262748</v>
      </c>
      <c r="G1582">
        <v>-242096845</v>
      </c>
      <c r="H1582">
        <v>-112037970</v>
      </c>
      <c r="I1582">
        <v>264332469</v>
      </c>
      <c r="J1582">
        <v>-324759760</v>
      </c>
      <c r="K1582">
        <v>-60300256</v>
      </c>
      <c r="L1582">
        <v>36792025</v>
      </c>
      <c r="M1582">
        <v>-271503182</v>
      </c>
      <c r="N1582">
        <v>39070327</v>
      </c>
      <c r="O1582">
        <v>25773187</v>
      </c>
      <c r="P1582">
        <v>80</v>
      </c>
      <c r="Q1582" t="s">
        <v>3207</v>
      </c>
    </row>
    <row r="1583" spans="1:17" x14ac:dyDescent="0.3">
      <c r="A1583" t="s">
        <v>17</v>
      </c>
      <c r="B1583" t="str">
        <f>"603960"</f>
        <v>603960</v>
      </c>
      <c r="C1583" t="s">
        <v>3208</v>
      </c>
      <c r="D1583" t="s">
        <v>78</v>
      </c>
      <c r="F1583">
        <v>-133912541</v>
      </c>
      <c r="G1583">
        <v>107865111</v>
      </c>
      <c r="H1583">
        <v>176961483</v>
      </c>
      <c r="I1583">
        <v>-57210421</v>
      </c>
      <c r="J1583">
        <v>57272444</v>
      </c>
      <c r="K1583">
        <v>23401352</v>
      </c>
      <c r="L1583">
        <v>-17185037</v>
      </c>
      <c r="M1583">
        <v>6342735</v>
      </c>
      <c r="P1583">
        <v>383</v>
      </c>
      <c r="Q1583" t="s">
        <v>3209</v>
      </c>
    </row>
    <row r="1584" spans="1:17" x14ac:dyDescent="0.3">
      <c r="A1584" t="s">
        <v>17</v>
      </c>
      <c r="B1584" t="str">
        <f>"603963"</f>
        <v>603963</v>
      </c>
      <c r="C1584" t="s">
        <v>3210</v>
      </c>
      <c r="D1584" t="s">
        <v>113</v>
      </c>
      <c r="F1584">
        <v>-13683763</v>
      </c>
      <c r="G1584">
        <v>-30038030</v>
      </c>
      <c r="H1584">
        <v>-14538937</v>
      </c>
      <c r="I1584">
        <v>74502774</v>
      </c>
      <c r="J1584">
        <v>-11491648</v>
      </c>
      <c r="K1584">
        <v>85460842</v>
      </c>
      <c r="L1584">
        <v>108828821</v>
      </c>
      <c r="M1584">
        <v>74981441</v>
      </c>
      <c r="P1584">
        <v>109</v>
      </c>
      <c r="Q1584" t="s">
        <v>3211</v>
      </c>
    </row>
    <row r="1585" spans="1:17" x14ac:dyDescent="0.3">
      <c r="A1585" t="s">
        <v>17</v>
      </c>
      <c r="B1585" t="str">
        <f>"603966"</f>
        <v>603966</v>
      </c>
      <c r="C1585" t="s">
        <v>3212</v>
      </c>
      <c r="D1585" t="s">
        <v>78</v>
      </c>
      <c r="F1585">
        <v>67168408</v>
      </c>
      <c r="G1585">
        <v>135160091</v>
      </c>
      <c r="H1585">
        <v>149055117</v>
      </c>
      <c r="I1585">
        <v>50714043</v>
      </c>
      <c r="J1585">
        <v>19579335</v>
      </c>
      <c r="K1585">
        <v>16044437</v>
      </c>
      <c r="L1585">
        <v>4206810</v>
      </c>
      <c r="M1585">
        <v>51574634</v>
      </c>
      <c r="N1585">
        <v>11310517</v>
      </c>
      <c r="P1585">
        <v>123</v>
      </c>
      <c r="Q1585" t="s">
        <v>3213</v>
      </c>
    </row>
    <row r="1586" spans="1:17" x14ac:dyDescent="0.3">
      <c r="A1586" t="s">
        <v>17</v>
      </c>
      <c r="B1586" t="str">
        <f>"603967"</f>
        <v>603967</v>
      </c>
      <c r="C1586" t="s">
        <v>3214</v>
      </c>
      <c r="D1586" t="s">
        <v>22</v>
      </c>
      <c r="F1586">
        <v>-259655770</v>
      </c>
      <c r="G1586">
        <v>-30045508</v>
      </c>
      <c r="H1586">
        <v>161626548</v>
      </c>
      <c r="I1586">
        <v>56594000</v>
      </c>
      <c r="J1586">
        <v>179936442</v>
      </c>
      <c r="K1586">
        <v>132056649</v>
      </c>
      <c r="P1586">
        <v>85</v>
      </c>
      <c r="Q1586" t="s">
        <v>3215</v>
      </c>
    </row>
    <row r="1587" spans="1:17" x14ac:dyDescent="0.3">
      <c r="A1587" t="s">
        <v>17</v>
      </c>
      <c r="B1587" t="str">
        <f>"603968"</f>
        <v>603968</v>
      </c>
      <c r="C1587" t="s">
        <v>3216</v>
      </c>
      <c r="D1587" t="s">
        <v>133</v>
      </c>
      <c r="F1587">
        <v>-24021775</v>
      </c>
      <c r="G1587">
        <v>220417866</v>
      </c>
      <c r="H1587">
        <v>240252291</v>
      </c>
      <c r="I1587">
        <v>211480248</v>
      </c>
      <c r="J1587">
        <v>95629543</v>
      </c>
      <c r="K1587">
        <v>92373260</v>
      </c>
      <c r="L1587">
        <v>116705902</v>
      </c>
      <c r="M1587">
        <v>83542693</v>
      </c>
      <c r="N1587">
        <v>39102553</v>
      </c>
      <c r="O1587">
        <v>45463585</v>
      </c>
      <c r="P1587">
        <v>244</v>
      </c>
      <c r="Q1587" t="s">
        <v>3217</v>
      </c>
    </row>
    <row r="1588" spans="1:17" x14ac:dyDescent="0.3">
      <c r="A1588" t="s">
        <v>17</v>
      </c>
      <c r="B1588" t="str">
        <f>"603969"</f>
        <v>603969</v>
      </c>
      <c r="C1588" t="s">
        <v>3218</v>
      </c>
      <c r="D1588" t="s">
        <v>78</v>
      </c>
      <c r="F1588">
        <v>-73456570</v>
      </c>
      <c r="G1588">
        <v>260982240</v>
      </c>
      <c r="H1588">
        <v>-73674045</v>
      </c>
      <c r="I1588">
        <v>75065205</v>
      </c>
      <c r="J1588">
        <v>-152279845</v>
      </c>
      <c r="K1588">
        <v>-162755082</v>
      </c>
      <c r="L1588">
        <v>96369681</v>
      </c>
      <c r="M1588">
        <v>87985513</v>
      </c>
      <c r="N1588">
        <v>-41023809</v>
      </c>
      <c r="O1588">
        <v>-21185300</v>
      </c>
      <c r="P1588">
        <v>94</v>
      </c>
      <c r="Q1588" t="s">
        <v>3219</v>
      </c>
    </row>
    <row r="1589" spans="1:17" x14ac:dyDescent="0.3">
      <c r="A1589" t="s">
        <v>17</v>
      </c>
      <c r="B1589" t="str">
        <f>"603970"</f>
        <v>603970</v>
      </c>
      <c r="C1589" t="s">
        <v>3220</v>
      </c>
      <c r="D1589" t="s">
        <v>133</v>
      </c>
      <c r="F1589">
        <v>322579738</v>
      </c>
      <c r="G1589">
        <v>337466762</v>
      </c>
      <c r="H1589">
        <v>216246620</v>
      </c>
      <c r="I1589">
        <v>67812167</v>
      </c>
      <c r="J1589">
        <v>476045335</v>
      </c>
      <c r="K1589">
        <v>116955295</v>
      </c>
      <c r="L1589">
        <v>-278439643</v>
      </c>
      <c r="M1589">
        <v>34241600</v>
      </c>
      <c r="P1589">
        <v>89</v>
      </c>
      <c r="Q1589" t="s">
        <v>3221</v>
      </c>
    </row>
    <row r="1590" spans="1:17" x14ac:dyDescent="0.3">
      <c r="A1590" t="s">
        <v>17</v>
      </c>
      <c r="B1590" t="str">
        <f>"603976"</f>
        <v>603976</v>
      </c>
      <c r="C1590" t="s">
        <v>3222</v>
      </c>
      <c r="D1590" t="s">
        <v>113</v>
      </c>
      <c r="F1590">
        <v>-32428731</v>
      </c>
      <c r="G1590">
        <v>-54052261</v>
      </c>
      <c r="H1590">
        <v>-56379888</v>
      </c>
      <c r="I1590">
        <v>-4898166</v>
      </c>
      <c r="J1590">
        <v>12163147</v>
      </c>
      <c r="K1590">
        <v>16839713</v>
      </c>
      <c r="L1590">
        <v>5567784</v>
      </c>
      <c r="M1590">
        <v>58284912</v>
      </c>
      <c r="P1590">
        <v>216</v>
      </c>
      <c r="Q1590" t="s">
        <v>3223</v>
      </c>
    </row>
    <row r="1591" spans="1:17" x14ac:dyDescent="0.3">
      <c r="A1591" t="s">
        <v>17</v>
      </c>
      <c r="B1591" t="str">
        <f>"603977"</f>
        <v>603977</v>
      </c>
      <c r="C1591" t="s">
        <v>3224</v>
      </c>
      <c r="D1591" t="s">
        <v>133</v>
      </c>
      <c r="F1591">
        <v>165958724</v>
      </c>
      <c r="G1591">
        <v>-29917607</v>
      </c>
      <c r="H1591">
        <v>67449235</v>
      </c>
      <c r="I1591">
        <v>-18916790</v>
      </c>
      <c r="J1591">
        <v>-160194849</v>
      </c>
      <c r="K1591">
        <v>69592818</v>
      </c>
      <c r="L1591">
        <v>-50899314</v>
      </c>
      <c r="M1591">
        <v>-6896673</v>
      </c>
      <c r="N1591">
        <v>24185442</v>
      </c>
      <c r="P1591">
        <v>88</v>
      </c>
      <c r="Q1591" t="s">
        <v>3225</v>
      </c>
    </row>
    <row r="1592" spans="1:17" x14ac:dyDescent="0.3">
      <c r="A1592" t="s">
        <v>17</v>
      </c>
      <c r="B1592" t="str">
        <f>"603978"</f>
        <v>603978</v>
      </c>
      <c r="C1592" t="s">
        <v>3226</v>
      </c>
      <c r="D1592" t="s">
        <v>234</v>
      </c>
      <c r="F1592">
        <v>-262468778</v>
      </c>
      <c r="G1592">
        <v>-335331690</v>
      </c>
      <c r="H1592">
        <v>-196476623</v>
      </c>
      <c r="I1592">
        <v>-5750539</v>
      </c>
      <c r="J1592">
        <v>-335276826</v>
      </c>
      <c r="K1592">
        <v>39260811</v>
      </c>
      <c r="L1592">
        <v>40683553</v>
      </c>
      <c r="M1592">
        <v>12625403</v>
      </c>
      <c r="P1592">
        <v>112</v>
      </c>
      <c r="Q1592" t="s">
        <v>3227</v>
      </c>
    </row>
    <row r="1593" spans="1:17" x14ac:dyDescent="0.3">
      <c r="A1593" t="s">
        <v>17</v>
      </c>
      <c r="B1593" t="str">
        <f>"603979"</f>
        <v>603979</v>
      </c>
      <c r="C1593" t="s">
        <v>3228</v>
      </c>
      <c r="D1593" t="s">
        <v>95</v>
      </c>
      <c r="F1593">
        <v>158156267</v>
      </c>
      <c r="G1593">
        <v>99854553</v>
      </c>
      <c r="H1593">
        <v>319824632</v>
      </c>
      <c r="I1593">
        <v>-207143161</v>
      </c>
      <c r="J1593">
        <v>-198111507</v>
      </c>
      <c r="K1593">
        <v>94306004</v>
      </c>
      <c r="L1593">
        <v>-350035591</v>
      </c>
      <c r="M1593">
        <v>-69314209</v>
      </c>
      <c r="N1593">
        <v>-70545588</v>
      </c>
      <c r="O1593">
        <v>-106807068</v>
      </c>
      <c r="P1593">
        <v>123</v>
      </c>
      <c r="Q1593" t="s">
        <v>3229</v>
      </c>
    </row>
    <row r="1594" spans="1:17" x14ac:dyDescent="0.3">
      <c r="A1594" t="s">
        <v>17</v>
      </c>
      <c r="B1594" t="str">
        <f>"603980"</f>
        <v>603980</v>
      </c>
      <c r="C1594" t="s">
        <v>3230</v>
      </c>
      <c r="D1594" t="s">
        <v>133</v>
      </c>
      <c r="F1594">
        <v>-126390794</v>
      </c>
      <c r="G1594">
        <v>85906987</v>
      </c>
      <c r="H1594">
        <v>642304115</v>
      </c>
      <c r="I1594">
        <v>378558476</v>
      </c>
      <c r="J1594">
        <v>135501458</v>
      </c>
      <c r="K1594">
        <v>441267559</v>
      </c>
      <c r="L1594">
        <v>608923680</v>
      </c>
      <c r="M1594">
        <v>742408269</v>
      </c>
      <c r="P1594">
        <v>195</v>
      </c>
      <c r="Q1594" t="s">
        <v>3231</v>
      </c>
    </row>
    <row r="1595" spans="1:17" x14ac:dyDescent="0.3">
      <c r="A1595" t="s">
        <v>17</v>
      </c>
      <c r="B1595" t="str">
        <f>"603982"</f>
        <v>603982</v>
      </c>
      <c r="C1595" t="s">
        <v>3232</v>
      </c>
      <c r="D1595" t="s">
        <v>27</v>
      </c>
      <c r="F1595">
        <v>-729945965</v>
      </c>
      <c r="G1595">
        <v>85863032</v>
      </c>
      <c r="H1595">
        <v>173238203</v>
      </c>
      <c r="I1595">
        <v>-337411401</v>
      </c>
      <c r="J1595">
        <v>-330827930</v>
      </c>
      <c r="K1595">
        <v>11880317</v>
      </c>
      <c r="P1595">
        <v>123</v>
      </c>
      <c r="Q1595" t="s">
        <v>3233</v>
      </c>
    </row>
    <row r="1596" spans="1:17" x14ac:dyDescent="0.3">
      <c r="A1596" t="s">
        <v>17</v>
      </c>
      <c r="B1596" t="str">
        <f>"603983"</f>
        <v>603983</v>
      </c>
      <c r="C1596" t="s">
        <v>3234</v>
      </c>
      <c r="D1596" t="s">
        <v>481</v>
      </c>
      <c r="F1596">
        <v>-124609251</v>
      </c>
      <c r="G1596">
        <v>-386551521</v>
      </c>
      <c r="H1596">
        <v>459128144</v>
      </c>
      <c r="I1596">
        <v>505351079</v>
      </c>
      <c r="J1596">
        <v>349812708</v>
      </c>
      <c r="K1596">
        <v>206717714</v>
      </c>
      <c r="P1596">
        <v>898</v>
      </c>
      <c r="Q1596" t="s">
        <v>3235</v>
      </c>
    </row>
    <row r="1597" spans="1:17" x14ac:dyDescent="0.3">
      <c r="A1597" t="s">
        <v>17</v>
      </c>
      <c r="B1597" t="str">
        <f>"603985"</f>
        <v>603985</v>
      </c>
      <c r="C1597" t="s">
        <v>3236</v>
      </c>
      <c r="D1597" t="s">
        <v>78</v>
      </c>
      <c r="F1597">
        <v>-9394285</v>
      </c>
      <c r="G1597">
        <v>185703217</v>
      </c>
      <c r="H1597">
        <v>-50242007</v>
      </c>
      <c r="I1597">
        <v>-41281699</v>
      </c>
      <c r="J1597">
        <v>-11652649</v>
      </c>
      <c r="K1597">
        <v>42639440</v>
      </c>
      <c r="L1597">
        <v>73856380</v>
      </c>
      <c r="M1597">
        <v>43317897</v>
      </c>
      <c r="P1597">
        <v>219</v>
      </c>
      <c r="Q1597" t="s">
        <v>3237</v>
      </c>
    </row>
    <row r="1598" spans="1:17" x14ac:dyDescent="0.3">
      <c r="A1598" t="s">
        <v>17</v>
      </c>
      <c r="B1598" t="str">
        <f>"603986"</f>
        <v>603986</v>
      </c>
      <c r="C1598" t="s">
        <v>3238</v>
      </c>
      <c r="D1598" t="s">
        <v>150</v>
      </c>
      <c r="F1598">
        <v>1640231637</v>
      </c>
      <c r="G1598">
        <v>698421346</v>
      </c>
      <c r="H1598">
        <v>690874129</v>
      </c>
      <c r="I1598">
        <v>322220888</v>
      </c>
      <c r="J1598">
        <v>-35482428</v>
      </c>
      <c r="K1598">
        <v>5052810</v>
      </c>
      <c r="L1598">
        <v>176407057</v>
      </c>
      <c r="M1598">
        <v>77382888</v>
      </c>
      <c r="N1598">
        <v>71440444</v>
      </c>
      <c r="P1598">
        <v>2706</v>
      </c>
      <c r="Q1598" t="s">
        <v>3239</v>
      </c>
    </row>
    <row r="1599" spans="1:17" x14ac:dyDescent="0.3">
      <c r="A1599" t="s">
        <v>17</v>
      </c>
      <c r="B1599" t="str">
        <f>"603987"</f>
        <v>603987</v>
      </c>
      <c r="C1599" t="s">
        <v>3240</v>
      </c>
      <c r="D1599" t="s">
        <v>113</v>
      </c>
      <c r="F1599">
        <v>-243821242</v>
      </c>
      <c r="G1599">
        <v>72005382</v>
      </c>
      <c r="H1599">
        <v>38876420</v>
      </c>
      <c r="I1599">
        <v>138004060</v>
      </c>
      <c r="J1599">
        <v>62218347</v>
      </c>
      <c r="K1599">
        <v>159445648</v>
      </c>
      <c r="L1599">
        <v>43356813</v>
      </c>
      <c r="M1599">
        <v>9684150</v>
      </c>
      <c r="N1599">
        <v>91242706</v>
      </c>
      <c r="P1599">
        <v>267</v>
      </c>
      <c r="Q1599" t="s">
        <v>3241</v>
      </c>
    </row>
    <row r="1600" spans="1:17" x14ac:dyDescent="0.3">
      <c r="A1600" t="s">
        <v>17</v>
      </c>
      <c r="B1600" t="str">
        <f>"603988"</f>
        <v>603988</v>
      </c>
      <c r="C1600" t="s">
        <v>3242</v>
      </c>
      <c r="D1600" t="s">
        <v>188</v>
      </c>
      <c r="F1600">
        <v>-9719824</v>
      </c>
      <c r="G1600">
        <v>70538759</v>
      </c>
      <c r="H1600">
        <v>10554689</v>
      </c>
      <c r="I1600">
        <v>22030508</v>
      </c>
      <c r="J1600">
        <v>34438357</v>
      </c>
      <c r="K1600">
        <v>22788598</v>
      </c>
      <c r="L1600">
        <v>7342551</v>
      </c>
      <c r="M1600">
        <v>-6851288</v>
      </c>
      <c r="N1600">
        <v>36132141</v>
      </c>
      <c r="O1600">
        <v>112921828</v>
      </c>
      <c r="P1600">
        <v>192</v>
      </c>
      <c r="Q1600" t="s">
        <v>3243</v>
      </c>
    </row>
    <row r="1601" spans="1:17" x14ac:dyDescent="0.3">
      <c r="A1601" t="s">
        <v>17</v>
      </c>
      <c r="B1601" t="str">
        <f>"603989"</f>
        <v>603989</v>
      </c>
      <c r="C1601" t="s">
        <v>3244</v>
      </c>
      <c r="D1601" t="s">
        <v>150</v>
      </c>
      <c r="F1601">
        <v>167501922</v>
      </c>
      <c r="G1601">
        <v>144382579</v>
      </c>
      <c r="H1601">
        <v>28601145</v>
      </c>
      <c r="I1601">
        <v>102000972</v>
      </c>
      <c r="J1601">
        <v>-33233410</v>
      </c>
      <c r="K1601">
        <v>221649266</v>
      </c>
      <c r="L1601">
        <v>160929995</v>
      </c>
      <c r="M1601">
        <v>143113419</v>
      </c>
      <c r="N1601">
        <v>130125254</v>
      </c>
      <c r="O1601">
        <v>86139197</v>
      </c>
      <c r="P1601">
        <v>12179</v>
      </c>
      <c r="Q1601" t="s">
        <v>3245</v>
      </c>
    </row>
    <row r="1602" spans="1:17" x14ac:dyDescent="0.3">
      <c r="A1602" t="s">
        <v>17</v>
      </c>
      <c r="B1602" t="str">
        <f>"603990"</f>
        <v>603990</v>
      </c>
      <c r="C1602" t="s">
        <v>3246</v>
      </c>
      <c r="D1602" t="s">
        <v>212</v>
      </c>
      <c r="F1602">
        <v>-4820302</v>
      </c>
      <c r="G1602">
        <v>91615686</v>
      </c>
      <c r="H1602">
        <v>9611534</v>
      </c>
      <c r="I1602">
        <v>32695118</v>
      </c>
      <c r="J1602">
        <v>-45773755</v>
      </c>
      <c r="K1602">
        <v>4547880</v>
      </c>
      <c r="L1602">
        <v>-42400849</v>
      </c>
      <c r="M1602">
        <v>-21752126</v>
      </c>
      <c r="N1602">
        <v>11825837</v>
      </c>
      <c r="P1602">
        <v>143</v>
      </c>
      <c r="Q1602" t="s">
        <v>3247</v>
      </c>
    </row>
    <row r="1603" spans="1:17" x14ac:dyDescent="0.3">
      <c r="A1603" t="s">
        <v>17</v>
      </c>
      <c r="B1603" t="str">
        <f>"603991"</f>
        <v>603991</v>
      </c>
      <c r="C1603" t="s">
        <v>3248</v>
      </c>
      <c r="D1603" t="s">
        <v>133</v>
      </c>
      <c r="F1603">
        <v>110633774</v>
      </c>
      <c r="G1603">
        <v>67151261</v>
      </c>
      <c r="H1603">
        <v>30154499</v>
      </c>
      <c r="I1603">
        <v>-116064381</v>
      </c>
      <c r="J1603">
        <v>-53310764</v>
      </c>
      <c r="K1603">
        <v>-52218159</v>
      </c>
      <c r="L1603">
        <v>-57764971</v>
      </c>
      <c r="M1603">
        <v>-9090633</v>
      </c>
      <c r="P1603">
        <v>96</v>
      </c>
      <c r="Q1603" t="s">
        <v>3249</v>
      </c>
    </row>
    <row r="1604" spans="1:17" x14ac:dyDescent="0.3">
      <c r="A1604" t="s">
        <v>17</v>
      </c>
      <c r="B1604" t="str">
        <f>"603992"</f>
        <v>603992</v>
      </c>
      <c r="C1604" t="s">
        <v>3250</v>
      </c>
      <c r="D1604" t="s">
        <v>161</v>
      </c>
      <c r="F1604">
        <v>-38179181</v>
      </c>
      <c r="G1604">
        <v>20181047</v>
      </c>
      <c r="H1604">
        <v>-31039779</v>
      </c>
      <c r="I1604">
        <v>252833065</v>
      </c>
      <c r="J1604">
        <v>59441181</v>
      </c>
      <c r="K1604">
        <v>229037351</v>
      </c>
      <c r="P1604">
        <v>120</v>
      </c>
      <c r="Q1604" t="s">
        <v>3251</v>
      </c>
    </row>
    <row r="1605" spans="1:17" x14ac:dyDescent="0.3">
      <c r="A1605" t="s">
        <v>17</v>
      </c>
      <c r="B1605" t="str">
        <f>"603993"</f>
        <v>603993</v>
      </c>
      <c r="C1605" t="s">
        <v>3252</v>
      </c>
      <c r="D1605" t="s">
        <v>234</v>
      </c>
      <c r="F1605">
        <v>1930255098</v>
      </c>
      <c r="G1605">
        <v>984770244</v>
      </c>
      <c r="H1605">
        <v>-989377167</v>
      </c>
      <c r="I1605">
        <v>6670796603</v>
      </c>
      <c r="J1605">
        <v>7389326255</v>
      </c>
      <c r="K1605">
        <v>2089864420</v>
      </c>
      <c r="L1605">
        <v>778307753</v>
      </c>
      <c r="M1605">
        <v>3106715349</v>
      </c>
      <c r="N1605">
        <v>781270824</v>
      </c>
      <c r="O1605">
        <v>1180759858</v>
      </c>
      <c r="P1605">
        <v>1124</v>
      </c>
      <c r="Q1605" t="s">
        <v>3253</v>
      </c>
    </row>
    <row r="1606" spans="1:17" x14ac:dyDescent="0.3">
      <c r="A1606" t="s">
        <v>17</v>
      </c>
      <c r="B1606" t="str">
        <f>"603995"</f>
        <v>603995</v>
      </c>
      <c r="C1606" t="s">
        <v>3254</v>
      </c>
      <c r="D1606" t="s">
        <v>38</v>
      </c>
      <c r="F1606">
        <v>-920695590</v>
      </c>
      <c r="G1606">
        <v>129146661</v>
      </c>
      <c r="H1606">
        <v>57544489</v>
      </c>
      <c r="I1606">
        <v>619586157</v>
      </c>
      <c r="J1606">
        <v>385327381</v>
      </c>
      <c r="K1606">
        <v>-60769469</v>
      </c>
      <c r="P1606">
        <v>128</v>
      </c>
      <c r="Q1606" t="s">
        <v>3255</v>
      </c>
    </row>
    <row r="1607" spans="1:17" x14ac:dyDescent="0.3">
      <c r="A1607" t="s">
        <v>17</v>
      </c>
      <c r="B1607" t="str">
        <f>"603996"</f>
        <v>603996</v>
      </c>
      <c r="C1607" t="s">
        <v>3256</v>
      </c>
      <c r="D1607" t="s">
        <v>150</v>
      </c>
      <c r="F1607">
        <v>-1588007</v>
      </c>
      <c r="G1607">
        <v>27096091</v>
      </c>
      <c r="H1607">
        <v>268469617</v>
      </c>
      <c r="I1607">
        <v>547318507</v>
      </c>
      <c r="J1607">
        <v>-932376794</v>
      </c>
      <c r="K1607">
        <v>-174896157</v>
      </c>
      <c r="L1607">
        <v>-223931439</v>
      </c>
      <c r="M1607">
        <v>-146687978</v>
      </c>
      <c r="N1607">
        <v>196312224</v>
      </c>
      <c r="O1607">
        <v>18574093</v>
      </c>
      <c r="P1607">
        <v>71</v>
      </c>
      <c r="Q1607" t="s">
        <v>3257</v>
      </c>
    </row>
    <row r="1608" spans="1:17" x14ac:dyDescent="0.3">
      <c r="A1608" t="s">
        <v>17</v>
      </c>
      <c r="B1608" t="str">
        <f>"603997"</f>
        <v>603997</v>
      </c>
      <c r="C1608" t="s">
        <v>3258</v>
      </c>
      <c r="D1608" t="s">
        <v>27</v>
      </c>
      <c r="F1608">
        <v>33415885</v>
      </c>
      <c r="G1608">
        <v>143052436</v>
      </c>
      <c r="H1608">
        <v>201137781</v>
      </c>
      <c r="I1608">
        <v>314931195</v>
      </c>
      <c r="J1608">
        <v>194487787</v>
      </c>
      <c r="K1608">
        <v>-24536936</v>
      </c>
      <c r="L1608">
        <v>60733086</v>
      </c>
      <c r="M1608">
        <v>-15674508</v>
      </c>
      <c r="N1608">
        <v>-50966953</v>
      </c>
      <c r="O1608">
        <v>71024405</v>
      </c>
      <c r="P1608">
        <v>248</v>
      </c>
      <c r="Q1608" t="s">
        <v>3259</v>
      </c>
    </row>
    <row r="1609" spans="1:17" x14ac:dyDescent="0.3">
      <c r="A1609" t="s">
        <v>17</v>
      </c>
      <c r="B1609" t="str">
        <f>"603998"</f>
        <v>603998</v>
      </c>
      <c r="C1609" t="s">
        <v>3260</v>
      </c>
      <c r="D1609" t="s">
        <v>113</v>
      </c>
      <c r="F1609">
        <v>977831</v>
      </c>
      <c r="G1609">
        <v>68937020</v>
      </c>
      <c r="H1609">
        <v>-30448923</v>
      </c>
      <c r="I1609">
        <v>101311140</v>
      </c>
      <c r="J1609">
        <v>-116417719</v>
      </c>
      <c r="K1609">
        <v>-48357717</v>
      </c>
      <c r="L1609">
        <v>19886867</v>
      </c>
      <c r="M1609">
        <v>-2826994</v>
      </c>
      <c r="N1609">
        <v>68390322</v>
      </c>
      <c r="O1609">
        <v>-23559006</v>
      </c>
      <c r="P1609">
        <v>126</v>
      </c>
      <c r="Q1609" t="s">
        <v>3261</v>
      </c>
    </row>
    <row r="1610" spans="1:17" x14ac:dyDescent="0.3">
      <c r="A1610" t="s">
        <v>17</v>
      </c>
      <c r="B1610" t="str">
        <f>"603999"</f>
        <v>603999</v>
      </c>
      <c r="C1610" t="s">
        <v>3262</v>
      </c>
      <c r="D1610" t="s">
        <v>89</v>
      </c>
      <c r="F1610">
        <v>82209452</v>
      </c>
      <c r="G1610">
        <v>83006309</v>
      </c>
      <c r="H1610">
        <v>-43908669</v>
      </c>
      <c r="I1610">
        <v>78094084</v>
      </c>
      <c r="J1610">
        <v>24211537</v>
      </c>
      <c r="K1610">
        <v>133572972</v>
      </c>
      <c r="L1610">
        <v>67265445</v>
      </c>
      <c r="M1610">
        <v>90078683</v>
      </c>
      <c r="N1610">
        <v>135190390</v>
      </c>
      <c r="O1610">
        <v>80965418</v>
      </c>
      <c r="P1610">
        <v>85</v>
      </c>
      <c r="Q1610" t="s">
        <v>3263</v>
      </c>
    </row>
    <row r="1611" spans="1:17" x14ac:dyDescent="0.3">
      <c r="A1611" t="s">
        <v>17</v>
      </c>
      <c r="B1611" t="str">
        <f>"605001"</f>
        <v>605001</v>
      </c>
      <c r="C1611" t="s">
        <v>3264</v>
      </c>
      <c r="D1611" t="s">
        <v>78</v>
      </c>
      <c r="F1611">
        <v>-230477154</v>
      </c>
      <c r="G1611">
        <v>-218939596</v>
      </c>
      <c r="H1611">
        <v>-149814963</v>
      </c>
      <c r="I1611">
        <v>273348764</v>
      </c>
      <c r="J1611">
        <v>-35043578</v>
      </c>
      <c r="P1611">
        <v>48</v>
      </c>
      <c r="Q1611" t="s">
        <v>3265</v>
      </c>
    </row>
    <row r="1612" spans="1:17" x14ac:dyDescent="0.3">
      <c r="A1612" t="s">
        <v>17</v>
      </c>
      <c r="B1612" t="str">
        <f>"605003"</f>
        <v>605003</v>
      </c>
      <c r="C1612" t="s">
        <v>3266</v>
      </c>
      <c r="D1612" t="s">
        <v>227</v>
      </c>
      <c r="F1612">
        <v>-102753197</v>
      </c>
      <c r="G1612">
        <v>38330577</v>
      </c>
      <c r="H1612">
        <v>77723710</v>
      </c>
      <c r="I1612">
        <v>6238804</v>
      </c>
      <c r="J1612">
        <v>64303757</v>
      </c>
      <c r="P1612">
        <v>76</v>
      </c>
      <c r="Q1612" t="s">
        <v>3267</v>
      </c>
    </row>
    <row r="1613" spans="1:17" x14ac:dyDescent="0.3">
      <c r="A1613" t="s">
        <v>17</v>
      </c>
      <c r="B1613" t="str">
        <f>"605005"</f>
        <v>605005</v>
      </c>
      <c r="C1613" t="s">
        <v>3268</v>
      </c>
      <c r="D1613" t="s">
        <v>27</v>
      </c>
      <c r="F1613">
        <v>-79889668</v>
      </c>
      <c r="G1613">
        <v>138901181</v>
      </c>
      <c r="H1613">
        <v>182034975</v>
      </c>
      <c r="I1613">
        <v>24995708</v>
      </c>
      <c r="J1613">
        <v>-43052330</v>
      </c>
      <c r="P1613">
        <v>63</v>
      </c>
      <c r="Q1613" t="s">
        <v>3269</v>
      </c>
    </row>
    <row r="1614" spans="1:17" x14ac:dyDescent="0.3">
      <c r="A1614" t="s">
        <v>17</v>
      </c>
      <c r="B1614" t="str">
        <f>"605006"</f>
        <v>605006</v>
      </c>
      <c r="C1614" t="s">
        <v>3270</v>
      </c>
      <c r="D1614" t="s">
        <v>350</v>
      </c>
      <c r="F1614">
        <v>572471720</v>
      </c>
      <c r="G1614">
        <v>160355534</v>
      </c>
      <c r="H1614">
        <v>-201124462</v>
      </c>
      <c r="I1614">
        <v>-132089343</v>
      </c>
      <c r="J1614">
        <v>155893690</v>
      </c>
      <c r="P1614">
        <v>121</v>
      </c>
      <c r="Q1614" t="s">
        <v>3271</v>
      </c>
    </row>
    <row r="1615" spans="1:17" x14ac:dyDescent="0.3">
      <c r="A1615" t="s">
        <v>17</v>
      </c>
      <c r="B1615" t="str">
        <f>"605007"</f>
        <v>605007</v>
      </c>
      <c r="C1615" t="s">
        <v>3272</v>
      </c>
      <c r="D1615" t="s">
        <v>161</v>
      </c>
      <c r="F1615">
        <v>-331338931</v>
      </c>
      <c r="G1615">
        <v>-133473785</v>
      </c>
      <c r="H1615">
        <v>-193453750</v>
      </c>
      <c r="I1615">
        <v>-183165341</v>
      </c>
      <c r="J1615">
        <v>22159711</v>
      </c>
      <c r="K1615">
        <v>125524513</v>
      </c>
      <c r="P1615">
        <v>82</v>
      </c>
      <c r="Q1615" t="s">
        <v>3273</v>
      </c>
    </row>
    <row r="1616" spans="1:17" x14ac:dyDescent="0.3">
      <c r="A1616" t="s">
        <v>17</v>
      </c>
      <c r="B1616" t="str">
        <f>"605008"</f>
        <v>605008</v>
      </c>
      <c r="C1616" t="s">
        <v>3274</v>
      </c>
      <c r="D1616" t="s">
        <v>133</v>
      </c>
      <c r="F1616">
        <v>-734908188</v>
      </c>
      <c r="G1616">
        <v>-152158461</v>
      </c>
      <c r="H1616">
        <v>-86569524</v>
      </c>
      <c r="I1616">
        <v>31303701</v>
      </c>
      <c r="J1616">
        <v>-6294958</v>
      </c>
      <c r="P1616">
        <v>66</v>
      </c>
      <c r="Q1616" t="s">
        <v>3275</v>
      </c>
    </row>
    <row r="1617" spans="1:17" x14ac:dyDescent="0.3">
      <c r="A1617" t="s">
        <v>17</v>
      </c>
      <c r="B1617" t="str">
        <f>"605009"</f>
        <v>605009</v>
      </c>
      <c r="C1617" t="s">
        <v>3276</v>
      </c>
      <c r="D1617" t="s">
        <v>481</v>
      </c>
      <c r="F1617">
        <v>358409104</v>
      </c>
      <c r="G1617">
        <v>355447655</v>
      </c>
      <c r="H1617">
        <v>121782119</v>
      </c>
      <c r="I1617">
        <v>93381858</v>
      </c>
      <c r="J1617">
        <v>9221566</v>
      </c>
      <c r="P1617">
        <v>355</v>
      </c>
      <c r="Q1617" t="s">
        <v>3277</v>
      </c>
    </row>
    <row r="1618" spans="1:17" x14ac:dyDescent="0.3">
      <c r="A1618" t="s">
        <v>17</v>
      </c>
      <c r="B1618" t="str">
        <f>"605011"</f>
        <v>605011</v>
      </c>
      <c r="C1618" t="s">
        <v>3278</v>
      </c>
      <c r="D1618" t="s">
        <v>41</v>
      </c>
      <c r="F1618">
        <v>100870811</v>
      </c>
      <c r="G1618">
        <v>299400787</v>
      </c>
      <c r="H1618">
        <v>169124260</v>
      </c>
      <c r="I1618">
        <v>130921602</v>
      </c>
      <c r="J1618">
        <v>-149708282</v>
      </c>
      <c r="P1618">
        <v>27</v>
      </c>
      <c r="Q1618" t="s">
        <v>3279</v>
      </c>
    </row>
    <row r="1619" spans="1:17" x14ac:dyDescent="0.3">
      <c r="A1619" t="s">
        <v>17</v>
      </c>
      <c r="B1619" t="str">
        <f>"605016"</f>
        <v>605016</v>
      </c>
      <c r="C1619" t="s">
        <v>3280</v>
      </c>
      <c r="D1619" t="s">
        <v>133</v>
      </c>
      <c r="F1619">
        <v>40397807</v>
      </c>
      <c r="G1619">
        <v>63214839</v>
      </c>
      <c r="H1619">
        <v>7592804</v>
      </c>
      <c r="I1619">
        <v>1009867</v>
      </c>
      <c r="J1619">
        <v>76810600</v>
      </c>
      <c r="P1619">
        <v>66</v>
      </c>
      <c r="Q1619" t="s">
        <v>3281</v>
      </c>
    </row>
    <row r="1620" spans="1:17" x14ac:dyDescent="0.3">
      <c r="A1620" t="s">
        <v>17</v>
      </c>
      <c r="B1620" t="str">
        <f>"605018"</f>
        <v>605018</v>
      </c>
      <c r="C1620" t="s">
        <v>3282</v>
      </c>
      <c r="D1620" t="s">
        <v>27</v>
      </c>
      <c r="F1620">
        <v>-166591048</v>
      </c>
      <c r="G1620">
        <v>63631368</v>
      </c>
      <c r="H1620">
        <v>131127924</v>
      </c>
      <c r="I1620">
        <v>84435221</v>
      </c>
      <c r="J1620">
        <v>84655841</v>
      </c>
      <c r="P1620">
        <v>48</v>
      </c>
      <c r="Q1620" t="s">
        <v>3283</v>
      </c>
    </row>
    <row r="1621" spans="1:17" x14ac:dyDescent="0.3">
      <c r="A1621" t="s">
        <v>17</v>
      </c>
      <c r="B1621" t="str">
        <f>"605020"</f>
        <v>605020</v>
      </c>
      <c r="C1621" t="s">
        <v>3284</v>
      </c>
      <c r="D1621" t="s">
        <v>133</v>
      </c>
      <c r="F1621">
        <v>-499060291</v>
      </c>
      <c r="G1621">
        <v>-132088985</v>
      </c>
      <c r="H1621">
        <v>-316209373</v>
      </c>
      <c r="I1621">
        <v>-66594449</v>
      </c>
      <c r="J1621">
        <v>67918949</v>
      </c>
      <c r="P1621">
        <v>33</v>
      </c>
      <c r="Q1621" t="s">
        <v>3285</v>
      </c>
    </row>
    <row r="1622" spans="1:17" x14ac:dyDescent="0.3">
      <c r="A1622" t="s">
        <v>17</v>
      </c>
      <c r="B1622" t="str">
        <f>"605028"</f>
        <v>605028</v>
      </c>
      <c r="C1622" t="s">
        <v>3286</v>
      </c>
      <c r="D1622" t="s">
        <v>41</v>
      </c>
      <c r="F1622">
        <v>176173495</v>
      </c>
      <c r="G1622">
        <v>114384014</v>
      </c>
      <c r="H1622">
        <v>29294171</v>
      </c>
      <c r="I1622">
        <v>-17416340</v>
      </c>
      <c r="J1622">
        <v>62188620</v>
      </c>
      <c r="P1622">
        <v>46</v>
      </c>
      <c r="Q1622" t="s">
        <v>3287</v>
      </c>
    </row>
    <row r="1623" spans="1:17" x14ac:dyDescent="0.3">
      <c r="A1623" t="s">
        <v>17</v>
      </c>
      <c r="B1623" t="str">
        <f>"605033"</f>
        <v>605033</v>
      </c>
      <c r="C1623" t="s">
        <v>3288</v>
      </c>
      <c r="D1623" t="s">
        <v>133</v>
      </c>
      <c r="F1623">
        <v>-215281894</v>
      </c>
      <c r="G1623">
        <v>13187974</v>
      </c>
      <c r="H1623">
        <v>96269896</v>
      </c>
      <c r="I1623">
        <v>-17731200</v>
      </c>
      <c r="J1623">
        <v>11875568</v>
      </c>
      <c r="P1623">
        <v>14</v>
      </c>
      <c r="Q1623" t="s">
        <v>3289</v>
      </c>
    </row>
    <row r="1624" spans="1:17" x14ac:dyDescent="0.3">
      <c r="A1624" t="s">
        <v>17</v>
      </c>
      <c r="B1624" t="str">
        <f>"605050"</f>
        <v>605050</v>
      </c>
      <c r="C1624" t="s">
        <v>3290</v>
      </c>
      <c r="D1624" t="s">
        <v>22</v>
      </c>
      <c r="F1624">
        <v>-77079499</v>
      </c>
      <c r="G1624">
        <v>15070833</v>
      </c>
      <c r="H1624">
        <v>287050993</v>
      </c>
      <c r="I1624">
        <v>164166926</v>
      </c>
      <c r="J1624">
        <v>84850464</v>
      </c>
      <c r="K1624">
        <v>-118933745</v>
      </c>
      <c r="P1624">
        <v>37</v>
      </c>
      <c r="Q1624" t="s">
        <v>3291</v>
      </c>
    </row>
    <row r="1625" spans="1:17" x14ac:dyDescent="0.3">
      <c r="A1625" t="s">
        <v>17</v>
      </c>
      <c r="B1625" t="str">
        <f>"605055"</f>
        <v>605055</v>
      </c>
      <c r="C1625" t="s">
        <v>3292</v>
      </c>
      <c r="D1625" t="s">
        <v>227</v>
      </c>
      <c r="F1625">
        <v>-69343099</v>
      </c>
      <c r="G1625">
        <v>-259265474</v>
      </c>
      <c r="H1625">
        <v>-137090358</v>
      </c>
      <c r="I1625">
        <v>143936144</v>
      </c>
      <c r="J1625">
        <v>257203142</v>
      </c>
      <c r="K1625">
        <v>244687172</v>
      </c>
      <c r="P1625">
        <v>38</v>
      </c>
      <c r="Q1625" t="s">
        <v>3293</v>
      </c>
    </row>
    <row r="1626" spans="1:17" x14ac:dyDescent="0.3">
      <c r="A1626" t="s">
        <v>17</v>
      </c>
      <c r="B1626" t="str">
        <f>"605056"</f>
        <v>605056</v>
      </c>
      <c r="C1626" t="s">
        <v>3294</v>
      </c>
      <c r="D1626" t="s">
        <v>78</v>
      </c>
      <c r="F1626">
        <v>79012701</v>
      </c>
      <c r="G1626">
        <v>228372926</v>
      </c>
      <c r="H1626">
        <v>-2064036</v>
      </c>
      <c r="I1626">
        <v>125004897</v>
      </c>
      <c r="J1626">
        <v>82063235</v>
      </c>
      <c r="P1626">
        <v>21</v>
      </c>
      <c r="Q1626" t="s">
        <v>3295</v>
      </c>
    </row>
    <row r="1627" spans="1:17" x14ac:dyDescent="0.3">
      <c r="A1627" t="s">
        <v>17</v>
      </c>
      <c r="B1627" t="str">
        <f>"605058"</f>
        <v>605058</v>
      </c>
      <c r="C1627" t="s">
        <v>3296</v>
      </c>
      <c r="D1627" t="s">
        <v>150</v>
      </c>
      <c r="F1627">
        <v>13930924</v>
      </c>
      <c r="G1627">
        <v>125061588</v>
      </c>
      <c r="H1627">
        <v>112704802</v>
      </c>
      <c r="I1627">
        <v>102929252</v>
      </c>
      <c r="J1627">
        <v>24356111</v>
      </c>
      <c r="K1627">
        <v>41205166</v>
      </c>
      <c r="P1627">
        <v>48</v>
      </c>
      <c r="Q1627" t="s">
        <v>3297</v>
      </c>
    </row>
    <row r="1628" spans="1:17" x14ac:dyDescent="0.3">
      <c r="A1628" t="s">
        <v>17</v>
      </c>
      <c r="B1628" t="str">
        <f>"605060"</f>
        <v>605060</v>
      </c>
      <c r="C1628" t="s">
        <v>3298</v>
      </c>
      <c r="D1628" t="s">
        <v>78</v>
      </c>
      <c r="F1628">
        <v>16077480</v>
      </c>
      <c r="G1628">
        <v>105696698</v>
      </c>
      <c r="H1628">
        <v>129124223</v>
      </c>
      <c r="I1628">
        <v>44976797</v>
      </c>
      <c r="J1628">
        <v>95166701</v>
      </c>
      <c r="P1628">
        <v>43</v>
      </c>
      <c r="Q1628" t="s">
        <v>3299</v>
      </c>
    </row>
    <row r="1629" spans="1:17" x14ac:dyDescent="0.3">
      <c r="A1629" t="s">
        <v>17</v>
      </c>
      <c r="B1629" t="str">
        <f>"605066"</f>
        <v>605066</v>
      </c>
      <c r="C1629" t="s">
        <v>3300</v>
      </c>
      <c r="D1629" t="s">
        <v>188</v>
      </c>
      <c r="F1629">
        <v>-111303188</v>
      </c>
      <c r="G1629">
        <v>104666153</v>
      </c>
      <c r="H1629">
        <v>240830008</v>
      </c>
      <c r="I1629">
        <v>52831532</v>
      </c>
      <c r="J1629">
        <v>450900</v>
      </c>
      <c r="P1629">
        <v>54</v>
      </c>
      <c r="Q1629" t="s">
        <v>3301</v>
      </c>
    </row>
    <row r="1630" spans="1:17" x14ac:dyDescent="0.3">
      <c r="A1630" t="s">
        <v>17</v>
      </c>
      <c r="B1630" t="str">
        <f>"605068"</f>
        <v>605068</v>
      </c>
      <c r="C1630" t="s">
        <v>3302</v>
      </c>
      <c r="D1630" t="s">
        <v>27</v>
      </c>
      <c r="F1630">
        <v>-122780577</v>
      </c>
      <c r="G1630">
        <v>-88807465</v>
      </c>
      <c r="H1630">
        <v>48671345</v>
      </c>
      <c r="I1630">
        <v>108896064</v>
      </c>
      <c r="J1630">
        <v>-17329252</v>
      </c>
      <c r="K1630">
        <v>3753149</v>
      </c>
      <c r="P1630">
        <v>90</v>
      </c>
      <c r="Q1630" t="s">
        <v>3303</v>
      </c>
    </row>
    <row r="1631" spans="1:17" x14ac:dyDescent="0.3">
      <c r="A1631" t="s">
        <v>17</v>
      </c>
      <c r="B1631" t="str">
        <f>"605069"</f>
        <v>605069</v>
      </c>
      <c r="C1631" t="s">
        <v>3304</v>
      </c>
      <c r="D1631" t="s">
        <v>33</v>
      </c>
      <c r="F1631">
        <v>-502201985</v>
      </c>
      <c r="G1631">
        <v>-332719217</v>
      </c>
      <c r="H1631">
        <v>-224384061</v>
      </c>
      <c r="I1631">
        <v>-500572871</v>
      </c>
      <c r="J1631">
        <v>61147200</v>
      </c>
      <c r="P1631">
        <v>16</v>
      </c>
      <c r="Q1631" t="s">
        <v>3305</v>
      </c>
    </row>
    <row r="1632" spans="1:17" x14ac:dyDescent="0.3">
      <c r="A1632" t="s">
        <v>17</v>
      </c>
      <c r="B1632" t="str">
        <f>"605077"</f>
        <v>605077</v>
      </c>
      <c r="C1632" t="s">
        <v>3306</v>
      </c>
      <c r="D1632" t="s">
        <v>133</v>
      </c>
      <c r="F1632">
        <v>-96049128</v>
      </c>
      <c r="G1632">
        <v>82728380</v>
      </c>
      <c r="H1632">
        <v>150930897</v>
      </c>
      <c r="I1632">
        <v>23006378</v>
      </c>
      <c r="J1632">
        <v>67068316</v>
      </c>
      <c r="P1632">
        <v>88</v>
      </c>
      <c r="Q1632" t="s">
        <v>3307</v>
      </c>
    </row>
    <row r="1633" spans="1:17" x14ac:dyDescent="0.3">
      <c r="A1633" t="s">
        <v>17</v>
      </c>
      <c r="B1633" t="str">
        <f>"605080"</f>
        <v>605080</v>
      </c>
      <c r="C1633" t="s">
        <v>3308</v>
      </c>
      <c r="D1633" t="s">
        <v>161</v>
      </c>
      <c r="F1633">
        <v>4521296</v>
      </c>
      <c r="G1633">
        <v>107212329</v>
      </c>
      <c r="H1633">
        <v>-15435245</v>
      </c>
      <c r="I1633">
        <v>-45881787</v>
      </c>
      <c r="J1633">
        <v>255750470</v>
      </c>
      <c r="P1633">
        <v>49</v>
      </c>
      <c r="Q1633" t="s">
        <v>3309</v>
      </c>
    </row>
    <row r="1634" spans="1:17" x14ac:dyDescent="0.3">
      <c r="A1634" t="s">
        <v>17</v>
      </c>
      <c r="B1634" t="str">
        <f>"605081"</f>
        <v>605081</v>
      </c>
      <c r="C1634" t="s">
        <v>3310</v>
      </c>
      <c r="D1634" t="s">
        <v>33</v>
      </c>
      <c r="F1634">
        <v>-195942528</v>
      </c>
      <c r="G1634">
        <v>5995359</v>
      </c>
      <c r="H1634">
        <v>-121811221</v>
      </c>
      <c r="I1634">
        <v>10145442</v>
      </c>
      <c r="J1634">
        <v>48471125</v>
      </c>
      <c r="K1634">
        <v>-33547955</v>
      </c>
      <c r="P1634">
        <v>30</v>
      </c>
      <c r="Q1634" t="s">
        <v>3311</v>
      </c>
    </row>
    <row r="1635" spans="1:17" x14ac:dyDescent="0.3">
      <c r="A1635" t="s">
        <v>17</v>
      </c>
      <c r="B1635" t="str">
        <f>"605086"</f>
        <v>605086</v>
      </c>
      <c r="C1635" t="s">
        <v>3312</v>
      </c>
      <c r="D1635" t="s">
        <v>133</v>
      </c>
      <c r="F1635">
        <v>88230238</v>
      </c>
      <c r="G1635">
        <v>25207696</v>
      </c>
      <c r="H1635">
        <v>-4166402</v>
      </c>
      <c r="I1635">
        <v>81682379</v>
      </c>
      <c r="J1635">
        <v>-23541310</v>
      </c>
      <c r="P1635">
        <v>29</v>
      </c>
      <c r="Q1635" t="s">
        <v>3313</v>
      </c>
    </row>
    <row r="1636" spans="1:17" x14ac:dyDescent="0.3">
      <c r="A1636" t="s">
        <v>17</v>
      </c>
      <c r="B1636" t="str">
        <f>"605088"</f>
        <v>605088</v>
      </c>
      <c r="C1636" t="s">
        <v>3314</v>
      </c>
      <c r="D1636" t="s">
        <v>27</v>
      </c>
      <c r="F1636">
        <v>-68934229</v>
      </c>
      <c r="G1636">
        <v>174949118</v>
      </c>
      <c r="H1636">
        <v>129961845</v>
      </c>
      <c r="I1636">
        <v>88035345</v>
      </c>
      <c r="J1636">
        <v>32923017</v>
      </c>
      <c r="P1636">
        <v>47</v>
      </c>
      <c r="Q1636" t="s">
        <v>3315</v>
      </c>
    </row>
    <row r="1637" spans="1:17" x14ac:dyDescent="0.3">
      <c r="A1637" t="s">
        <v>17</v>
      </c>
      <c r="B1637" t="str">
        <f>"605089"</f>
        <v>605089</v>
      </c>
      <c r="C1637" t="s">
        <v>3316</v>
      </c>
      <c r="D1637" t="s">
        <v>123</v>
      </c>
      <c r="F1637">
        <v>40338103</v>
      </c>
      <c r="G1637">
        <v>119227542</v>
      </c>
      <c r="H1637">
        <v>59268973</v>
      </c>
      <c r="I1637">
        <v>89526184</v>
      </c>
      <c r="J1637">
        <v>27501999</v>
      </c>
      <c r="P1637">
        <v>132</v>
      </c>
      <c r="Q1637" t="s">
        <v>3317</v>
      </c>
    </row>
    <row r="1638" spans="1:17" x14ac:dyDescent="0.3">
      <c r="A1638" t="s">
        <v>17</v>
      </c>
      <c r="B1638" t="str">
        <f>"605090"</f>
        <v>605090</v>
      </c>
      <c r="C1638" t="s">
        <v>3318</v>
      </c>
      <c r="D1638" t="s">
        <v>41</v>
      </c>
      <c r="F1638">
        <v>-638222140</v>
      </c>
      <c r="G1638">
        <v>162073287</v>
      </c>
      <c r="H1638">
        <v>1115948540</v>
      </c>
      <c r="I1638">
        <v>-172090214</v>
      </c>
      <c r="J1638">
        <v>461253944</v>
      </c>
      <c r="P1638">
        <v>51</v>
      </c>
      <c r="Q1638" t="s">
        <v>3319</v>
      </c>
    </row>
    <row r="1639" spans="1:17" x14ac:dyDescent="0.3">
      <c r="A1639" t="s">
        <v>17</v>
      </c>
      <c r="B1639" t="str">
        <f>"605098"</f>
        <v>605098</v>
      </c>
      <c r="C1639" t="s">
        <v>3320</v>
      </c>
      <c r="D1639" t="s">
        <v>110</v>
      </c>
      <c r="F1639">
        <v>373766343</v>
      </c>
      <c r="G1639">
        <v>185141009</v>
      </c>
      <c r="H1639">
        <v>160826285</v>
      </c>
      <c r="I1639">
        <v>217603086</v>
      </c>
      <c r="J1639">
        <v>263360889</v>
      </c>
      <c r="P1639">
        <v>53</v>
      </c>
      <c r="Q1639" t="s">
        <v>3321</v>
      </c>
    </row>
    <row r="1640" spans="1:17" x14ac:dyDescent="0.3">
      <c r="A1640" t="s">
        <v>17</v>
      </c>
      <c r="B1640" t="str">
        <f>"605099"</f>
        <v>605099</v>
      </c>
      <c r="C1640" t="s">
        <v>3322</v>
      </c>
      <c r="D1640" t="s">
        <v>161</v>
      </c>
      <c r="F1640">
        <v>22288662</v>
      </c>
      <c r="G1640">
        <v>307209247</v>
      </c>
      <c r="H1640">
        <v>80228177</v>
      </c>
      <c r="I1640">
        <v>43303702</v>
      </c>
      <c r="J1640">
        <v>96575691</v>
      </c>
      <c r="P1640">
        <v>167</v>
      </c>
      <c r="Q1640" t="s">
        <v>3323</v>
      </c>
    </row>
    <row r="1641" spans="1:17" x14ac:dyDescent="0.3">
      <c r="A1641" t="s">
        <v>17</v>
      </c>
      <c r="B1641" t="str">
        <f>"605100"</f>
        <v>605100</v>
      </c>
      <c r="C1641" t="s">
        <v>3324</v>
      </c>
      <c r="D1641" t="s">
        <v>78</v>
      </c>
      <c r="F1641">
        <v>-720610</v>
      </c>
      <c r="G1641">
        <v>104743136</v>
      </c>
      <c r="H1641">
        <v>-22820180</v>
      </c>
      <c r="I1641">
        <v>-2107478</v>
      </c>
      <c r="J1641">
        <v>-18202798</v>
      </c>
      <c r="P1641">
        <v>60</v>
      </c>
      <c r="Q1641" t="s">
        <v>3325</v>
      </c>
    </row>
    <row r="1642" spans="1:17" x14ac:dyDescent="0.3">
      <c r="A1642" t="s">
        <v>17</v>
      </c>
      <c r="B1642" t="str">
        <f>"605108"</f>
        <v>605108</v>
      </c>
      <c r="C1642" t="s">
        <v>3326</v>
      </c>
      <c r="D1642" t="s">
        <v>110</v>
      </c>
      <c r="F1642">
        <v>-184497205</v>
      </c>
      <c r="G1642">
        <v>21165938</v>
      </c>
      <c r="H1642">
        <v>23608258</v>
      </c>
      <c r="I1642">
        <v>152995640</v>
      </c>
      <c r="J1642">
        <v>94817063</v>
      </c>
      <c r="P1642">
        <v>104</v>
      </c>
      <c r="Q1642" t="s">
        <v>3327</v>
      </c>
    </row>
    <row r="1643" spans="1:17" x14ac:dyDescent="0.3">
      <c r="A1643" t="s">
        <v>17</v>
      </c>
      <c r="B1643" t="str">
        <f>"605111"</f>
        <v>605111</v>
      </c>
      <c r="C1643" t="s">
        <v>3328</v>
      </c>
      <c r="D1643" t="s">
        <v>150</v>
      </c>
      <c r="F1643">
        <v>304881297</v>
      </c>
      <c r="G1643">
        <v>22560982</v>
      </c>
      <c r="H1643">
        <v>52753744</v>
      </c>
      <c r="I1643">
        <v>11059244</v>
      </c>
      <c r="J1643">
        <v>59658266</v>
      </c>
      <c r="K1643">
        <v>-3082769</v>
      </c>
      <c r="P1643">
        <v>333</v>
      </c>
      <c r="Q1643" t="s">
        <v>3329</v>
      </c>
    </row>
    <row r="1644" spans="1:17" x14ac:dyDescent="0.3">
      <c r="A1644" t="s">
        <v>17</v>
      </c>
      <c r="B1644" t="str">
        <f>"605116"</f>
        <v>605116</v>
      </c>
      <c r="C1644" t="s">
        <v>3330</v>
      </c>
      <c r="D1644" t="s">
        <v>113</v>
      </c>
      <c r="F1644">
        <v>-48447011</v>
      </c>
      <c r="G1644">
        <v>56501856</v>
      </c>
      <c r="H1644">
        <v>108601984</v>
      </c>
      <c r="I1644">
        <v>16108782</v>
      </c>
      <c r="J1644">
        <v>12859108</v>
      </c>
      <c r="K1644">
        <v>134956603</v>
      </c>
      <c r="P1644">
        <v>81</v>
      </c>
      <c r="Q1644" t="s">
        <v>3331</v>
      </c>
    </row>
    <row r="1645" spans="1:17" x14ac:dyDescent="0.3">
      <c r="A1645" t="s">
        <v>17</v>
      </c>
      <c r="B1645" t="str">
        <f>"605117"</f>
        <v>605117</v>
      </c>
      <c r="C1645" t="s">
        <v>3332</v>
      </c>
      <c r="D1645" t="s">
        <v>126</v>
      </c>
      <c r="F1645">
        <v>195058846</v>
      </c>
      <c r="G1645">
        <v>370461575</v>
      </c>
      <c r="H1645">
        <v>324248098</v>
      </c>
      <c r="I1645">
        <v>110105923</v>
      </c>
      <c r="J1645">
        <v>31672585</v>
      </c>
      <c r="P1645">
        <v>141</v>
      </c>
      <c r="Q1645" t="s">
        <v>3333</v>
      </c>
    </row>
    <row r="1646" spans="1:17" x14ac:dyDescent="0.3">
      <c r="A1646" t="s">
        <v>17</v>
      </c>
      <c r="B1646" t="str">
        <f>"605118"</f>
        <v>605118</v>
      </c>
      <c r="C1646" t="s">
        <v>3334</v>
      </c>
      <c r="D1646" t="s">
        <v>212</v>
      </c>
      <c r="F1646">
        <v>-49187129</v>
      </c>
      <c r="G1646">
        <v>67527562</v>
      </c>
      <c r="H1646">
        <v>136278200</v>
      </c>
      <c r="I1646">
        <v>84073103</v>
      </c>
      <c r="J1646">
        <v>112554776</v>
      </c>
      <c r="P1646">
        <v>114</v>
      </c>
      <c r="Q1646" t="s">
        <v>3335</v>
      </c>
    </row>
    <row r="1647" spans="1:17" x14ac:dyDescent="0.3">
      <c r="A1647" t="s">
        <v>17</v>
      </c>
      <c r="B1647" t="str">
        <f>"605122"</f>
        <v>605122</v>
      </c>
      <c r="C1647" t="s">
        <v>3336</v>
      </c>
      <c r="D1647" t="s">
        <v>350</v>
      </c>
      <c r="F1647">
        <v>-268715804</v>
      </c>
      <c r="G1647">
        <v>36692619</v>
      </c>
      <c r="H1647">
        <v>108273106</v>
      </c>
      <c r="I1647">
        <v>-71988134</v>
      </c>
      <c r="J1647">
        <v>-30885025</v>
      </c>
      <c r="K1647">
        <v>37482615</v>
      </c>
      <c r="P1647">
        <v>36</v>
      </c>
      <c r="Q1647" t="s">
        <v>3337</v>
      </c>
    </row>
    <row r="1648" spans="1:17" x14ac:dyDescent="0.3">
      <c r="A1648" t="s">
        <v>17</v>
      </c>
      <c r="B1648" t="str">
        <f>"605123"</f>
        <v>605123</v>
      </c>
      <c r="C1648" t="s">
        <v>3338</v>
      </c>
      <c r="D1648" t="s">
        <v>92</v>
      </c>
      <c r="F1648">
        <v>-169638802</v>
      </c>
      <c r="G1648">
        <v>-140845243</v>
      </c>
      <c r="H1648">
        <v>10015577</v>
      </c>
      <c r="I1648">
        <v>-13559612</v>
      </c>
      <c r="J1648">
        <v>8326016</v>
      </c>
      <c r="P1648">
        <v>143</v>
      </c>
      <c r="Q1648" t="s">
        <v>3339</v>
      </c>
    </row>
    <row r="1649" spans="1:17" x14ac:dyDescent="0.3">
      <c r="A1649" t="s">
        <v>17</v>
      </c>
      <c r="B1649" t="str">
        <f>"605128"</f>
        <v>605128</v>
      </c>
      <c r="C1649" t="s">
        <v>3340</v>
      </c>
      <c r="D1649" t="s">
        <v>27</v>
      </c>
      <c r="F1649">
        <v>-78433061</v>
      </c>
      <c r="G1649">
        <v>-20694350</v>
      </c>
      <c r="H1649">
        <v>43682153</v>
      </c>
      <c r="I1649">
        <v>163378240</v>
      </c>
      <c r="J1649">
        <v>-4236298</v>
      </c>
      <c r="P1649">
        <v>53</v>
      </c>
      <c r="Q1649" t="s">
        <v>3341</v>
      </c>
    </row>
    <row r="1650" spans="1:17" x14ac:dyDescent="0.3">
      <c r="A1650" t="s">
        <v>17</v>
      </c>
      <c r="B1650" t="str">
        <f>"605133"</f>
        <v>605133</v>
      </c>
      <c r="C1650" t="s">
        <v>3342</v>
      </c>
      <c r="D1650" t="s">
        <v>27</v>
      </c>
      <c r="F1650">
        <v>-156872141</v>
      </c>
      <c r="G1650">
        <v>132270267</v>
      </c>
      <c r="H1650">
        <v>8775496</v>
      </c>
      <c r="I1650">
        <v>-118925460</v>
      </c>
      <c r="J1650">
        <v>-71386166</v>
      </c>
      <c r="P1650">
        <v>36</v>
      </c>
      <c r="Q1650" t="s">
        <v>3343</v>
      </c>
    </row>
    <row r="1651" spans="1:17" x14ac:dyDescent="0.3">
      <c r="A1651" t="s">
        <v>17</v>
      </c>
      <c r="B1651" t="str">
        <f>"605136"</f>
        <v>605136</v>
      </c>
      <c r="C1651" t="s">
        <v>3344</v>
      </c>
      <c r="D1651" t="s">
        <v>120</v>
      </c>
      <c r="F1651">
        <v>-147578707</v>
      </c>
      <c r="G1651">
        <v>166804116</v>
      </c>
      <c r="H1651">
        <v>193848743</v>
      </c>
      <c r="I1651">
        <v>-146889964</v>
      </c>
      <c r="J1651">
        <v>325686697</v>
      </c>
      <c r="K1651">
        <v>-61442827</v>
      </c>
      <c r="P1651">
        <v>99</v>
      </c>
      <c r="Q1651" t="s">
        <v>3345</v>
      </c>
    </row>
    <row r="1652" spans="1:17" x14ac:dyDescent="0.3">
      <c r="A1652" t="s">
        <v>17</v>
      </c>
      <c r="B1652" t="str">
        <f>"605138"</f>
        <v>605138</v>
      </c>
      <c r="C1652" t="s">
        <v>3346</v>
      </c>
      <c r="D1652" t="s">
        <v>227</v>
      </c>
      <c r="F1652">
        <v>-344022181</v>
      </c>
      <c r="G1652">
        <v>372242688</v>
      </c>
      <c r="H1652">
        <v>438287482</v>
      </c>
      <c r="I1652">
        <v>32126258</v>
      </c>
      <c r="J1652">
        <v>322562600</v>
      </c>
      <c r="P1652">
        <v>27</v>
      </c>
      <c r="Q1652" t="s">
        <v>3347</v>
      </c>
    </row>
    <row r="1653" spans="1:17" x14ac:dyDescent="0.3">
      <c r="A1653" t="s">
        <v>17</v>
      </c>
      <c r="B1653" t="str">
        <f>"605151"</f>
        <v>605151</v>
      </c>
      <c r="C1653" t="s">
        <v>3348</v>
      </c>
      <c r="D1653" t="s">
        <v>27</v>
      </c>
      <c r="F1653">
        <v>101770422</v>
      </c>
      <c r="G1653">
        <v>180565484</v>
      </c>
      <c r="H1653">
        <v>109930163</v>
      </c>
      <c r="I1653">
        <v>134587752</v>
      </c>
      <c r="J1653">
        <v>187739492</v>
      </c>
      <c r="K1653">
        <v>66100800</v>
      </c>
      <c r="P1653">
        <v>55</v>
      </c>
      <c r="Q1653" t="s">
        <v>3349</v>
      </c>
    </row>
    <row r="1654" spans="1:17" x14ac:dyDescent="0.3">
      <c r="A1654" t="s">
        <v>17</v>
      </c>
      <c r="B1654" t="str">
        <f>"605155"</f>
        <v>605155</v>
      </c>
      <c r="C1654" t="s">
        <v>3350</v>
      </c>
      <c r="D1654" t="s">
        <v>161</v>
      </c>
      <c r="F1654">
        <v>-62637850</v>
      </c>
      <c r="G1654">
        <v>49325417</v>
      </c>
      <c r="H1654">
        <v>58446205</v>
      </c>
      <c r="I1654">
        <v>-7175106</v>
      </c>
      <c r="J1654">
        <v>2339029</v>
      </c>
      <c r="K1654">
        <v>25265319</v>
      </c>
      <c r="P1654">
        <v>46</v>
      </c>
      <c r="Q1654" t="s">
        <v>3351</v>
      </c>
    </row>
    <row r="1655" spans="1:17" x14ac:dyDescent="0.3">
      <c r="A1655" t="s">
        <v>17</v>
      </c>
      <c r="B1655" t="str">
        <f>"605158"</f>
        <v>605158</v>
      </c>
      <c r="C1655" t="s">
        <v>3352</v>
      </c>
      <c r="D1655" t="s">
        <v>38</v>
      </c>
      <c r="F1655">
        <v>161462010</v>
      </c>
      <c r="G1655">
        <v>343511657</v>
      </c>
      <c r="H1655">
        <v>146553893</v>
      </c>
      <c r="I1655">
        <v>83848132</v>
      </c>
      <c r="J1655">
        <v>-67799410</v>
      </c>
      <c r="P1655">
        <v>91</v>
      </c>
      <c r="Q1655" t="s">
        <v>3353</v>
      </c>
    </row>
    <row r="1656" spans="1:17" x14ac:dyDescent="0.3">
      <c r="A1656" t="s">
        <v>17</v>
      </c>
      <c r="B1656" t="str">
        <f>"605162"</f>
        <v>605162</v>
      </c>
      <c r="C1656" t="s">
        <v>3354</v>
      </c>
      <c r="D1656" t="s">
        <v>41</v>
      </c>
      <c r="F1656">
        <v>-146233213</v>
      </c>
      <c r="G1656">
        <v>-13087631</v>
      </c>
      <c r="H1656">
        <v>157747206</v>
      </c>
      <c r="I1656">
        <v>142385458</v>
      </c>
      <c r="J1656">
        <v>69659987</v>
      </c>
      <c r="P1656">
        <v>27</v>
      </c>
      <c r="Q1656" t="s">
        <v>3355</v>
      </c>
    </row>
    <row r="1657" spans="1:17" x14ac:dyDescent="0.3">
      <c r="A1657" t="s">
        <v>17</v>
      </c>
      <c r="B1657" t="str">
        <f>"605166"</f>
        <v>605166</v>
      </c>
      <c r="C1657" t="s">
        <v>3356</v>
      </c>
      <c r="D1657" t="s">
        <v>133</v>
      </c>
      <c r="F1657">
        <v>86059794</v>
      </c>
      <c r="G1657">
        <v>46351442</v>
      </c>
      <c r="H1657">
        <v>1052734</v>
      </c>
      <c r="I1657">
        <v>-11999317</v>
      </c>
      <c r="J1657">
        <v>85435618</v>
      </c>
      <c r="K1657">
        <v>11018308</v>
      </c>
      <c r="P1657">
        <v>70</v>
      </c>
      <c r="Q1657" t="s">
        <v>3357</v>
      </c>
    </row>
    <row r="1658" spans="1:17" x14ac:dyDescent="0.3">
      <c r="A1658" t="s">
        <v>17</v>
      </c>
      <c r="B1658" t="str">
        <f>"605167"</f>
        <v>605167</v>
      </c>
      <c r="C1658" t="s">
        <v>3358</v>
      </c>
      <c r="D1658" t="s">
        <v>95</v>
      </c>
      <c r="F1658">
        <v>-120742376</v>
      </c>
      <c r="G1658">
        <v>-12666816</v>
      </c>
      <c r="H1658">
        <v>28632134</v>
      </c>
      <c r="I1658">
        <v>6273276</v>
      </c>
      <c r="J1658">
        <v>-19304083</v>
      </c>
      <c r="P1658">
        <v>22</v>
      </c>
      <c r="Q1658" t="s">
        <v>3359</v>
      </c>
    </row>
    <row r="1659" spans="1:17" x14ac:dyDescent="0.3">
      <c r="A1659" t="s">
        <v>17</v>
      </c>
      <c r="B1659" t="str">
        <f>"605168"</f>
        <v>605168</v>
      </c>
      <c r="C1659" t="s">
        <v>3360</v>
      </c>
      <c r="D1659" t="s">
        <v>89</v>
      </c>
      <c r="F1659">
        <v>142581408</v>
      </c>
      <c r="G1659">
        <v>90311795</v>
      </c>
      <c r="H1659">
        <v>137322215</v>
      </c>
      <c r="I1659">
        <v>75842265</v>
      </c>
      <c r="J1659">
        <v>130969044</v>
      </c>
      <c r="P1659">
        <v>317</v>
      </c>
      <c r="Q1659" t="s">
        <v>3361</v>
      </c>
    </row>
    <row r="1660" spans="1:17" x14ac:dyDescent="0.3">
      <c r="A1660" t="s">
        <v>17</v>
      </c>
      <c r="B1660" t="str">
        <f>"605169"</f>
        <v>605169</v>
      </c>
      <c r="C1660" t="s">
        <v>3362</v>
      </c>
      <c r="D1660" t="s">
        <v>41</v>
      </c>
      <c r="F1660">
        <v>-94120654</v>
      </c>
      <c r="G1660">
        <v>22398114</v>
      </c>
      <c r="H1660">
        <v>143938504</v>
      </c>
      <c r="I1660">
        <v>157914383</v>
      </c>
      <c r="J1660">
        <v>88446219</v>
      </c>
      <c r="P1660">
        <v>62</v>
      </c>
      <c r="Q1660" t="s">
        <v>3363</v>
      </c>
    </row>
    <row r="1661" spans="1:17" x14ac:dyDescent="0.3">
      <c r="A1661" t="s">
        <v>17</v>
      </c>
      <c r="B1661" t="str">
        <f>"605177"</f>
        <v>605177</v>
      </c>
      <c r="C1661" t="s">
        <v>3364</v>
      </c>
      <c r="D1661" t="s">
        <v>113</v>
      </c>
      <c r="F1661">
        <v>-140200057</v>
      </c>
      <c r="G1661">
        <v>96334466</v>
      </c>
      <c r="H1661">
        <v>159503330</v>
      </c>
      <c r="I1661">
        <v>115022054</v>
      </c>
      <c r="J1661">
        <v>64130248</v>
      </c>
      <c r="K1661">
        <v>15705000</v>
      </c>
      <c r="P1661">
        <v>38</v>
      </c>
      <c r="Q1661" t="s">
        <v>3365</v>
      </c>
    </row>
    <row r="1662" spans="1:17" x14ac:dyDescent="0.3">
      <c r="A1662" t="s">
        <v>17</v>
      </c>
      <c r="B1662" t="str">
        <f>"605178"</f>
        <v>605178</v>
      </c>
      <c r="C1662" t="s">
        <v>3366</v>
      </c>
      <c r="D1662" t="s">
        <v>95</v>
      </c>
      <c r="F1662">
        <v>-289225537</v>
      </c>
      <c r="G1662">
        <v>-51761107</v>
      </c>
      <c r="H1662">
        <v>-268180867</v>
      </c>
      <c r="I1662">
        <v>114075850</v>
      </c>
      <c r="J1662">
        <v>73468271</v>
      </c>
      <c r="P1662">
        <v>49</v>
      </c>
      <c r="Q1662" t="s">
        <v>3367</v>
      </c>
    </row>
    <row r="1663" spans="1:17" x14ac:dyDescent="0.3">
      <c r="A1663" t="s">
        <v>17</v>
      </c>
      <c r="B1663" t="str">
        <f>"605179"</f>
        <v>605179</v>
      </c>
      <c r="C1663" t="s">
        <v>3368</v>
      </c>
      <c r="D1663" t="s">
        <v>123</v>
      </c>
      <c r="F1663">
        <v>-226512316</v>
      </c>
      <c r="G1663">
        <v>-289112825</v>
      </c>
      <c r="H1663">
        <v>-148767011</v>
      </c>
      <c r="I1663">
        <v>123043504</v>
      </c>
      <c r="J1663">
        <v>116459700</v>
      </c>
      <c r="P1663">
        <v>84</v>
      </c>
      <c r="Q1663" t="s">
        <v>3369</v>
      </c>
    </row>
    <row r="1664" spans="1:17" x14ac:dyDescent="0.3">
      <c r="A1664" t="s">
        <v>17</v>
      </c>
      <c r="B1664" t="str">
        <f>"605180"</f>
        <v>605180</v>
      </c>
      <c r="C1664" t="s">
        <v>3370</v>
      </c>
      <c r="D1664" t="s">
        <v>227</v>
      </c>
      <c r="F1664">
        <v>-33352515</v>
      </c>
      <c r="G1664">
        <v>9397427</v>
      </c>
      <c r="H1664">
        <v>53280099</v>
      </c>
      <c r="I1664">
        <v>42492916</v>
      </c>
      <c r="J1664">
        <v>43054261</v>
      </c>
      <c r="P1664">
        <v>40</v>
      </c>
      <c r="Q1664" t="s">
        <v>3371</v>
      </c>
    </row>
    <row r="1665" spans="1:17" x14ac:dyDescent="0.3">
      <c r="A1665" t="s">
        <v>17</v>
      </c>
      <c r="B1665" t="str">
        <f>"605183"</f>
        <v>605183</v>
      </c>
      <c r="C1665" t="s">
        <v>3372</v>
      </c>
      <c r="D1665" t="s">
        <v>133</v>
      </c>
      <c r="F1665">
        <v>154400225</v>
      </c>
      <c r="G1665">
        <v>105138518</v>
      </c>
      <c r="H1665">
        <v>151335115</v>
      </c>
      <c r="I1665">
        <v>-54439285</v>
      </c>
      <c r="J1665">
        <v>141791769</v>
      </c>
      <c r="K1665">
        <v>186396905</v>
      </c>
      <c r="P1665">
        <v>63</v>
      </c>
      <c r="Q1665" t="s">
        <v>3373</v>
      </c>
    </row>
    <row r="1666" spans="1:17" x14ac:dyDescent="0.3">
      <c r="A1666" t="s">
        <v>17</v>
      </c>
      <c r="B1666" t="str">
        <f>"605186"</f>
        <v>605186</v>
      </c>
      <c r="C1666" t="s">
        <v>3374</v>
      </c>
      <c r="D1666" t="s">
        <v>78</v>
      </c>
      <c r="F1666">
        <v>-27536802</v>
      </c>
      <c r="G1666">
        <v>10872871</v>
      </c>
      <c r="H1666">
        <v>-20522815</v>
      </c>
      <c r="I1666">
        <v>44199610</v>
      </c>
      <c r="J1666">
        <v>56095490</v>
      </c>
      <c r="K1666">
        <v>53246615</v>
      </c>
      <c r="P1666">
        <v>47</v>
      </c>
      <c r="Q1666" t="s">
        <v>3375</v>
      </c>
    </row>
    <row r="1667" spans="1:17" x14ac:dyDescent="0.3">
      <c r="A1667" t="s">
        <v>17</v>
      </c>
      <c r="B1667" t="str">
        <f>"605188"</f>
        <v>605188</v>
      </c>
      <c r="C1667" t="s">
        <v>3376</v>
      </c>
      <c r="D1667" t="s">
        <v>120</v>
      </c>
      <c r="F1667">
        <v>58139439</v>
      </c>
      <c r="G1667">
        <v>137854391</v>
      </c>
      <c r="H1667">
        <v>136446688</v>
      </c>
      <c r="I1667">
        <v>107397000</v>
      </c>
      <c r="J1667">
        <v>62085245</v>
      </c>
      <c r="P1667">
        <v>43</v>
      </c>
      <c r="Q1667" t="s">
        <v>3377</v>
      </c>
    </row>
    <row r="1668" spans="1:17" x14ac:dyDescent="0.3">
      <c r="A1668" t="s">
        <v>17</v>
      </c>
      <c r="B1668" t="str">
        <f>"605189"</f>
        <v>605189</v>
      </c>
      <c r="C1668" t="s">
        <v>3378</v>
      </c>
      <c r="D1668" t="s">
        <v>227</v>
      </c>
      <c r="F1668">
        <v>-71942452</v>
      </c>
      <c r="G1668">
        <v>168916860</v>
      </c>
      <c r="H1668">
        <v>-30838241</v>
      </c>
      <c r="I1668">
        <v>-17346435</v>
      </c>
      <c r="J1668">
        <v>27413459</v>
      </c>
      <c r="P1668">
        <v>44</v>
      </c>
      <c r="Q1668" t="s">
        <v>3379</v>
      </c>
    </row>
    <row r="1669" spans="1:17" x14ac:dyDescent="0.3">
      <c r="A1669" t="s">
        <v>17</v>
      </c>
      <c r="B1669" t="str">
        <f>"605196"</f>
        <v>605196</v>
      </c>
      <c r="C1669" t="s">
        <v>3380</v>
      </c>
      <c r="D1669" t="s">
        <v>188</v>
      </c>
      <c r="F1669">
        <v>-730279424</v>
      </c>
      <c r="G1669">
        <v>-57396248</v>
      </c>
      <c r="H1669">
        <v>94965324</v>
      </c>
      <c r="I1669">
        <v>-261752215</v>
      </c>
      <c r="J1669">
        <v>-96004700</v>
      </c>
      <c r="P1669">
        <v>27</v>
      </c>
      <c r="Q1669" t="s">
        <v>3381</v>
      </c>
    </row>
    <row r="1670" spans="1:17" x14ac:dyDescent="0.3">
      <c r="A1670" t="s">
        <v>17</v>
      </c>
      <c r="B1670" t="str">
        <f>"605198"</f>
        <v>605198</v>
      </c>
      <c r="C1670" t="s">
        <v>3382</v>
      </c>
      <c r="D1670" t="s">
        <v>205</v>
      </c>
      <c r="F1670">
        <v>122992614</v>
      </c>
      <c r="G1670">
        <v>204888350</v>
      </c>
      <c r="H1670">
        <v>-36316087</v>
      </c>
      <c r="I1670">
        <v>401098304</v>
      </c>
      <c r="J1670">
        <v>123491354</v>
      </c>
      <c r="K1670">
        <v>151754982</v>
      </c>
      <c r="P1670">
        <v>47</v>
      </c>
      <c r="Q1670" t="s">
        <v>3383</v>
      </c>
    </row>
    <row r="1671" spans="1:17" x14ac:dyDescent="0.3">
      <c r="A1671" t="s">
        <v>17</v>
      </c>
      <c r="B1671" t="str">
        <f>"605199"</f>
        <v>605199</v>
      </c>
      <c r="C1671" t="s">
        <v>3384</v>
      </c>
      <c r="D1671" t="s">
        <v>113</v>
      </c>
      <c r="F1671">
        <v>-35029116</v>
      </c>
      <c r="G1671">
        <v>-56038386</v>
      </c>
      <c r="H1671">
        <v>86124124</v>
      </c>
      <c r="I1671">
        <v>-40946887</v>
      </c>
      <c r="J1671">
        <v>-67421572</v>
      </c>
      <c r="K1671">
        <v>24004510</v>
      </c>
      <c r="P1671">
        <v>136</v>
      </c>
      <c r="Q1671" t="s">
        <v>3385</v>
      </c>
    </row>
    <row r="1672" spans="1:17" x14ac:dyDescent="0.3">
      <c r="A1672" t="s">
        <v>17</v>
      </c>
      <c r="B1672" t="str">
        <f>"605208"</f>
        <v>605208</v>
      </c>
      <c r="C1672" t="s">
        <v>3386</v>
      </c>
      <c r="D1672" t="s">
        <v>234</v>
      </c>
      <c r="F1672">
        <v>-394895315</v>
      </c>
      <c r="G1672">
        <v>-124258345</v>
      </c>
      <c r="H1672">
        <v>-143804076</v>
      </c>
      <c r="I1672">
        <v>51469135</v>
      </c>
      <c r="J1672">
        <v>-183712711</v>
      </c>
      <c r="P1672">
        <v>40</v>
      </c>
      <c r="Q1672" t="s">
        <v>3387</v>
      </c>
    </row>
    <row r="1673" spans="1:17" x14ac:dyDescent="0.3">
      <c r="A1673" t="s">
        <v>17</v>
      </c>
      <c r="B1673" t="str">
        <f>"605218"</f>
        <v>605218</v>
      </c>
      <c r="C1673" t="s">
        <v>3388</v>
      </c>
      <c r="D1673" t="s">
        <v>150</v>
      </c>
      <c r="F1673">
        <v>-41401854</v>
      </c>
      <c r="G1673">
        <v>-61594880</v>
      </c>
      <c r="H1673">
        <v>151103689</v>
      </c>
      <c r="I1673">
        <v>38364772</v>
      </c>
      <c r="J1673">
        <v>84848958</v>
      </c>
      <c r="K1673">
        <v>55862572</v>
      </c>
      <c r="P1673">
        <v>56</v>
      </c>
      <c r="Q1673" t="s">
        <v>3389</v>
      </c>
    </row>
    <row r="1674" spans="1:17" x14ac:dyDescent="0.3">
      <c r="A1674" t="s">
        <v>17</v>
      </c>
      <c r="B1674" t="str">
        <f>"605222"</f>
        <v>605222</v>
      </c>
      <c r="C1674" t="s">
        <v>3390</v>
      </c>
      <c r="D1674" t="s">
        <v>188</v>
      </c>
      <c r="F1674">
        <v>-165937802</v>
      </c>
      <c r="G1674">
        <v>-1587914605</v>
      </c>
      <c r="H1674">
        <v>19840093</v>
      </c>
      <c r="I1674">
        <v>-116163339</v>
      </c>
      <c r="J1674">
        <v>-34391592</v>
      </c>
      <c r="P1674">
        <v>110</v>
      </c>
      <c r="Q1674" t="s">
        <v>3391</v>
      </c>
    </row>
    <row r="1675" spans="1:17" x14ac:dyDescent="0.3">
      <c r="A1675" t="s">
        <v>17</v>
      </c>
      <c r="B1675" t="str">
        <f>"605228"</f>
        <v>605228</v>
      </c>
      <c r="C1675" t="s">
        <v>3392</v>
      </c>
      <c r="D1675" t="s">
        <v>27</v>
      </c>
      <c r="F1675">
        <v>-15227082</v>
      </c>
      <c r="G1675">
        <v>130370972</v>
      </c>
      <c r="H1675">
        <v>70575290</v>
      </c>
      <c r="I1675">
        <v>-10407304</v>
      </c>
      <c r="J1675">
        <v>27549568</v>
      </c>
      <c r="P1675">
        <v>30</v>
      </c>
      <c r="Q1675" t="s">
        <v>3393</v>
      </c>
    </row>
    <row r="1676" spans="1:17" x14ac:dyDescent="0.3">
      <c r="A1676" t="s">
        <v>17</v>
      </c>
      <c r="B1676" t="str">
        <f>"605255"</f>
        <v>605255</v>
      </c>
      <c r="C1676" t="s">
        <v>3394</v>
      </c>
      <c r="D1676" t="s">
        <v>27</v>
      </c>
      <c r="F1676">
        <v>-72849073</v>
      </c>
      <c r="G1676">
        <v>-35707274</v>
      </c>
      <c r="H1676">
        <v>17028780</v>
      </c>
      <c r="I1676">
        <v>79948203</v>
      </c>
      <c r="J1676">
        <v>64252277</v>
      </c>
      <c r="P1676">
        <v>51</v>
      </c>
      <c r="Q1676" t="s">
        <v>3395</v>
      </c>
    </row>
    <row r="1677" spans="1:17" x14ac:dyDescent="0.3">
      <c r="A1677" t="s">
        <v>17</v>
      </c>
      <c r="B1677" t="str">
        <f>"605258"</f>
        <v>605258</v>
      </c>
      <c r="C1677" t="s">
        <v>3396</v>
      </c>
      <c r="D1677" t="s">
        <v>150</v>
      </c>
      <c r="F1677">
        <v>-131090189</v>
      </c>
      <c r="G1677">
        <v>-72658795</v>
      </c>
      <c r="H1677">
        <v>88435836</v>
      </c>
      <c r="I1677">
        <v>-2229860</v>
      </c>
      <c r="J1677">
        <v>-48327053</v>
      </c>
      <c r="K1677">
        <v>-2623652</v>
      </c>
      <c r="P1677">
        <v>51</v>
      </c>
      <c r="Q1677" t="s">
        <v>3397</v>
      </c>
    </row>
    <row r="1678" spans="1:17" x14ac:dyDescent="0.3">
      <c r="A1678" t="s">
        <v>17</v>
      </c>
      <c r="B1678" t="str">
        <f>"605259"</f>
        <v>605259</v>
      </c>
      <c r="C1678" t="s">
        <v>3398</v>
      </c>
      <c r="D1678" t="s">
        <v>78</v>
      </c>
      <c r="F1678">
        <v>16124494</v>
      </c>
      <c r="G1678">
        <v>93066220</v>
      </c>
      <c r="H1678">
        <v>-20880246</v>
      </c>
      <c r="I1678">
        <v>15774529</v>
      </c>
      <c r="J1678">
        <v>-22336939</v>
      </c>
      <c r="P1678">
        <v>17</v>
      </c>
      <c r="Q1678" t="s">
        <v>3399</v>
      </c>
    </row>
    <row r="1679" spans="1:17" x14ac:dyDescent="0.3">
      <c r="A1679" t="s">
        <v>17</v>
      </c>
      <c r="B1679" t="str">
        <f>"605266"</f>
        <v>605266</v>
      </c>
      <c r="C1679" t="s">
        <v>3400</v>
      </c>
      <c r="D1679" t="s">
        <v>113</v>
      </c>
      <c r="F1679">
        <v>358891413</v>
      </c>
      <c r="G1679">
        <v>183611910</v>
      </c>
      <c r="H1679">
        <v>204403278</v>
      </c>
      <c r="I1679">
        <v>89301692</v>
      </c>
      <c r="J1679">
        <v>50973860</v>
      </c>
      <c r="K1679">
        <v>97218960</v>
      </c>
      <c r="P1679">
        <v>105</v>
      </c>
      <c r="Q1679" t="s">
        <v>3401</v>
      </c>
    </row>
    <row r="1680" spans="1:17" x14ac:dyDescent="0.3">
      <c r="A1680" t="s">
        <v>17</v>
      </c>
      <c r="B1680" t="str">
        <f>"605268"</f>
        <v>605268</v>
      </c>
      <c r="C1680" t="s">
        <v>3402</v>
      </c>
      <c r="D1680" t="s">
        <v>161</v>
      </c>
      <c r="F1680">
        <v>-572995100</v>
      </c>
      <c r="G1680">
        <v>96709824</v>
      </c>
      <c r="H1680">
        <v>33343187</v>
      </c>
      <c r="I1680">
        <v>66892189</v>
      </c>
      <c r="J1680">
        <v>24906325</v>
      </c>
      <c r="K1680">
        <v>156144400</v>
      </c>
      <c r="P1680">
        <v>61</v>
      </c>
      <c r="Q1680" t="s">
        <v>3403</v>
      </c>
    </row>
    <row r="1681" spans="1:17" x14ac:dyDescent="0.3">
      <c r="A1681" t="s">
        <v>17</v>
      </c>
      <c r="B1681" t="str">
        <f>"605277"</f>
        <v>605277</v>
      </c>
      <c r="C1681" t="s">
        <v>3404</v>
      </c>
      <c r="D1681" t="s">
        <v>150</v>
      </c>
      <c r="F1681">
        <v>-94600274</v>
      </c>
      <c r="G1681">
        <v>907635</v>
      </c>
      <c r="H1681">
        <v>61117163</v>
      </c>
      <c r="I1681">
        <v>87868156</v>
      </c>
      <c r="J1681">
        <v>47771252</v>
      </c>
      <c r="K1681">
        <v>58948970</v>
      </c>
      <c r="P1681">
        <v>68</v>
      </c>
      <c r="Q1681" t="s">
        <v>3405</v>
      </c>
    </row>
    <row r="1682" spans="1:17" x14ac:dyDescent="0.3">
      <c r="A1682" t="s">
        <v>17</v>
      </c>
      <c r="B1682" t="str">
        <f>"605286"</f>
        <v>605286</v>
      </c>
      <c r="C1682" t="s">
        <v>3406</v>
      </c>
      <c r="D1682" t="s">
        <v>78</v>
      </c>
      <c r="F1682">
        <v>-199563208</v>
      </c>
      <c r="G1682">
        <v>82937919</v>
      </c>
      <c r="H1682">
        <v>82589485</v>
      </c>
      <c r="I1682">
        <v>79356950</v>
      </c>
      <c r="J1682">
        <v>175135834</v>
      </c>
      <c r="P1682">
        <v>27</v>
      </c>
      <c r="Q1682" t="s">
        <v>3407</v>
      </c>
    </row>
    <row r="1683" spans="1:17" x14ac:dyDescent="0.3">
      <c r="A1683" t="s">
        <v>17</v>
      </c>
      <c r="B1683" t="str">
        <f>"605287"</f>
        <v>605287</v>
      </c>
      <c r="C1683" t="s">
        <v>3408</v>
      </c>
      <c r="D1683" t="s">
        <v>95</v>
      </c>
      <c r="F1683">
        <v>-66703177</v>
      </c>
      <c r="G1683">
        <v>280993248</v>
      </c>
      <c r="H1683">
        <v>-203998300</v>
      </c>
      <c r="I1683">
        <v>16153947</v>
      </c>
      <c r="J1683">
        <v>-59016457</v>
      </c>
      <c r="P1683">
        <v>21</v>
      </c>
      <c r="Q1683" t="s">
        <v>3409</v>
      </c>
    </row>
    <row r="1684" spans="1:17" x14ac:dyDescent="0.3">
      <c r="A1684" t="s">
        <v>17</v>
      </c>
      <c r="B1684" t="str">
        <f>"605288"</f>
        <v>605288</v>
      </c>
      <c r="C1684" t="s">
        <v>3410</v>
      </c>
      <c r="D1684" t="s">
        <v>78</v>
      </c>
      <c r="F1684">
        <v>-213640759</v>
      </c>
      <c r="G1684">
        <v>-69057634</v>
      </c>
      <c r="H1684">
        <v>85574493</v>
      </c>
      <c r="I1684">
        <v>144575514</v>
      </c>
      <c r="J1684">
        <v>77939439</v>
      </c>
      <c r="P1684">
        <v>86</v>
      </c>
      <c r="Q1684" t="s">
        <v>3411</v>
      </c>
    </row>
    <row r="1685" spans="1:17" x14ac:dyDescent="0.3">
      <c r="A1685" t="s">
        <v>17</v>
      </c>
      <c r="B1685" t="str">
        <f>"605289"</f>
        <v>605289</v>
      </c>
      <c r="C1685" t="s">
        <v>3412</v>
      </c>
      <c r="D1685" t="s">
        <v>95</v>
      </c>
      <c r="F1685">
        <v>-242749476</v>
      </c>
      <c r="G1685">
        <v>36623223</v>
      </c>
      <c r="H1685">
        <v>86487397</v>
      </c>
      <c r="I1685">
        <v>64406285</v>
      </c>
      <c r="J1685">
        <v>-49986129</v>
      </c>
      <c r="K1685">
        <v>-5804741</v>
      </c>
      <c r="P1685">
        <v>29</v>
      </c>
      <c r="Q1685" t="s">
        <v>3413</v>
      </c>
    </row>
    <row r="1686" spans="1:17" x14ac:dyDescent="0.3">
      <c r="A1686" t="s">
        <v>17</v>
      </c>
      <c r="B1686" t="str">
        <f>"605296"</f>
        <v>605296</v>
      </c>
      <c r="C1686" t="s">
        <v>3414</v>
      </c>
      <c r="D1686" t="s">
        <v>205</v>
      </c>
      <c r="F1686">
        <v>-597980970</v>
      </c>
      <c r="G1686">
        <v>259806865</v>
      </c>
      <c r="H1686">
        <v>339942394</v>
      </c>
      <c r="I1686">
        <v>-56727839</v>
      </c>
      <c r="J1686">
        <v>-2615503</v>
      </c>
      <c r="P1686">
        <v>59</v>
      </c>
      <c r="Q1686" t="s">
        <v>3415</v>
      </c>
    </row>
    <row r="1687" spans="1:17" x14ac:dyDescent="0.3">
      <c r="A1687" t="s">
        <v>17</v>
      </c>
      <c r="B1687" t="str">
        <f>"605298"</f>
        <v>605298</v>
      </c>
      <c r="C1687" t="s">
        <v>3416</v>
      </c>
      <c r="D1687" t="s">
        <v>78</v>
      </c>
      <c r="F1687">
        <v>24910561</v>
      </c>
      <c r="G1687">
        <v>34106122</v>
      </c>
      <c r="H1687">
        <v>-5081708</v>
      </c>
      <c r="I1687">
        <v>141418147</v>
      </c>
      <c r="J1687">
        <v>24903250</v>
      </c>
      <c r="P1687">
        <v>46</v>
      </c>
      <c r="Q1687" t="s">
        <v>3417</v>
      </c>
    </row>
    <row r="1688" spans="1:17" x14ac:dyDescent="0.3">
      <c r="A1688" t="s">
        <v>17</v>
      </c>
      <c r="B1688" t="str">
        <f>"605299"</f>
        <v>605299</v>
      </c>
      <c r="C1688" t="s">
        <v>3418</v>
      </c>
      <c r="D1688" t="s">
        <v>161</v>
      </c>
      <c r="F1688">
        <v>43125793</v>
      </c>
      <c r="G1688">
        <v>62078590</v>
      </c>
      <c r="H1688">
        <v>105738633</v>
      </c>
      <c r="I1688">
        <v>22230284</v>
      </c>
      <c r="J1688">
        <v>-73023450</v>
      </c>
      <c r="K1688">
        <v>-28430465</v>
      </c>
      <c r="P1688">
        <v>58</v>
      </c>
      <c r="Q1688" t="s">
        <v>3419</v>
      </c>
    </row>
    <row r="1689" spans="1:17" x14ac:dyDescent="0.3">
      <c r="A1689" t="s">
        <v>17</v>
      </c>
      <c r="B1689" t="str">
        <f>"605300"</f>
        <v>605300</v>
      </c>
      <c r="C1689" t="s">
        <v>3420</v>
      </c>
      <c r="D1689" t="s">
        <v>123</v>
      </c>
      <c r="F1689">
        <v>-121748133</v>
      </c>
      <c r="G1689">
        <v>4868921</v>
      </c>
      <c r="H1689">
        <v>-21759245</v>
      </c>
      <c r="I1689">
        <v>162620939</v>
      </c>
      <c r="J1689">
        <v>253060227</v>
      </c>
      <c r="P1689">
        <v>56</v>
      </c>
      <c r="Q1689" t="s">
        <v>3421</v>
      </c>
    </row>
    <row r="1690" spans="1:17" x14ac:dyDescent="0.3">
      <c r="A1690" t="s">
        <v>17</v>
      </c>
      <c r="B1690" t="str">
        <f>"605303"</f>
        <v>605303</v>
      </c>
      <c r="C1690" t="s">
        <v>3422</v>
      </c>
      <c r="D1690" t="s">
        <v>95</v>
      </c>
      <c r="F1690">
        <v>-235120555</v>
      </c>
      <c r="G1690">
        <v>16866941</v>
      </c>
      <c r="H1690">
        <v>-143625768</v>
      </c>
      <c r="I1690">
        <v>11444984</v>
      </c>
      <c r="J1690">
        <v>77698404</v>
      </c>
      <c r="P1690">
        <v>28</v>
      </c>
      <c r="Q1690" t="s">
        <v>3423</v>
      </c>
    </row>
    <row r="1691" spans="1:17" x14ac:dyDescent="0.3">
      <c r="A1691" t="s">
        <v>17</v>
      </c>
      <c r="B1691" t="str">
        <f>"605305"</f>
        <v>605305</v>
      </c>
      <c r="C1691" t="s">
        <v>3424</v>
      </c>
      <c r="D1691" t="s">
        <v>78</v>
      </c>
      <c r="F1691">
        <v>103363762</v>
      </c>
      <c r="G1691">
        <v>172408490</v>
      </c>
      <c r="H1691">
        <v>96056606</v>
      </c>
      <c r="I1691">
        <v>-3830185</v>
      </c>
      <c r="J1691">
        <v>39720759</v>
      </c>
      <c r="P1691">
        <v>81</v>
      </c>
      <c r="Q1691" t="s">
        <v>3425</v>
      </c>
    </row>
    <row r="1692" spans="1:17" x14ac:dyDescent="0.3">
      <c r="A1692" t="s">
        <v>17</v>
      </c>
      <c r="B1692" t="str">
        <f>"605318"</f>
        <v>605318</v>
      </c>
      <c r="C1692" t="s">
        <v>3426</v>
      </c>
      <c r="D1692" t="s">
        <v>350</v>
      </c>
      <c r="F1692">
        <v>30377847</v>
      </c>
      <c r="G1692">
        <v>51039582</v>
      </c>
      <c r="H1692">
        <v>41588650</v>
      </c>
      <c r="I1692">
        <v>49202978</v>
      </c>
      <c r="J1692">
        <v>83739300</v>
      </c>
      <c r="P1692">
        <v>58</v>
      </c>
      <c r="Q1692" t="s">
        <v>3427</v>
      </c>
    </row>
    <row r="1693" spans="1:17" x14ac:dyDescent="0.3">
      <c r="A1693" t="s">
        <v>17</v>
      </c>
      <c r="B1693" t="str">
        <f>"605319"</f>
        <v>605319</v>
      </c>
      <c r="C1693" t="s">
        <v>3428</v>
      </c>
      <c r="D1693" t="s">
        <v>27</v>
      </c>
      <c r="F1693">
        <v>-148572934</v>
      </c>
      <c r="G1693">
        <v>106699874</v>
      </c>
      <c r="H1693">
        <v>-103260169</v>
      </c>
      <c r="I1693">
        <v>-105049026</v>
      </c>
      <c r="J1693">
        <v>-171024700</v>
      </c>
      <c r="P1693">
        <v>22</v>
      </c>
      <c r="Q1693" t="s">
        <v>3429</v>
      </c>
    </row>
    <row r="1694" spans="1:17" x14ac:dyDescent="0.3">
      <c r="A1694" t="s">
        <v>17</v>
      </c>
      <c r="B1694" t="str">
        <f>"605333"</f>
        <v>605333</v>
      </c>
      <c r="C1694" t="s">
        <v>3430</v>
      </c>
      <c r="D1694" t="s">
        <v>27</v>
      </c>
      <c r="F1694">
        <v>-375301162</v>
      </c>
      <c r="G1694">
        <v>-78048718</v>
      </c>
      <c r="H1694">
        <v>-200210607</v>
      </c>
      <c r="I1694">
        <v>6854731</v>
      </c>
      <c r="J1694">
        <v>-16263773</v>
      </c>
      <c r="P1694">
        <v>85</v>
      </c>
      <c r="Q1694" t="s">
        <v>3431</v>
      </c>
    </row>
    <row r="1695" spans="1:17" x14ac:dyDescent="0.3">
      <c r="A1695" t="s">
        <v>17</v>
      </c>
      <c r="B1695" t="str">
        <f>"605336"</f>
        <v>605336</v>
      </c>
      <c r="C1695" t="s">
        <v>3432</v>
      </c>
      <c r="D1695" t="s">
        <v>126</v>
      </c>
      <c r="F1695">
        <v>92805993</v>
      </c>
      <c r="G1695">
        <v>-72330378</v>
      </c>
      <c r="H1695">
        <v>191729615</v>
      </c>
      <c r="I1695">
        <v>79290853</v>
      </c>
      <c r="J1695">
        <v>79015748</v>
      </c>
      <c r="K1695">
        <v>109247885</v>
      </c>
      <c r="P1695">
        <v>142</v>
      </c>
      <c r="Q1695" t="s">
        <v>3433</v>
      </c>
    </row>
    <row r="1696" spans="1:17" x14ac:dyDescent="0.3">
      <c r="A1696" t="s">
        <v>17</v>
      </c>
      <c r="B1696" t="str">
        <f>"605337"</f>
        <v>605337</v>
      </c>
      <c r="C1696" t="s">
        <v>3434</v>
      </c>
      <c r="D1696" t="s">
        <v>123</v>
      </c>
      <c r="F1696">
        <v>-84080734</v>
      </c>
      <c r="G1696">
        <v>136038327</v>
      </c>
      <c r="H1696">
        <v>34155416</v>
      </c>
      <c r="I1696">
        <v>-68494066</v>
      </c>
      <c r="J1696">
        <v>59411798</v>
      </c>
      <c r="K1696">
        <v>78490719</v>
      </c>
      <c r="P1696">
        <v>147</v>
      </c>
      <c r="Q1696" t="s">
        <v>3435</v>
      </c>
    </row>
    <row r="1697" spans="1:17" x14ac:dyDescent="0.3">
      <c r="A1697" t="s">
        <v>17</v>
      </c>
      <c r="B1697" t="str">
        <f>"605338"</f>
        <v>605338</v>
      </c>
      <c r="C1697" t="s">
        <v>3436</v>
      </c>
      <c r="D1697" t="s">
        <v>123</v>
      </c>
      <c r="F1697">
        <v>14238602</v>
      </c>
      <c r="G1697">
        <v>138951078</v>
      </c>
      <c r="H1697">
        <v>48632043</v>
      </c>
      <c r="I1697">
        <v>113433626</v>
      </c>
      <c r="J1697">
        <v>101054399</v>
      </c>
      <c r="K1697">
        <v>30241302</v>
      </c>
      <c r="P1697">
        <v>198</v>
      </c>
      <c r="Q1697" t="s">
        <v>3437</v>
      </c>
    </row>
    <row r="1698" spans="1:17" x14ac:dyDescent="0.3">
      <c r="A1698" t="s">
        <v>17</v>
      </c>
      <c r="B1698" t="str">
        <f>"605339"</f>
        <v>605339</v>
      </c>
      <c r="C1698" t="s">
        <v>3438</v>
      </c>
      <c r="D1698" t="s">
        <v>123</v>
      </c>
      <c r="F1698">
        <v>103740470</v>
      </c>
      <c r="G1698">
        <v>429409786</v>
      </c>
      <c r="H1698">
        <v>281933619</v>
      </c>
      <c r="I1698">
        <v>382569945</v>
      </c>
      <c r="J1698">
        <v>164208487</v>
      </c>
      <c r="K1698">
        <v>-189924663</v>
      </c>
      <c r="L1698">
        <v>180607622</v>
      </c>
      <c r="P1698">
        <v>65</v>
      </c>
      <c r="Q1698" t="s">
        <v>3439</v>
      </c>
    </row>
    <row r="1699" spans="1:17" x14ac:dyDescent="0.3">
      <c r="A1699" t="s">
        <v>17</v>
      </c>
      <c r="B1699" t="str">
        <f>"605358"</f>
        <v>605358</v>
      </c>
      <c r="C1699" t="s">
        <v>3440</v>
      </c>
      <c r="D1699" t="s">
        <v>150</v>
      </c>
      <c r="F1699">
        <v>-2327976966</v>
      </c>
      <c r="G1699">
        <v>-398403180</v>
      </c>
      <c r="H1699">
        <v>-700773584</v>
      </c>
      <c r="I1699">
        <v>-449520741</v>
      </c>
      <c r="J1699">
        <v>-330277986</v>
      </c>
      <c r="P1699">
        <v>289</v>
      </c>
      <c r="Q1699" t="s">
        <v>3441</v>
      </c>
    </row>
    <row r="1700" spans="1:17" x14ac:dyDescent="0.3">
      <c r="A1700" t="s">
        <v>17</v>
      </c>
      <c r="B1700" t="str">
        <f>"605365"</f>
        <v>605365</v>
      </c>
      <c r="C1700" t="s">
        <v>3442</v>
      </c>
      <c r="D1700" t="s">
        <v>126</v>
      </c>
      <c r="F1700">
        <v>12746780</v>
      </c>
      <c r="G1700">
        <v>384038060</v>
      </c>
      <c r="H1700">
        <v>392784438</v>
      </c>
      <c r="I1700">
        <v>232384251</v>
      </c>
      <c r="J1700">
        <v>-440816713</v>
      </c>
      <c r="P1700">
        <v>28</v>
      </c>
      <c r="Q1700" t="s">
        <v>3443</v>
      </c>
    </row>
    <row r="1701" spans="1:17" x14ac:dyDescent="0.3">
      <c r="A1701" t="s">
        <v>17</v>
      </c>
      <c r="B1701" t="str">
        <f>"605366"</f>
        <v>605366</v>
      </c>
      <c r="C1701" t="s">
        <v>3444</v>
      </c>
      <c r="D1701" t="s">
        <v>133</v>
      </c>
      <c r="F1701">
        <v>-156879836</v>
      </c>
      <c r="G1701">
        <v>-95761373</v>
      </c>
      <c r="H1701">
        <v>97827993</v>
      </c>
      <c r="I1701">
        <v>33799781</v>
      </c>
      <c r="J1701">
        <v>28721638</v>
      </c>
      <c r="P1701">
        <v>60</v>
      </c>
      <c r="Q1701" t="s">
        <v>3445</v>
      </c>
    </row>
    <row r="1702" spans="1:17" x14ac:dyDescent="0.3">
      <c r="A1702" t="s">
        <v>17</v>
      </c>
      <c r="B1702" t="str">
        <f>"605368"</f>
        <v>605368</v>
      </c>
      <c r="C1702" t="s">
        <v>3446</v>
      </c>
      <c r="D1702" t="s">
        <v>41</v>
      </c>
      <c r="F1702">
        <v>250686795</v>
      </c>
      <c r="G1702">
        <v>395129893</v>
      </c>
      <c r="H1702">
        <v>351356304</v>
      </c>
      <c r="I1702">
        <v>394213380</v>
      </c>
      <c r="J1702">
        <v>398327527</v>
      </c>
      <c r="K1702">
        <v>150055794</v>
      </c>
      <c r="L1702">
        <v>41454014</v>
      </c>
      <c r="P1702">
        <v>60</v>
      </c>
      <c r="Q1702" t="s">
        <v>3447</v>
      </c>
    </row>
    <row r="1703" spans="1:17" x14ac:dyDescent="0.3">
      <c r="A1703" t="s">
        <v>17</v>
      </c>
      <c r="B1703" t="str">
        <f>"605369"</f>
        <v>605369</v>
      </c>
      <c r="C1703" t="s">
        <v>3448</v>
      </c>
      <c r="D1703" t="s">
        <v>113</v>
      </c>
      <c r="F1703">
        <v>109277107</v>
      </c>
      <c r="G1703">
        <v>133693172</v>
      </c>
      <c r="H1703">
        <v>20855425</v>
      </c>
      <c r="I1703">
        <v>66825135</v>
      </c>
      <c r="J1703">
        <v>73027440</v>
      </c>
      <c r="P1703">
        <v>178</v>
      </c>
      <c r="Q1703" t="s">
        <v>3449</v>
      </c>
    </row>
    <row r="1704" spans="1:17" x14ac:dyDescent="0.3">
      <c r="A1704" t="s">
        <v>17</v>
      </c>
      <c r="B1704" t="str">
        <f>"605376"</f>
        <v>605376</v>
      </c>
      <c r="C1704" t="s">
        <v>3450</v>
      </c>
      <c r="D1704" t="s">
        <v>234</v>
      </c>
      <c r="F1704">
        <v>-244468317</v>
      </c>
      <c r="G1704">
        <v>-3962804</v>
      </c>
      <c r="H1704">
        <v>72563343</v>
      </c>
      <c r="I1704">
        <v>-24221031</v>
      </c>
      <c r="J1704">
        <v>-119584187</v>
      </c>
      <c r="K1704">
        <v>15819100</v>
      </c>
      <c r="P1704">
        <v>110</v>
      </c>
      <c r="Q1704" t="s">
        <v>3451</v>
      </c>
    </row>
    <row r="1705" spans="1:17" x14ac:dyDescent="0.3">
      <c r="A1705" t="s">
        <v>17</v>
      </c>
      <c r="B1705" t="str">
        <f>"605377"</f>
        <v>605377</v>
      </c>
      <c r="C1705" t="s">
        <v>3452</v>
      </c>
      <c r="D1705" t="s">
        <v>161</v>
      </c>
      <c r="F1705">
        <v>281586505</v>
      </c>
      <c r="G1705">
        <v>-4473932</v>
      </c>
      <c r="H1705">
        <v>213691860</v>
      </c>
      <c r="I1705">
        <v>187336197</v>
      </c>
      <c r="J1705">
        <v>-176089561</v>
      </c>
      <c r="K1705">
        <v>-67614380</v>
      </c>
      <c r="P1705">
        <v>59</v>
      </c>
      <c r="Q1705" t="s">
        <v>3453</v>
      </c>
    </row>
    <row r="1706" spans="1:17" x14ac:dyDescent="0.3">
      <c r="A1706" t="s">
        <v>17</v>
      </c>
      <c r="B1706" t="str">
        <f>"605378"</f>
        <v>605378</v>
      </c>
      <c r="C1706" t="s">
        <v>3454</v>
      </c>
      <c r="D1706" t="s">
        <v>188</v>
      </c>
      <c r="F1706">
        <v>-2167806</v>
      </c>
      <c r="G1706">
        <v>99752775</v>
      </c>
      <c r="H1706">
        <v>161425483</v>
      </c>
      <c r="I1706">
        <v>42545763</v>
      </c>
      <c r="J1706">
        <v>62879895</v>
      </c>
      <c r="P1706">
        <v>32</v>
      </c>
      <c r="Q1706" t="s">
        <v>3455</v>
      </c>
    </row>
    <row r="1707" spans="1:17" x14ac:dyDescent="0.3">
      <c r="A1707" t="s">
        <v>17</v>
      </c>
      <c r="B1707" t="str">
        <f>"605388"</f>
        <v>605388</v>
      </c>
      <c r="C1707" t="s">
        <v>3456</v>
      </c>
      <c r="D1707" t="s">
        <v>123</v>
      </c>
      <c r="F1707">
        <v>-160088526</v>
      </c>
      <c r="G1707">
        <v>-354082</v>
      </c>
      <c r="H1707">
        <v>329401936</v>
      </c>
      <c r="I1707">
        <v>375270917</v>
      </c>
      <c r="J1707">
        <v>157049364</v>
      </c>
      <c r="P1707">
        <v>103</v>
      </c>
      <c r="Q1707" t="s">
        <v>3457</v>
      </c>
    </row>
    <row r="1708" spans="1:17" x14ac:dyDescent="0.3">
      <c r="A1708" t="s">
        <v>17</v>
      </c>
      <c r="B1708" t="str">
        <f>"605389"</f>
        <v>605389</v>
      </c>
      <c r="C1708" t="s">
        <v>3458</v>
      </c>
      <c r="D1708" t="s">
        <v>78</v>
      </c>
      <c r="F1708">
        <v>-255211283</v>
      </c>
      <c r="G1708">
        <v>153332263</v>
      </c>
      <c r="H1708">
        <v>98742369</v>
      </c>
      <c r="I1708">
        <v>45244509</v>
      </c>
      <c r="J1708">
        <v>53635224</v>
      </c>
      <c r="P1708">
        <v>64</v>
      </c>
      <c r="Q1708" t="s">
        <v>3459</v>
      </c>
    </row>
    <row r="1709" spans="1:17" x14ac:dyDescent="0.3">
      <c r="A1709" t="s">
        <v>17</v>
      </c>
      <c r="B1709" t="str">
        <f>"605398"</f>
        <v>605398</v>
      </c>
      <c r="C1709" t="s">
        <v>3460</v>
      </c>
      <c r="D1709" t="s">
        <v>212</v>
      </c>
      <c r="F1709">
        <v>75294149</v>
      </c>
      <c r="G1709">
        <v>91109569</v>
      </c>
      <c r="H1709">
        <v>107880441</v>
      </c>
      <c r="I1709">
        <v>74124462</v>
      </c>
      <c r="J1709">
        <v>60896038</v>
      </c>
      <c r="K1709">
        <v>48181481</v>
      </c>
      <c r="P1709">
        <v>39</v>
      </c>
      <c r="Q1709" t="s">
        <v>3461</v>
      </c>
    </row>
    <row r="1710" spans="1:17" x14ac:dyDescent="0.3">
      <c r="A1710" t="s">
        <v>17</v>
      </c>
      <c r="B1710" t="str">
        <f>"605399"</f>
        <v>605399</v>
      </c>
      <c r="C1710" t="s">
        <v>3462</v>
      </c>
      <c r="D1710" t="s">
        <v>133</v>
      </c>
      <c r="F1710">
        <v>312883802</v>
      </c>
      <c r="G1710">
        <v>65923609</v>
      </c>
      <c r="H1710">
        <v>19774804</v>
      </c>
      <c r="I1710">
        <v>83855729</v>
      </c>
      <c r="J1710">
        <v>63659249</v>
      </c>
      <c r="P1710">
        <v>126</v>
      </c>
      <c r="Q1710" t="s">
        <v>3463</v>
      </c>
    </row>
    <row r="1711" spans="1:17" x14ac:dyDescent="0.3">
      <c r="A1711" t="s">
        <v>17</v>
      </c>
      <c r="B1711" t="str">
        <f>"605488"</f>
        <v>605488</v>
      </c>
      <c r="C1711" t="s">
        <v>3464</v>
      </c>
      <c r="D1711" t="s">
        <v>133</v>
      </c>
      <c r="F1711">
        <v>-36401098</v>
      </c>
      <c r="G1711">
        <v>123027985</v>
      </c>
      <c r="H1711">
        <v>90944686</v>
      </c>
      <c r="I1711">
        <v>38136388</v>
      </c>
      <c r="J1711">
        <v>29045500</v>
      </c>
      <c r="P1711">
        <v>28</v>
      </c>
      <c r="Q1711" t="s">
        <v>3465</v>
      </c>
    </row>
    <row r="1712" spans="1:17" x14ac:dyDescent="0.3">
      <c r="A1712" t="s">
        <v>17</v>
      </c>
      <c r="B1712" t="str">
        <f>"605499"</f>
        <v>605499</v>
      </c>
      <c r="C1712" t="s">
        <v>3466</v>
      </c>
      <c r="D1712" t="s">
        <v>123</v>
      </c>
      <c r="F1712">
        <v>1470562193</v>
      </c>
      <c r="G1712">
        <v>695843048</v>
      </c>
      <c r="H1712">
        <v>702781702</v>
      </c>
      <c r="I1712">
        <v>-196614202</v>
      </c>
      <c r="J1712">
        <v>-145444400</v>
      </c>
      <c r="P1712">
        <v>284</v>
      </c>
      <c r="Q1712" t="s">
        <v>3467</v>
      </c>
    </row>
    <row r="1713" spans="1:17" x14ac:dyDescent="0.3">
      <c r="A1713" t="s">
        <v>17</v>
      </c>
      <c r="B1713" t="str">
        <f>"605500"</f>
        <v>605500</v>
      </c>
      <c r="C1713" t="s">
        <v>3468</v>
      </c>
      <c r="D1713" t="s">
        <v>161</v>
      </c>
      <c r="F1713">
        <v>-151873344</v>
      </c>
      <c r="G1713">
        <v>140599439</v>
      </c>
      <c r="H1713">
        <v>195257249</v>
      </c>
      <c r="I1713">
        <v>123730496</v>
      </c>
      <c r="J1713">
        <v>69011454</v>
      </c>
      <c r="P1713">
        <v>37</v>
      </c>
      <c r="Q1713" t="s">
        <v>3469</v>
      </c>
    </row>
    <row r="1714" spans="1:17" x14ac:dyDescent="0.3">
      <c r="A1714" t="s">
        <v>17</v>
      </c>
      <c r="B1714" t="str">
        <f>"605507"</f>
        <v>605507</v>
      </c>
      <c r="C1714" t="s">
        <v>3470</v>
      </c>
      <c r="D1714" t="s">
        <v>113</v>
      </c>
      <c r="F1714">
        <v>-619890267</v>
      </c>
      <c r="G1714">
        <v>249274146</v>
      </c>
      <c r="H1714">
        <v>-161364925</v>
      </c>
      <c r="I1714">
        <v>384688928</v>
      </c>
      <c r="J1714">
        <v>-16506014</v>
      </c>
      <c r="P1714">
        <v>25</v>
      </c>
      <c r="Q1714" t="s">
        <v>3471</v>
      </c>
    </row>
    <row r="1715" spans="1:17" x14ac:dyDescent="0.3">
      <c r="A1715" t="s">
        <v>17</v>
      </c>
      <c r="B1715" t="str">
        <f>"605555"</f>
        <v>605555</v>
      </c>
      <c r="C1715" t="s">
        <v>3472</v>
      </c>
      <c r="D1715" t="s">
        <v>126</v>
      </c>
      <c r="F1715">
        <v>128678376</v>
      </c>
      <c r="G1715">
        <v>-46379727</v>
      </c>
      <c r="H1715">
        <v>104486696</v>
      </c>
      <c r="I1715">
        <v>130831814</v>
      </c>
      <c r="J1715">
        <v>263848992</v>
      </c>
      <c r="P1715">
        <v>35</v>
      </c>
      <c r="Q1715" t="s">
        <v>3473</v>
      </c>
    </row>
    <row r="1716" spans="1:17" x14ac:dyDescent="0.3">
      <c r="A1716" t="s">
        <v>17</v>
      </c>
      <c r="B1716" t="str">
        <f>"605566"</f>
        <v>605566</v>
      </c>
      <c r="C1716" t="s">
        <v>3474</v>
      </c>
      <c r="D1716" t="s">
        <v>133</v>
      </c>
      <c r="F1716">
        <v>209829146</v>
      </c>
      <c r="G1716">
        <v>102182759</v>
      </c>
      <c r="H1716">
        <v>108893547</v>
      </c>
      <c r="I1716">
        <v>180905407</v>
      </c>
      <c r="J1716">
        <v>42515598</v>
      </c>
      <c r="P1716">
        <v>22</v>
      </c>
      <c r="Q1716" t="s">
        <v>3475</v>
      </c>
    </row>
    <row r="1717" spans="1:17" x14ac:dyDescent="0.3">
      <c r="A1717" t="s">
        <v>17</v>
      </c>
      <c r="B1717" t="str">
        <f>"605567"</f>
        <v>605567</v>
      </c>
      <c r="C1717" t="s">
        <v>3476</v>
      </c>
      <c r="D1717" t="s">
        <v>123</v>
      </c>
      <c r="F1717">
        <v>-77444100</v>
      </c>
      <c r="G1717">
        <v>134836922</v>
      </c>
      <c r="H1717">
        <v>60255890</v>
      </c>
      <c r="I1717">
        <v>7028497</v>
      </c>
      <c r="J1717">
        <v>44021639</v>
      </c>
      <c r="P1717">
        <v>33</v>
      </c>
      <c r="Q1717" t="s">
        <v>3477</v>
      </c>
    </row>
    <row r="1718" spans="1:17" x14ac:dyDescent="0.3">
      <c r="A1718" t="s">
        <v>17</v>
      </c>
      <c r="B1718" t="str">
        <f>"605577"</f>
        <v>605577</v>
      </c>
      <c r="C1718" t="s">
        <v>3478</v>
      </c>
      <c r="D1718" t="s">
        <v>89</v>
      </c>
      <c r="F1718">
        <v>229846472</v>
      </c>
      <c r="G1718">
        <v>221908417</v>
      </c>
      <c r="H1718">
        <v>190915995</v>
      </c>
      <c r="I1718">
        <v>256687906</v>
      </c>
      <c r="J1718">
        <v>185912800</v>
      </c>
      <c r="P1718">
        <v>19</v>
      </c>
      <c r="Q1718" t="s">
        <v>3479</v>
      </c>
    </row>
    <row r="1719" spans="1:17" x14ac:dyDescent="0.3">
      <c r="A1719" t="s">
        <v>17</v>
      </c>
      <c r="B1719" t="str">
        <f>"605580"</f>
        <v>605580</v>
      </c>
      <c r="C1719" t="s">
        <v>3480</v>
      </c>
      <c r="D1719" t="s">
        <v>41</v>
      </c>
      <c r="F1719">
        <v>103581537</v>
      </c>
      <c r="G1719">
        <v>60846744</v>
      </c>
      <c r="H1719">
        <v>635153</v>
      </c>
      <c r="I1719">
        <v>-3081974</v>
      </c>
      <c r="J1719">
        <v>-25368419</v>
      </c>
      <c r="P1719">
        <v>30</v>
      </c>
      <c r="Q1719" t="s">
        <v>3481</v>
      </c>
    </row>
    <row r="1720" spans="1:17" x14ac:dyDescent="0.3">
      <c r="A1720" t="s">
        <v>17</v>
      </c>
      <c r="B1720" t="str">
        <f>"605588"</f>
        <v>605588</v>
      </c>
      <c r="C1720" t="s">
        <v>3482</v>
      </c>
      <c r="D1720" t="s">
        <v>150</v>
      </c>
      <c r="F1720">
        <v>-63397430</v>
      </c>
      <c r="G1720">
        <v>1685841</v>
      </c>
      <c r="H1720">
        <v>37389198</v>
      </c>
      <c r="I1720">
        <v>17281495</v>
      </c>
      <c r="J1720">
        <v>13912111</v>
      </c>
      <c r="P1720">
        <v>16</v>
      </c>
      <c r="Q1720" t="s">
        <v>3483</v>
      </c>
    </row>
    <row r="1721" spans="1:17" x14ac:dyDescent="0.3">
      <c r="A1721" t="s">
        <v>17</v>
      </c>
      <c r="B1721" t="str">
        <f>"605589"</f>
        <v>605589</v>
      </c>
      <c r="C1721" t="s">
        <v>3484</v>
      </c>
      <c r="D1721" t="s">
        <v>133</v>
      </c>
      <c r="F1721">
        <v>-1209278849</v>
      </c>
      <c r="G1721">
        <v>-276175475</v>
      </c>
      <c r="H1721">
        <v>414454921</v>
      </c>
      <c r="I1721">
        <v>329256960</v>
      </c>
      <c r="J1721">
        <v>-55143864</v>
      </c>
      <c r="P1721">
        <v>40</v>
      </c>
      <c r="Q1721" t="s">
        <v>3485</v>
      </c>
    </row>
    <row r="1722" spans="1:17" x14ac:dyDescent="0.3">
      <c r="A1722" t="s">
        <v>17</v>
      </c>
      <c r="B1722" t="str">
        <f>"605598"</f>
        <v>605598</v>
      </c>
      <c r="C1722" t="s">
        <v>3486</v>
      </c>
      <c r="D1722" t="s">
        <v>95</v>
      </c>
      <c r="F1722">
        <v>4495706</v>
      </c>
      <c r="G1722">
        <v>52335212</v>
      </c>
      <c r="H1722">
        <v>134199302</v>
      </c>
      <c r="I1722">
        <v>75411197</v>
      </c>
      <c r="J1722">
        <v>-25515302</v>
      </c>
      <c r="P1722">
        <v>18</v>
      </c>
      <c r="Q1722" t="s">
        <v>3487</v>
      </c>
    </row>
    <row r="1723" spans="1:17" x14ac:dyDescent="0.3">
      <c r="A1723" t="s">
        <v>17</v>
      </c>
      <c r="B1723" t="str">
        <f>"605599"</f>
        <v>605599</v>
      </c>
      <c r="C1723" t="s">
        <v>3488</v>
      </c>
      <c r="D1723" t="s">
        <v>227</v>
      </c>
      <c r="F1723">
        <v>-440911404</v>
      </c>
      <c r="G1723">
        <v>888521330</v>
      </c>
      <c r="H1723">
        <v>-62903281</v>
      </c>
      <c r="I1723">
        <v>270345653</v>
      </c>
      <c r="J1723">
        <v>663988941</v>
      </c>
      <c r="P1723">
        <v>21</v>
      </c>
      <c r="Q1723" t="s">
        <v>3489</v>
      </c>
    </row>
    <row r="1724" spans="1:17" x14ac:dyDescent="0.3">
      <c r="A1724" t="s">
        <v>17</v>
      </c>
      <c r="B1724" t="str">
        <f>"688001"</f>
        <v>688001</v>
      </c>
      <c r="C1724" t="s">
        <v>3490</v>
      </c>
      <c r="D1724" t="s">
        <v>78</v>
      </c>
      <c r="F1724">
        <v>-53264638</v>
      </c>
      <c r="G1724">
        <v>221068077</v>
      </c>
      <c r="H1724">
        <v>-201696840</v>
      </c>
      <c r="I1724">
        <v>19249374</v>
      </c>
      <c r="J1724">
        <v>52619267</v>
      </c>
      <c r="K1724">
        <v>106942625</v>
      </c>
      <c r="P1724">
        <v>170</v>
      </c>
      <c r="Q1724" t="s">
        <v>3491</v>
      </c>
    </row>
    <row r="1725" spans="1:17" x14ac:dyDescent="0.3">
      <c r="A1725" t="s">
        <v>17</v>
      </c>
      <c r="B1725" t="str">
        <f>"688002"</f>
        <v>688002</v>
      </c>
      <c r="C1725" t="s">
        <v>3492</v>
      </c>
      <c r="D1725" t="s">
        <v>92</v>
      </c>
      <c r="F1725">
        <v>-418480485</v>
      </c>
      <c r="G1725">
        <v>-323283024</v>
      </c>
      <c r="H1725">
        <v>30041880</v>
      </c>
      <c r="I1725">
        <v>-74089278</v>
      </c>
      <c r="J1725">
        <v>-58029445</v>
      </c>
      <c r="K1725">
        <v>-60353932</v>
      </c>
      <c r="P1725">
        <v>407</v>
      </c>
      <c r="Q1725" t="s">
        <v>3493</v>
      </c>
    </row>
    <row r="1726" spans="1:17" x14ac:dyDescent="0.3">
      <c r="A1726" t="s">
        <v>17</v>
      </c>
      <c r="B1726" t="str">
        <f>"688003"</f>
        <v>688003</v>
      </c>
      <c r="C1726" t="s">
        <v>3494</v>
      </c>
      <c r="D1726" t="s">
        <v>78</v>
      </c>
      <c r="F1726">
        <v>-318519824</v>
      </c>
      <c r="G1726">
        <v>-16820873</v>
      </c>
      <c r="H1726">
        <v>-52899163</v>
      </c>
      <c r="I1726">
        <v>50736347</v>
      </c>
      <c r="J1726">
        <v>44927303</v>
      </c>
      <c r="K1726">
        <v>6098358</v>
      </c>
      <c r="P1726">
        <v>142</v>
      </c>
      <c r="Q1726" t="s">
        <v>3495</v>
      </c>
    </row>
    <row r="1727" spans="1:17" x14ac:dyDescent="0.3">
      <c r="A1727" t="s">
        <v>17</v>
      </c>
      <c r="B1727" t="str">
        <f>"688004"</f>
        <v>688004</v>
      </c>
      <c r="C1727" t="s">
        <v>3496</v>
      </c>
      <c r="D1727" t="s">
        <v>212</v>
      </c>
      <c r="F1727">
        <v>-178326695</v>
      </c>
      <c r="G1727">
        <v>20323370</v>
      </c>
      <c r="H1727">
        <v>39017270</v>
      </c>
      <c r="I1727">
        <v>24265877</v>
      </c>
      <c r="J1727">
        <v>13646541</v>
      </c>
      <c r="K1727">
        <v>15274657</v>
      </c>
      <c r="P1727">
        <v>37</v>
      </c>
      <c r="Q1727" t="s">
        <v>3497</v>
      </c>
    </row>
    <row r="1728" spans="1:17" x14ac:dyDescent="0.3">
      <c r="A1728" t="s">
        <v>17</v>
      </c>
      <c r="B1728" t="str">
        <f>"688005"</f>
        <v>688005</v>
      </c>
      <c r="C1728" t="s">
        <v>3498</v>
      </c>
      <c r="D1728" t="s">
        <v>188</v>
      </c>
      <c r="F1728">
        <v>-2094602401</v>
      </c>
      <c r="G1728">
        <v>393874502</v>
      </c>
      <c r="H1728">
        <v>-145437470</v>
      </c>
      <c r="I1728">
        <v>-1366712979</v>
      </c>
      <c r="J1728">
        <v>-844101063</v>
      </c>
      <c r="K1728">
        <v>-110945574</v>
      </c>
      <c r="P1728">
        <v>318</v>
      </c>
      <c r="Q1728" t="s">
        <v>3499</v>
      </c>
    </row>
    <row r="1729" spans="1:17" x14ac:dyDescent="0.3">
      <c r="A1729" t="s">
        <v>17</v>
      </c>
      <c r="B1729" t="str">
        <f>"688006"</f>
        <v>688006</v>
      </c>
      <c r="C1729" t="s">
        <v>3500</v>
      </c>
      <c r="D1729" t="s">
        <v>188</v>
      </c>
      <c r="F1729">
        <v>167785035</v>
      </c>
      <c r="G1729">
        <v>129117580</v>
      </c>
      <c r="H1729">
        <v>-5169801</v>
      </c>
      <c r="I1729">
        <v>164966853</v>
      </c>
      <c r="J1729">
        <v>52244090</v>
      </c>
      <c r="K1729">
        <v>43293472</v>
      </c>
      <c r="P1729">
        <v>255</v>
      </c>
      <c r="Q1729" t="s">
        <v>3501</v>
      </c>
    </row>
    <row r="1730" spans="1:17" x14ac:dyDescent="0.3">
      <c r="A1730" t="s">
        <v>17</v>
      </c>
      <c r="B1730" t="str">
        <f>"688007"</f>
        <v>688007</v>
      </c>
      <c r="C1730" t="s">
        <v>3502</v>
      </c>
      <c r="D1730" t="s">
        <v>150</v>
      </c>
      <c r="F1730">
        <v>-61413257</v>
      </c>
      <c r="G1730">
        <v>-12517524</v>
      </c>
      <c r="H1730">
        <v>-659997</v>
      </c>
      <c r="I1730">
        <v>-77304217</v>
      </c>
      <c r="J1730">
        <v>-162423957</v>
      </c>
      <c r="K1730">
        <v>-62582553</v>
      </c>
      <c r="P1730">
        <v>124</v>
      </c>
      <c r="Q1730" t="s">
        <v>3503</v>
      </c>
    </row>
    <row r="1731" spans="1:17" x14ac:dyDescent="0.3">
      <c r="A1731" t="s">
        <v>17</v>
      </c>
      <c r="B1731" t="str">
        <f>"688008"</f>
        <v>688008</v>
      </c>
      <c r="C1731" t="s">
        <v>3504</v>
      </c>
      <c r="D1731" t="s">
        <v>150</v>
      </c>
      <c r="F1731">
        <v>526946828</v>
      </c>
      <c r="G1731">
        <v>560781569</v>
      </c>
      <c r="H1731">
        <v>873440677</v>
      </c>
      <c r="I1731">
        <v>971828125</v>
      </c>
      <c r="J1731">
        <v>217587114</v>
      </c>
      <c r="K1731">
        <v>382472189</v>
      </c>
      <c r="P1731">
        <v>523</v>
      </c>
      <c r="Q1731" t="s">
        <v>3505</v>
      </c>
    </row>
    <row r="1732" spans="1:17" x14ac:dyDescent="0.3">
      <c r="A1732" t="s">
        <v>17</v>
      </c>
      <c r="B1732" t="str">
        <f>"688009"</f>
        <v>688009</v>
      </c>
      <c r="C1732" t="s">
        <v>3506</v>
      </c>
      <c r="D1732" t="s">
        <v>78</v>
      </c>
      <c r="F1732">
        <v>1991375432</v>
      </c>
      <c r="G1732">
        <v>1455752024</v>
      </c>
      <c r="H1732">
        <v>2561474371</v>
      </c>
      <c r="I1732">
        <v>-2614267427</v>
      </c>
      <c r="J1732">
        <v>-2195878483</v>
      </c>
      <c r="K1732">
        <v>2011625959</v>
      </c>
      <c r="P1732">
        <v>201</v>
      </c>
      <c r="Q1732" t="s">
        <v>3507</v>
      </c>
    </row>
    <row r="1733" spans="1:17" x14ac:dyDescent="0.3">
      <c r="A1733" t="s">
        <v>17</v>
      </c>
      <c r="B1733" t="str">
        <f>"688010"</f>
        <v>688010</v>
      </c>
      <c r="C1733" t="s">
        <v>3508</v>
      </c>
      <c r="D1733" t="s">
        <v>150</v>
      </c>
      <c r="F1733">
        <v>-208738592</v>
      </c>
      <c r="G1733">
        <v>-261395177</v>
      </c>
      <c r="H1733">
        <v>-206308973</v>
      </c>
      <c r="I1733">
        <v>-74852263</v>
      </c>
      <c r="J1733">
        <v>-18945008</v>
      </c>
      <c r="K1733">
        <v>32179771</v>
      </c>
      <c r="P1733">
        <v>125</v>
      </c>
      <c r="Q1733" t="s">
        <v>3509</v>
      </c>
    </row>
    <row r="1734" spans="1:17" x14ac:dyDescent="0.3">
      <c r="A1734" t="s">
        <v>17</v>
      </c>
      <c r="B1734" t="str">
        <f>"688011"</f>
        <v>688011</v>
      </c>
      <c r="C1734" t="s">
        <v>3510</v>
      </c>
      <c r="D1734" t="s">
        <v>92</v>
      </c>
      <c r="F1734">
        <v>-68682590</v>
      </c>
      <c r="G1734">
        <v>-24959845</v>
      </c>
      <c r="H1734">
        <v>-13738964</v>
      </c>
      <c r="I1734">
        <v>6997503</v>
      </c>
      <c r="J1734">
        <v>-77954536</v>
      </c>
      <c r="K1734">
        <v>32371510</v>
      </c>
      <c r="P1734">
        <v>88</v>
      </c>
      <c r="Q1734" t="s">
        <v>3511</v>
      </c>
    </row>
    <row r="1735" spans="1:17" x14ac:dyDescent="0.3">
      <c r="A1735" t="s">
        <v>17</v>
      </c>
      <c r="B1735" t="str">
        <f>"688012"</f>
        <v>688012</v>
      </c>
      <c r="C1735" t="s">
        <v>3512</v>
      </c>
      <c r="D1735" t="s">
        <v>150</v>
      </c>
      <c r="F1735">
        <v>520375396</v>
      </c>
      <c r="G1735">
        <v>594503167</v>
      </c>
      <c r="H1735">
        <v>88660350</v>
      </c>
      <c r="I1735">
        <v>235742353</v>
      </c>
      <c r="J1735">
        <v>-168163501</v>
      </c>
      <c r="K1735">
        <v>-156551225</v>
      </c>
      <c r="P1735">
        <v>620</v>
      </c>
      <c r="Q1735" t="s">
        <v>3513</v>
      </c>
    </row>
    <row r="1736" spans="1:17" x14ac:dyDescent="0.3">
      <c r="A1736" t="s">
        <v>17</v>
      </c>
      <c r="B1736" t="str">
        <f>"688013"</f>
        <v>688013</v>
      </c>
      <c r="C1736" t="s">
        <v>3514</v>
      </c>
      <c r="D1736" t="s">
        <v>113</v>
      </c>
      <c r="F1736">
        <v>52410421</v>
      </c>
      <c r="G1736">
        <v>34916675</v>
      </c>
      <c r="H1736">
        <v>25592349</v>
      </c>
      <c r="I1736">
        <v>13660680</v>
      </c>
      <c r="J1736">
        <v>-7057678</v>
      </c>
      <c r="P1736">
        <v>64</v>
      </c>
      <c r="Q1736" t="s">
        <v>3515</v>
      </c>
    </row>
    <row r="1737" spans="1:17" x14ac:dyDescent="0.3">
      <c r="A1737" t="s">
        <v>17</v>
      </c>
      <c r="B1737" t="str">
        <f>"688015"</f>
        <v>688015</v>
      </c>
      <c r="C1737" t="s">
        <v>3516</v>
      </c>
      <c r="D1737" t="s">
        <v>78</v>
      </c>
      <c r="F1737">
        <v>-92976748</v>
      </c>
      <c r="G1737">
        <v>219334480</v>
      </c>
      <c r="H1737">
        <v>305493404</v>
      </c>
      <c r="I1737">
        <v>90565573</v>
      </c>
      <c r="J1737">
        <v>-16743701</v>
      </c>
      <c r="K1737">
        <v>46524496</v>
      </c>
      <c r="P1737">
        <v>279</v>
      </c>
      <c r="Q1737" t="s">
        <v>3517</v>
      </c>
    </row>
    <row r="1738" spans="1:17" x14ac:dyDescent="0.3">
      <c r="A1738" t="s">
        <v>17</v>
      </c>
      <c r="B1738" t="str">
        <f>"688016"</f>
        <v>688016</v>
      </c>
      <c r="C1738" t="s">
        <v>3518</v>
      </c>
      <c r="D1738" t="s">
        <v>113</v>
      </c>
      <c r="F1738">
        <v>210672692</v>
      </c>
      <c r="G1738">
        <v>191216816</v>
      </c>
      <c r="H1738">
        <v>121990105</v>
      </c>
      <c r="I1738">
        <v>81948096</v>
      </c>
      <c r="J1738">
        <v>41130369</v>
      </c>
      <c r="K1738">
        <v>-1624495</v>
      </c>
      <c r="P1738">
        <v>553</v>
      </c>
      <c r="Q1738" t="s">
        <v>3519</v>
      </c>
    </row>
    <row r="1739" spans="1:17" x14ac:dyDescent="0.3">
      <c r="A1739" t="s">
        <v>17</v>
      </c>
      <c r="B1739" t="str">
        <f>"688017"</f>
        <v>688017</v>
      </c>
      <c r="C1739" t="s">
        <v>3520</v>
      </c>
      <c r="D1739" t="s">
        <v>78</v>
      </c>
      <c r="F1739">
        <v>-94218521</v>
      </c>
      <c r="G1739">
        <v>86464949</v>
      </c>
      <c r="H1739">
        <v>-17846630</v>
      </c>
      <c r="I1739">
        <v>-44289463</v>
      </c>
      <c r="J1739">
        <v>-39430470</v>
      </c>
      <c r="P1739">
        <v>152</v>
      </c>
      <c r="Q1739" t="s">
        <v>3521</v>
      </c>
    </row>
    <row r="1740" spans="1:17" x14ac:dyDescent="0.3">
      <c r="A1740" t="s">
        <v>17</v>
      </c>
      <c r="B1740" t="str">
        <f>"688018"</f>
        <v>688018</v>
      </c>
      <c r="C1740" t="s">
        <v>3522</v>
      </c>
      <c r="D1740" t="s">
        <v>150</v>
      </c>
      <c r="F1740">
        <v>-439179</v>
      </c>
      <c r="G1740">
        <v>14352656</v>
      </c>
      <c r="H1740">
        <v>81394403</v>
      </c>
      <c r="I1740">
        <v>64980638</v>
      </c>
      <c r="J1740">
        <v>-20854858</v>
      </c>
      <c r="K1740">
        <v>8363212</v>
      </c>
      <c r="P1740">
        <v>317</v>
      </c>
      <c r="Q1740" t="s">
        <v>3523</v>
      </c>
    </row>
    <row r="1741" spans="1:17" x14ac:dyDescent="0.3">
      <c r="A1741" t="s">
        <v>17</v>
      </c>
      <c r="B1741" t="str">
        <f>"688019"</f>
        <v>688019</v>
      </c>
      <c r="C1741" t="s">
        <v>3524</v>
      </c>
      <c r="D1741" t="s">
        <v>150</v>
      </c>
      <c r="F1741">
        <v>-179870070</v>
      </c>
      <c r="G1741">
        <v>9108162</v>
      </c>
      <c r="H1741">
        <v>42547128</v>
      </c>
      <c r="I1741">
        <v>45619378</v>
      </c>
      <c r="J1741">
        <v>-12171785</v>
      </c>
      <c r="K1741">
        <v>38179682</v>
      </c>
      <c r="P1741">
        <v>286</v>
      </c>
      <c r="Q1741" t="s">
        <v>3525</v>
      </c>
    </row>
    <row r="1742" spans="1:17" x14ac:dyDescent="0.3">
      <c r="A1742" t="s">
        <v>17</v>
      </c>
      <c r="B1742" t="str">
        <f>"688020"</f>
        <v>688020</v>
      </c>
      <c r="C1742" t="s">
        <v>3526</v>
      </c>
      <c r="D1742" t="s">
        <v>150</v>
      </c>
      <c r="F1742">
        <v>-346357800</v>
      </c>
      <c r="G1742">
        <v>-131459061</v>
      </c>
      <c r="H1742">
        <v>69198297</v>
      </c>
      <c r="I1742">
        <v>105049376</v>
      </c>
      <c r="J1742">
        <v>66693499</v>
      </c>
      <c r="K1742">
        <v>-1507148</v>
      </c>
      <c r="P1742">
        <v>253</v>
      </c>
      <c r="Q1742" t="s">
        <v>3527</v>
      </c>
    </row>
    <row r="1743" spans="1:17" x14ac:dyDescent="0.3">
      <c r="A1743" t="s">
        <v>17</v>
      </c>
      <c r="B1743" t="str">
        <f>"688021"</f>
        <v>688021</v>
      </c>
      <c r="C1743" t="s">
        <v>3528</v>
      </c>
      <c r="D1743" t="s">
        <v>27</v>
      </c>
      <c r="F1743">
        <v>-152693718</v>
      </c>
      <c r="G1743">
        <v>-55582734</v>
      </c>
      <c r="H1743">
        <v>-22660117</v>
      </c>
      <c r="I1743">
        <v>-27137061</v>
      </c>
      <c r="J1743">
        <v>-44361785</v>
      </c>
      <c r="K1743">
        <v>-36791577</v>
      </c>
      <c r="P1743">
        <v>80</v>
      </c>
      <c r="Q1743" t="s">
        <v>3529</v>
      </c>
    </row>
    <row r="1744" spans="1:17" x14ac:dyDescent="0.3">
      <c r="A1744" t="s">
        <v>17</v>
      </c>
      <c r="B1744" t="str">
        <f>"688022"</f>
        <v>688022</v>
      </c>
      <c r="C1744" t="s">
        <v>3530</v>
      </c>
      <c r="D1744" t="s">
        <v>78</v>
      </c>
      <c r="F1744">
        <v>-467540551</v>
      </c>
      <c r="G1744">
        <v>-248285647</v>
      </c>
      <c r="H1744">
        <v>-89727716</v>
      </c>
      <c r="I1744">
        <v>468142</v>
      </c>
      <c r="J1744">
        <v>-16587749</v>
      </c>
      <c r="K1744">
        <v>-29285739</v>
      </c>
      <c r="P1744">
        <v>164</v>
      </c>
      <c r="Q1744" t="s">
        <v>3531</v>
      </c>
    </row>
    <row r="1745" spans="1:17" x14ac:dyDescent="0.3">
      <c r="A1745" t="s">
        <v>17</v>
      </c>
      <c r="B1745" t="str">
        <f>"688023"</f>
        <v>688023</v>
      </c>
      <c r="C1745" t="s">
        <v>3532</v>
      </c>
      <c r="D1745" t="s">
        <v>212</v>
      </c>
      <c r="F1745">
        <v>-343643538</v>
      </c>
      <c r="G1745">
        <v>153629524</v>
      </c>
      <c r="H1745">
        <v>90571200</v>
      </c>
      <c r="I1745">
        <v>4011684</v>
      </c>
      <c r="J1745">
        <v>19981636</v>
      </c>
      <c r="K1745">
        <v>32280170</v>
      </c>
      <c r="P1745">
        <v>249</v>
      </c>
      <c r="Q1745" t="s">
        <v>3533</v>
      </c>
    </row>
    <row r="1746" spans="1:17" x14ac:dyDescent="0.3">
      <c r="A1746" t="s">
        <v>17</v>
      </c>
      <c r="B1746" t="str">
        <f>"688025"</f>
        <v>688025</v>
      </c>
      <c r="C1746" t="s">
        <v>3534</v>
      </c>
      <c r="D1746" t="s">
        <v>78</v>
      </c>
      <c r="F1746">
        <v>-377592125</v>
      </c>
      <c r="G1746">
        <v>-94540803</v>
      </c>
      <c r="H1746">
        <v>-42806346</v>
      </c>
      <c r="I1746">
        <v>21457443</v>
      </c>
      <c r="J1746">
        <v>-92626720</v>
      </c>
      <c r="K1746">
        <v>-10655374</v>
      </c>
      <c r="P1746">
        <v>159</v>
      </c>
      <c r="Q1746" t="s">
        <v>3535</v>
      </c>
    </row>
    <row r="1747" spans="1:17" x14ac:dyDescent="0.3">
      <c r="A1747" t="s">
        <v>17</v>
      </c>
      <c r="B1747" t="str">
        <f>"688026"</f>
        <v>688026</v>
      </c>
      <c r="C1747" t="s">
        <v>3536</v>
      </c>
      <c r="D1747" t="s">
        <v>133</v>
      </c>
      <c r="F1747">
        <v>-57509361</v>
      </c>
      <c r="G1747">
        <v>-63321163</v>
      </c>
      <c r="H1747">
        <v>5845048</v>
      </c>
      <c r="I1747">
        <v>18646081</v>
      </c>
      <c r="J1747">
        <v>34174117</v>
      </c>
      <c r="K1747">
        <v>23644873</v>
      </c>
      <c r="P1747">
        <v>211</v>
      </c>
      <c r="Q1747" t="s">
        <v>3537</v>
      </c>
    </row>
    <row r="1748" spans="1:17" x14ac:dyDescent="0.3">
      <c r="A1748" t="s">
        <v>17</v>
      </c>
      <c r="B1748" t="str">
        <f>"688027"</f>
        <v>688027</v>
      </c>
      <c r="C1748" t="s">
        <v>3538</v>
      </c>
      <c r="D1748" t="s">
        <v>100</v>
      </c>
      <c r="F1748">
        <v>-152779932</v>
      </c>
      <c r="G1748">
        <v>-22001098</v>
      </c>
      <c r="H1748">
        <v>113721795</v>
      </c>
      <c r="I1748">
        <v>-65471272</v>
      </c>
      <c r="J1748">
        <v>-106611176</v>
      </c>
      <c r="K1748">
        <v>-101750409</v>
      </c>
      <c r="P1748">
        <v>98</v>
      </c>
      <c r="Q1748" t="s">
        <v>3539</v>
      </c>
    </row>
    <row r="1749" spans="1:17" x14ac:dyDescent="0.3">
      <c r="A1749" t="s">
        <v>17</v>
      </c>
      <c r="B1749" t="str">
        <f>"688028"</f>
        <v>688028</v>
      </c>
      <c r="C1749" t="s">
        <v>3540</v>
      </c>
      <c r="D1749" t="s">
        <v>78</v>
      </c>
      <c r="F1749">
        <v>-52962112</v>
      </c>
      <c r="G1749">
        <v>-28280993</v>
      </c>
      <c r="H1749">
        <v>32160232</v>
      </c>
      <c r="I1749">
        <v>3059985</v>
      </c>
      <c r="J1749">
        <v>28160286</v>
      </c>
      <c r="K1749">
        <v>8548273</v>
      </c>
      <c r="P1749">
        <v>77</v>
      </c>
      <c r="Q1749" t="s">
        <v>3541</v>
      </c>
    </row>
    <row r="1750" spans="1:17" x14ac:dyDescent="0.3">
      <c r="A1750" t="s">
        <v>17</v>
      </c>
      <c r="B1750" t="str">
        <f>"688029"</f>
        <v>688029</v>
      </c>
      <c r="C1750" t="s">
        <v>3542</v>
      </c>
      <c r="D1750" t="s">
        <v>113</v>
      </c>
      <c r="F1750">
        <v>9601158</v>
      </c>
      <c r="G1750">
        <v>70376188</v>
      </c>
      <c r="H1750">
        <v>199477054</v>
      </c>
      <c r="I1750">
        <v>143670320</v>
      </c>
      <c r="J1750">
        <v>87253322</v>
      </c>
      <c r="K1750">
        <v>44864761</v>
      </c>
      <c r="P1750">
        <v>392</v>
      </c>
      <c r="Q1750" t="s">
        <v>3543</v>
      </c>
    </row>
    <row r="1751" spans="1:17" x14ac:dyDescent="0.3">
      <c r="A1751" t="s">
        <v>17</v>
      </c>
      <c r="B1751" t="str">
        <f>"688030"</f>
        <v>688030</v>
      </c>
      <c r="C1751" t="s">
        <v>3544</v>
      </c>
      <c r="D1751" t="s">
        <v>212</v>
      </c>
      <c r="F1751">
        <v>-201269031</v>
      </c>
      <c r="G1751">
        <v>-244738932</v>
      </c>
      <c r="H1751">
        <v>7174746</v>
      </c>
      <c r="I1751">
        <v>-5271445</v>
      </c>
      <c r="J1751">
        <v>-14329843</v>
      </c>
      <c r="K1751">
        <v>15879152</v>
      </c>
      <c r="P1751">
        <v>145</v>
      </c>
      <c r="Q1751" t="s">
        <v>3545</v>
      </c>
    </row>
    <row r="1752" spans="1:17" x14ac:dyDescent="0.3">
      <c r="A1752" t="s">
        <v>17</v>
      </c>
      <c r="B1752" t="str">
        <f>"688032"</f>
        <v>688032</v>
      </c>
      <c r="C1752" t="s">
        <v>3546</v>
      </c>
      <c r="D1752" t="s">
        <v>188</v>
      </c>
      <c r="F1752">
        <v>106622544</v>
      </c>
      <c r="G1752">
        <v>51283794</v>
      </c>
      <c r="H1752">
        <v>-140085891</v>
      </c>
      <c r="I1752">
        <v>-745130372</v>
      </c>
      <c r="J1752">
        <v>-171168183</v>
      </c>
      <c r="P1752">
        <v>31</v>
      </c>
      <c r="Q1752" t="s">
        <v>3547</v>
      </c>
    </row>
    <row r="1753" spans="1:17" x14ac:dyDescent="0.3">
      <c r="A1753" t="s">
        <v>17</v>
      </c>
      <c r="B1753" t="str">
        <f>"688033"</f>
        <v>688033</v>
      </c>
      <c r="C1753" t="s">
        <v>3548</v>
      </c>
      <c r="D1753" t="s">
        <v>78</v>
      </c>
      <c r="F1753">
        <v>-595972409</v>
      </c>
      <c r="G1753">
        <v>28116402</v>
      </c>
      <c r="H1753">
        <v>25453554</v>
      </c>
      <c r="I1753">
        <v>-32439395</v>
      </c>
      <c r="J1753">
        <v>-81548955</v>
      </c>
      <c r="K1753">
        <v>42662721</v>
      </c>
      <c r="P1753">
        <v>87</v>
      </c>
      <c r="Q1753" t="s">
        <v>3549</v>
      </c>
    </row>
    <row r="1754" spans="1:17" x14ac:dyDescent="0.3">
      <c r="A1754" t="s">
        <v>17</v>
      </c>
      <c r="B1754" t="str">
        <f>"688036"</f>
        <v>688036</v>
      </c>
      <c r="C1754" t="s">
        <v>3550</v>
      </c>
      <c r="D1754" t="s">
        <v>150</v>
      </c>
      <c r="F1754">
        <v>3409683518</v>
      </c>
      <c r="G1754">
        <v>3992763824</v>
      </c>
      <c r="H1754">
        <v>3625407384</v>
      </c>
      <c r="I1754">
        <v>1346544433</v>
      </c>
      <c r="J1754">
        <v>928050318</v>
      </c>
      <c r="K1754">
        <v>390944548</v>
      </c>
      <c r="P1754">
        <v>599</v>
      </c>
      <c r="Q1754" t="s">
        <v>3551</v>
      </c>
    </row>
    <row r="1755" spans="1:17" x14ac:dyDescent="0.3">
      <c r="A1755" t="s">
        <v>17</v>
      </c>
      <c r="B1755" t="str">
        <f>"688037"</f>
        <v>688037</v>
      </c>
      <c r="C1755" t="s">
        <v>3552</v>
      </c>
      <c r="D1755" t="s">
        <v>150</v>
      </c>
      <c r="F1755">
        <v>-410079125</v>
      </c>
      <c r="G1755">
        <v>-164919658</v>
      </c>
      <c r="H1755">
        <v>-9864579</v>
      </c>
      <c r="I1755">
        <v>-32552389</v>
      </c>
      <c r="J1755">
        <v>26637385</v>
      </c>
      <c r="K1755">
        <v>64101532</v>
      </c>
      <c r="P1755">
        <v>168</v>
      </c>
      <c r="Q1755" t="s">
        <v>3553</v>
      </c>
    </row>
    <row r="1756" spans="1:17" x14ac:dyDescent="0.3">
      <c r="A1756" t="s">
        <v>17</v>
      </c>
      <c r="B1756" t="str">
        <f>"688038"</f>
        <v>688038</v>
      </c>
      <c r="C1756" t="s">
        <v>3554</v>
      </c>
      <c r="D1756" t="s">
        <v>212</v>
      </c>
      <c r="F1756">
        <v>-116600060</v>
      </c>
      <c r="G1756">
        <v>-172548050</v>
      </c>
      <c r="H1756">
        <v>2877442</v>
      </c>
      <c r="I1756">
        <v>-40491297</v>
      </c>
      <c r="J1756">
        <v>-12917320</v>
      </c>
      <c r="P1756">
        <v>17</v>
      </c>
      <c r="Q1756" t="s">
        <v>3555</v>
      </c>
    </row>
    <row r="1757" spans="1:17" x14ac:dyDescent="0.3">
      <c r="A1757" t="s">
        <v>17</v>
      </c>
      <c r="B1757" t="str">
        <f>"688039"</f>
        <v>688039</v>
      </c>
      <c r="C1757" t="s">
        <v>3556</v>
      </c>
      <c r="D1757" t="s">
        <v>212</v>
      </c>
      <c r="F1757">
        <v>-136524637</v>
      </c>
      <c r="G1757">
        <v>-9653852</v>
      </c>
      <c r="H1757">
        <v>-26810911</v>
      </c>
      <c r="I1757">
        <v>2804015</v>
      </c>
      <c r="J1757">
        <v>8406237</v>
      </c>
      <c r="K1757">
        <v>-2579751</v>
      </c>
      <c r="P1757">
        <v>155</v>
      </c>
      <c r="Q1757" t="s">
        <v>3557</v>
      </c>
    </row>
    <row r="1758" spans="1:17" x14ac:dyDescent="0.3">
      <c r="A1758" t="s">
        <v>17</v>
      </c>
      <c r="B1758" t="str">
        <f>"688046"</f>
        <v>688046</v>
      </c>
      <c r="C1758" t="s">
        <v>3558</v>
      </c>
      <c r="F1758">
        <v>24240090</v>
      </c>
      <c r="G1758">
        <v>-37281004</v>
      </c>
      <c r="H1758">
        <v>19467552</v>
      </c>
      <c r="I1758">
        <v>40901188</v>
      </c>
      <c r="P1758">
        <v>2</v>
      </c>
      <c r="Q1758" t="s">
        <v>3559</v>
      </c>
    </row>
    <row r="1759" spans="1:17" x14ac:dyDescent="0.3">
      <c r="A1759" t="s">
        <v>17</v>
      </c>
      <c r="B1759" t="str">
        <f>"688048"</f>
        <v>688048</v>
      </c>
      <c r="C1759" t="s">
        <v>3560</v>
      </c>
      <c r="F1759">
        <v>-109891227</v>
      </c>
      <c r="G1759">
        <v>-130345926</v>
      </c>
      <c r="H1759">
        <v>-21052916</v>
      </c>
      <c r="I1759">
        <v>-62055298</v>
      </c>
      <c r="P1759">
        <v>12</v>
      </c>
      <c r="Q1759" t="s">
        <v>3561</v>
      </c>
    </row>
    <row r="1760" spans="1:17" x14ac:dyDescent="0.3">
      <c r="A1760" t="s">
        <v>17</v>
      </c>
      <c r="B1760" t="str">
        <f>"688049"</f>
        <v>688049</v>
      </c>
      <c r="C1760" t="s">
        <v>3562</v>
      </c>
      <c r="D1760" t="s">
        <v>150</v>
      </c>
      <c r="F1760">
        <v>64369203</v>
      </c>
      <c r="G1760">
        <v>-5169249</v>
      </c>
      <c r="H1760">
        <v>63488416</v>
      </c>
      <c r="I1760">
        <v>51811066</v>
      </c>
      <c r="J1760">
        <v>7580231</v>
      </c>
      <c r="P1760">
        <v>21</v>
      </c>
      <c r="Q1760" t="s">
        <v>3563</v>
      </c>
    </row>
    <row r="1761" spans="1:17" x14ac:dyDescent="0.3">
      <c r="A1761" t="s">
        <v>17</v>
      </c>
      <c r="B1761" t="str">
        <f>"688050"</f>
        <v>688050</v>
      </c>
      <c r="C1761" t="s">
        <v>3564</v>
      </c>
      <c r="D1761" t="s">
        <v>113</v>
      </c>
      <c r="F1761">
        <v>-91920607</v>
      </c>
      <c r="G1761">
        <v>4651315</v>
      </c>
      <c r="H1761">
        <v>-91116539</v>
      </c>
      <c r="I1761">
        <v>-39985488</v>
      </c>
      <c r="J1761">
        <v>-27357799</v>
      </c>
      <c r="K1761">
        <v>-30986745</v>
      </c>
      <c r="P1761">
        <v>411</v>
      </c>
      <c r="Q1761" t="s">
        <v>3565</v>
      </c>
    </row>
    <row r="1762" spans="1:17" x14ac:dyDescent="0.3">
      <c r="A1762" t="s">
        <v>17</v>
      </c>
      <c r="B1762" t="str">
        <f>"688051"</f>
        <v>688051</v>
      </c>
      <c r="C1762" t="s">
        <v>3566</v>
      </c>
      <c r="D1762" t="s">
        <v>212</v>
      </c>
      <c r="F1762">
        <v>-208057988</v>
      </c>
      <c r="G1762">
        <v>-145751201</v>
      </c>
      <c r="H1762">
        <v>-78979486</v>
      </c>
      <c r="I1762">
        <v>38738974</v>
      </c>
      <c r="J1762">
        <v>-68955901</v>
      </c>
      <c r="K1762">
        <v>-6661802</v>
      </c>
      <c r="P1762">
        <v>91</v>
      </c>
      <c r="Q1762" t="s">
        <v>3567</v>
      </c>
    </row>
    <row r="1763" spans="1:17" x14ac:dyDescent="0.3">
      <c r="A1763" t="s">
        <v>17</v>
      </c>
      <c r="B1763" t="str">
        <f>"688052"</f>
        <v>688052</v>
      </c>
      <c r="C1763" t="s">
        <v>3568</v>
      </c>
      <c r="F1763">
        <v>-86585970</v>
      </c>
      <c r="G1763">
        <v>-96726000</v>
      </c>
      <c r="H1763">
        <v>-18145407</v>
      </c>
      <c r="I1763">
        <v>-4594729</v>
      </c>
      <c r="P1763">
        <v>11</v>
      </c>
      <c r="Q1763" t="s">
        <v>3569</v>
      </c>
    </row>
    <row r="1764" spans="1:17" x14ac:dyDescent="0.3">
      <c r="A1764" t="s">
        <v>17</v>
      </c>
      <c r="B1764" t="str">
        <f>"688055"</f>
        <v>688055</v>
      </c>
      <c r="C1764" t="s">
        <v>3570</v>
      </c>
      <c r="D1764" t="s">
        <v>150</v>
      </c>
      <c r="F1764">
        <v>492254950</v>
      </c>
      <c r="G1764">
        <v>100300720</v>
      </c>
      <c r="H1764">
        <v>428884427</v>
      </c>
      <c r="I1764">
        <v>515801428</v>
      </c>
      <c r="J1764">
        <v>1266781292</v>
      </c>
      <c r="K1764">
        <v>1679741204</v>
      </c>
      <c r="P1764">
        <v>76</v>
      </c>
      <c r="Q1764" t="s">
        <v>3571</v>
      </c>
    </row>
    <row r="1765" spans="1:17" x14ac:dyDescent="0.3">
      <c r="A1765" t="s">
        <v>17</v>
      </c>
      <c r="B1765" t="str">
        <f>"688056"</f>
        <v>688056</v>
      </c>
      <c r="C1765" t="s">
        <v>3572</v>
      </c>
      <c r="D1765" t="s">
        <v>78</v>
      </c>
      <c r="F1765">
        <v>-28366511</v>
      </c>
      <c r="G1765">
        <v>80290948</v>
      </c>
      <c r="H1765">
        <v>25967843</v>
      </c>
      <c r="I1765">
        <v>42982071</v>
      </c>
      <c r="J1765">
        <v>53506759</v>
      </c>
      <c r="K1765">
        <v>45423262</v>
      </c>
      <c r="P1765">
        <v>50</v>
      </c>
      <c r="Q1765" t="s">
        <v>3573</v>
      </c>
    </row>
    <row r="1766" spans="1:17" x14ac:dyDescent="0.3">
      <c r="A1766" t="s">
        <v>17</v>
      </c>
      <c r="B1766" t="str">
        <f>"688057"</f>
        <v>688057</v>
      </c>
      <c r="C1766" t="s">
        <v>3574</v>
      </c>
      <c r="D1766" t="s">
        <v>33</v>
      </c>
      <c r="F1766">
        <v>113534057</v>
      </c>
      <c r="G1766">
        <v>372005405</v>
      </c>
      <c r="H1766">
        <v>174115907</v>
      </c>
      <c r="I1766">
        <v>177095465</v>
      </c>
      <c r="J1766">
        <v>106220384</v>
      </c>
      <c r="K1766">
        <v>-24303656</v>
      </c>
      <c r="P1766">
        <v>116</v>
      </c>
      <c r="Q1766" t="s">
        <v>3575</v>
      </c>
    </row>
    <row r="1767" spans="1:17" x14ac:dyDescent="0.3">
      <c r="A1767" t="s">
        <v>17</v>
      </c>
      <c r="B1767" t="str">
        <f>"688058"</f>
        <v>688058</v>
      </c>
      <c r="C1767" t="s">
        <v>3576</v>
      </c>
      <c r="D1767" t="s">
        <v>212</v>
      </c>
      <c r="F1767">
        <v>-72747745</v>
      </c>
      <c r="G1767">
        <v>17905957</v>
      </c>
      <c r="H1767">
        <v>16732457</v>
      </c>
      <c r="I1767">
        <v>15426004</v>
      </c>
      <c r="J1767">
        <v>16248893</v>
      </c>
      <c r="K1767">
        <v>12550819</v>
      </c>
      <c r="P1767">
        <v>96</v>
      </c>
      <c r="Q1767" t="s">
        <v>3577</v>
      </c>
    </row>
    <row r="1768" spans="1:17" x14ac:dyDescent="0.3">
      <c r="A1768" t="s">
        <v>17</v>
      </c>
      <c r="B1768" t="str">
        <f>"688059"</f>
        <v>688059</v>
      </c>
      <c r="C1768" t="s">
        <v>3578</v>
      </c>
      <c r="D1768" t="s">
        <v>78</v>
      </c>
      <c r="F1768">
        <v>376760</v>
      </c>
      <c r="G1768">
        <v>683623</v>
      </c>
      <c r="H1768">
        <v>10433696</v>
      </c>
      <c r="I1768">
        <v>-34971162</v>
      </c>
      <c r="J1768">
        <v>-36812569</v>
      </c>
      <c r="P1768">
        <v>105</v>
      </c>
      <c r="Q1768" t="s">
        <v>3579</v>
      </c>
    </row>
    <row r="1769" spans="1:17" x14ac:dyDescent="0.3">
      <c r="A1769" t="s">
        <v>17</v>
      </c>
      <c r="B1769" t="str">
        <f>"688060"</f>
        <v>688060</v>
      </c>
      <c r="C1769" t="s">
        <v>3580</v>
      </c>
      <c r="D1769" t="s">
        <v>212</v>
      </c>
      <c r="F1769">
        <v>-127106415</v>
      </c>
      <c r="G1769">
        <v>692414</v>
      </c>
      <c r="H1769">
        <v>52928558</v>
      </c>
      <c r="I1769">
        <v>20068487</v>
      </c>
      <c r="J1769">
        <v>3897222</v>
      </c>
      <c r="K1769">
        <v>1759404</v>
      </c>
      <c r="P1769">
        <v>76</v>
      </c>
      <c r="Q1769" t="s">
        <v>3581</v>
      </c>
    </row>
    <row r="1770" spans="1:17" x14ac:dyDescent="0.3">
      <c r="A1770" t="s">
        <v>17</v>
      </c>
      <c r="B1770" t="str">
        <f>"688062"</f>
        <v>688062</v>
      </c>
      <c r="C1770" t="s">
        <v>3582</v>
      </c>
      <c r="D1770" t="s">
        <v>113</v>
      </c>
      <c r="F1770">
        <v>-639912826</v>
      </c>
      <c r="G1770">
        <v>-645606098</v>
      </c>
      <c r="H1770">
        <v>-536459429</v>
      </c>
      <c r="I1770">
        <v>-379452935</v>
      </c>
      <c r="J1770">
        <v>-263504087</v>
      </c>
      <c r="P1770">
        <v>14</v>
      </c>
      <c r="Q1770" t="s">
        <v>3583</v>
      </c>
    </row>
    <row r="1771" spans="1:17" x14ac:dyDescent="0.3">
      <c r="A1771" t="s">
        <v>17</v>
      </c>
      <c r="B1771" t="str">
        <f>"688063"</f>
        <v>688063</v>
      </c>
      <c r="C1771" t="s">
        <v>3584</v>
      </c>
      <c r="D1771" t="s">
        <v>188</v>
      </c>
      <c r="F1771">
        <v>-788047827</v>
      </c>
      <c r="G1771">
        <v>135106995</v>
      </c>
      <c r="H1771">
        <v>33451903</v>
      </c>
      <c r="I1771">
        <v>-25877353</v>
      </c>
      <c r="J1771">
        <v>-26172062</v>
      </c>
      <c r="P1771">
        <v>212</v>
      </c>
      <c r="Q1771" t="s">
        <v>3585</v>
      </c>
    </row>
    <row r="1772" spans="1:17" x14ac:dyDescent="0.3">
      <c r="A1772" t="s">
        <v>17</v>
      </c>
      <c r="B1772" t="str">
        <f>"688065"</f>
        <v>688065</v>
      </c>
      <c r="C1772" t="s">
        <v>3586</v>
      </c>
      <c r="D1772" t="s">
        <v>133</v>
      </c>
      <c r="F1772">
        <v>-880491105</v>
      </c>
      <c r="G1772">
        <v>-248148610</v>
      </c>
      <c r="H1772">
        <v>-149009255</v>
      </c>
      <c r="I1772">
        <v>-418861406</v>
      </c>
      <c r="J1772">
        <v>-941478547</v>
      </c>
      <c r="K1772">
        <v>-451975196</v>
      </c>
      <c r="P1772">
        <v>107</v>
      </c>
      <c r="Q1772" t="s">
        <v>3587</v>
      </c>
    </row>
    <row r="1773" spans="1:17" x14ac:dyDescent="0.3">
      <c r="A1773" t="s">
        <v>17</v>
      </c>
      <c r="B1773" t="str">
        <f>"688066"</f>
        <v>688066</v>
      </c>
      <c r="C1773" t="s">
        <v>3588</v>
      </c>
      <c r="D1773" t="s">
        <v>212</v>
      </c>
      <c r="F1773">
        <v>-692158813</v>
      </c>
      <c r="G1773">
        <v>595391</v>
      </c>
      <c r="H1773">
        <v>-176730225</v>
      </c>
      <c r="I1773">
        <v>-25147979</v>
      </c>
      <c r="J1773">
        <v>-18934952</v>
      </c>
      <c r="K1773">
        <v>-58441071</v>
      </c>
      <c r="P1773">
        <v>159</v>
      </c>
      <c r="Q1773" t="s">
        <v>3589</v>
      </c>
    </row>
    <row r="1774" spans="1:17" x14ac:dyDescent="0.3">
      <c r="A1774" t="s">
        <v>17</v>
      </c>
      <c r="B1774" t="str">
        <f>"688067"</f>
        <v>688067</v>
      </c>
      <c r="C1774" t="s">
        <v>3590</v>
      </c>
      <c r="D1774" t="s">
        <v>113</v>
      </c>
      <c r="F1774">
        <v>26670261</v>
      </c>
      <c r="G1774">
        <v>35128766</v>
      </c>
      <c r="H1774">
        <v>37608461</v>
      </c>
      <c r="I1774">
        <v>22990494</v>
      </c>
      <c r="J1774">
        <v>-23296173</v>
      </c>
      <c r="P1774">
        <v>35</v>
      </c>
      <c r="Q1774" t="s">
        <v>3591</v>
      </c>
    </row>
    <row r="1775" spans="1:17" x14ac:dyDescent="0.3">
      <c r="A1775" t="s">
        <v>17</v>
      </c>
      <c r="B1775" t="str">
        <f>"688068"</f>
        <v>688068</v>
      </c>
      <c r="C1775" t="s">
        <v>3592</v>
      </c>
      <c r="D1775" t="s">
        <v>113</v>
      </c>
      <c r="F1775">
        <v>2245752811</v>
      </c>
      <c r="G1775">
        <v>-7600731</v>
      </c>
      <c r="H1775">
        <v>-69112320</v>
      </c>
      <c r="I1775">
        <v>13437741</v>
      </c>
      <c r="J1775">
        <v>-45972077</v>
      </c>
      <c r="K1775">
        <v>24510076</v>
      </c>
      <c r="P1775">
        <v>254</v>
      </c>
      <c r="Q1775" t="s">
        <v>3593</v>
      </c>
    </row>
    <row r="1776" spans="1:17" x14ac:dyDescent="0.3">
      <c r="A1776" t="s">
        <v>17</v>
      </c>
      <c r="B1776" t="str">
        <f>"688069"</f>
        <v>688069</v>
      </c>
      <c r="C1776" t="s">
        <v>3594</v>
      </c>
      <c r="D1776" t="s">
        <v>33</v>
      </c>
      <c r="F1776">
        <v>-128206135</v>
      </c>
      <c r="G1776">
        <v>-114074583</v>
      </c>
      <c r="H1776">
        <v>34412305</v>
      </c>
      <c r="I1776">
        <v>16302912</v>
      </c>
      <c r="J1776">
        <v>21734136</v>
      </c>
      <c r="K1776">
        <v>-8001765</v>
      </c>
      <c r="P1776">
        <v>79</v>
      </c>
      <c r="Q1776" t="s">
        <v>3595</v>
      </c>
    </row>
    <row r="1777" spans="1:17" x14ac:dyDescent="0.3">
      <c r="A1777" t="s">
        <v>17</v>
      </c>
      <c r="B1777" t="str">
        <f>"688070"</f>
        <v>688070</v>
      </c>
      <c r="C1777" t="s">
        <v>3596</v>
      </c>
      <c r="D1777" t="s">
        <v>92</v>
      </c>
      <c r="F1777">
        <v>-189807677</v>
      </c>
      <c r="G1777">
        <v>-53098407</v>
      </c>
      <c r="H1777">
        <v>7913844</v>
      </c>
      <c r="I1777">
        <v>1208024</v>
      </c>
      <c r="J1777">
        <v>25329368</v>
      </c>
      <c r="P1777">
        <v>43</v>
      </c>
      <c r="Q1777" t="s">
        <v>3597</v>
      </c>
    </row>
    <row r="1778" spans="1:17" x14ac:dyDescent="0.3">
      <c r="A1778" t="s">
        <v>17</v>
      </c>
      <c r="B1778" t="str">
        <f>"688071"</f>
        <v>688071</v>
      </c>
      <c r="C1778" t="s">
        <v>3598</v>
      </c>
      <c r="D1778" t="s">
        <v>78</v>
      </c>
      <c r="F1778">
        <v>-196507498</v>
      </c>
      <c r="G1778">
        <v>12306887</v>
      </c>
      <c r="H1778">
        <v>-56693129</v>
      </c>
      <c r="I1778">
        <v>-25852687</v>
      </c>
      <c r="J1778">
        <v>-53882328</v>
      </c>
      <c r="P1778">
        <v>28</v>
      </c>
      <c r="Q1778" t="s">
        <v>3599</v>
      </c>
    </row>
    <row r="1779" spans="1:17" x14ac:dyDescent="0.3">
      <c r="A1779" t="s">
        <v>17</v>
      </c>
      <c r="B1779" t="str">
        <f>"688072"</f>
        <v>688072</v>
      </c>
      <c r="C1779" t="s">
        <v>3600</v>
      </c>
      <c r="F1779">
        <v>-12132707</v>
      </c>
      <c r="G1779">
        <v>303070442</v>
      </c>
      <c r="H1779">
        <v>-36130733</v>
      </c>
      <c r="I1779">
        <v>-133578989</v>
      </c>
      <c r="P1779">
        <v>6</v>
      </c>
      <c r="Q1779" t="s">
        <v>3601</v>
      </c>
    </row>
    <row r="1780" spans="1:17" x14ac:dyDescent="0.3">
      <c r="A1780" t="s">
        <v>17</v>
      </c>
      <c r="B1780" t="str">
        <f>"688075"</f>
        <v>688075</v>
      </c>
      <c r="C1780" t="s">
        <v>3602</v>
      </c>
      <c r="D1780" t="s">
        <v>113</v>
      </c>
      <c r="F1780">
        <v>476429703</v>
      </c>
      <c r="G1780">
        <v>562120552</v>
      </c>
      <c r="H1780">
        <v>10184241</v>
      </c>
      <c r="I1780">
        <v>-6172137</v>
      </c>
      <c r="J1780">
        <v>9804613</v>
      </c>
      <c r="P1780">
        <v>37</v>
      </c>
      <c r="Q1780" t="s">
        <v>3603</v>
      </c>
    </row>
    <row r="1781" spans="1:17" x14ac:dyDescent="0.3">
      <c r="A1781" t="s">
        <v>17</v>
      </c>
      <c r="B1781" t="str">
        <f>"688076"</f>
        <v>688076</v>
      </c>
      <c r="C1781" t="s">
        <v>3604</v>
      </c>
      <c r="D1781" t="s">
        <v>113</v>
      </c>
      <c r="F1781">
        <v>-52269811</v>
      </c>
      <c r="G1781">
        <v>41555547</v>
      </c>
      <c r="H1781">
        <v>-230009971</v>
      </c>
      <c r="I1781">
        <v>-101255191</v>
      </c>
      <c r="J1781">
        <v>-62076149</v>
      </c>
      <c r="P1781">
        <v>53</v>
      </c>
      <c r="Q1781" t="s">
        <v>3605</v>
      </c>
    </row>
    <row r="1782" spans="1:17" x14ac:dyDescent="0.3">
      <c r="A1782" t="s">
        <v>17</v>
      </c>
      <c r="B1782" t="str">
        <f>"688077"</f>
        <v>688077</v>
      </c>
      <c r="C1782" t="s">
        <v>3606</v>
      </c>
      <c r="D1782" t="s">
        <v>234</v>
      </c>
      <c r="F1782">
        <v>-285858568</v>
      </c>
      <c r="G1782">
        <v>-49074765</v>
      </c>
      <c r="H1782">
        <v>7578616</v>
      </c>
      <c r="I1782">
        <v>13843915</v>
      </c>
      <c r="J1782">
        <v>-2048157</v>
      </c>
      <c r="K1782">
        <v>79981637</v>
      </c>
      <c r="P1782">
        <v>78</v>
      </c>
      <c r="Q1782" t="s">
        <v>3607</v>
      </c>
    </row>
    <row r="1783" spans="1:17" x14ac:dyDescent="0.3">
      <c r="A1783" t="s">
        <v>17</v>
      </c>
      <c r="B1783" t="str">
        <f>"688078"</f>
        <v>688078</v>
      </c>
      <c r="C1783" t="s">
        <v>3608</v>
      </c>
      <c r="D1783" t="s">
        <v>212</v>
      </c>
      <c r="F1783">
        <v>-49939786</v>
      </c>
      <c r="G1783">
        <v>-18351354</v>
      </c>
      <c r="H1783">
        <v>36701604</v>
      </c>
      <c r="I1783">
        <v>7738538</v>
      </c>
      <c r="J1783">
        <v>1572918</v>
      </c>
      <c r="K1783">
        <v>-18191893</v>
      </c>
      <c r="P1783">
        <v>84</v>
      </c>
      <c r="Q1783" t="s">
        <v>3609</v>
      </c>
    </row>
    <row r="1784" spans="1:17" x14ac:dyDescent="0.3">
      <c r="A1784" t="s">
        <v>17</v>
      </c>
      <c r="B1784" t="str">
        <f>"688079"</f>
        <v>688079</v>
      </c>
      <c r="C1784" t="s">
        <v>3610</v>
      </c>
      <c r="D1784" t="s">
        <v>150</v>
      </c>
      <c r="F1784">
        <v>-102804603</v>
      </c>
      <c r="G1784">
        <v>-207348083</v>
      </c>
      <c r="H1784">
        <v>-159019760</v>
      </c>
      <c r="I1784">
        <v>54481114</v>
      </c>
      <c r="J1784">
        <v>12248304</v>
      </c>
      <c r="P1784">
        <v>36</v>
      </c>
      <c r="Q1784" t="s">
        <v>3611</v>
      </c>
    </row>
    <row r="1785" spans="1:17" x14ac:dyDescent="0.3">
      <c r="A1785" t="s">
        <v>17</v>
      </c>
      <c r="B1785" t="str">
        <f>"688080"</f>
        <v>688080</v>
      </c>
      <c r="C1785" t="s">
        <v>3612</v>
      </c>
      <c r="D1785" t="s">
        <v>100</v>
      </c>
      <c r="F1785">
        <v>32604017</v>
      </c>
      <c r="G1785">
        <v>49056464</v>
      </c>
      <c r="H1785">
        <v>20116359</v>
      </c>
      <c r="I1785">
        <v>21734028</v>
      </c>
      <c r="J1785">
        <v>-36099241</v>
      </c>
      <c r="K1785">
        <v>-1075181</v>
      </c>
      <c r="P1785">
        <v>87</v>
      </c>
      <c r="Q1785" t="s">
        <v>3613</v>
      </c>
    </row>
    <row r="1786" spans="1:17" x14ac:dyDescent="0.3">
      <c r="A1786" t="s">
        <v>17</v>
      </c>
      <c r="B1786" t="str">
        <f>"688081"</f>
        <v>688081</v>
      </c>
      <c r="C1786" t="s">
        <v>3614</v>
      </c>
      <c r="D1786" t="s">
        <v>92</v>
      </c>
      <c r="F1786">
        <v>-128876940</v>
      </c>
      <c r="G1786">
        <v>-106558464</v>
      </c>
      <c r="H1786">
        <v>33216883</v>
      </c>
      <c r="I1786">
        <v>-6159420</v>
      </c>
      <c r="J1786">
        <v>23915548</v>
      </c>
      <c r="K1786">
        <v>-11050095</v>
      </c>
      <c r="P1786">
        <v>55</v>
      </c>
      <c r="Q1786" t="s">
        <v>3615</v>
      </c>
    </row>
    <row r="1787" spans="1:17" x14ac:dyDescent="0.3">
      <c r="A1787" t="s">
        <v>17</v>
      </c>
      <c r="B1787" t="str">
        <f>"688082"</f>
        <v>688082</v>
      </c>
      <c r="C1787" t="s">
        <v>3616</v>
      </c>
      <c r="D1787" t="s">
        <v>150</v>
      </c>
      <c r="F1787">
        <v>-248780680</v>
      </c>
      <c r="G1787">
        <v>-443692106</v>
      </c>
      <c r="H1787">
        <v>62542963</v>
      </c>
      <c r="I1787">
        <v>24087380</v>
      </c>
      <c r="J1787">
        <v>-11044613</v>
      </c>
      <c r="P1787">
        <v>35</v>
      </c>
      <c r="Q1787" t="s">
        <v>3617</v>
      </c>
    </row>
    <row r="1788" spans="1:17" x14ac:dyDescent="0.3">
      <c r="A1788" t="s">
        <v>17</v>
      </c>
      <c r="B1788" t="str">
        <f>"688083"</f>
        <v>688083</v>
      </c>
      <c r="C1788" t="s">
        <v>3618</v>
      </c>
      <c r="D1788" t="s">
        <v>212</v>
      </c>
      <c r="F1788">
        <v>-86410939</v>
      </c>
      <c r="G1788">
        <v>138000995</v>
      </c>
      <c r="H1788">
        <v>63601444</v>
      </c>
      <c r="I1788">
        <v>40192453</v>
      </c>
      <c r="J1788">
        <v>30961739</v>
      </c>
      <c r="P1788">
        <v>130</v>
      </c>
      <c r="Q1788" t="s">
        <v>3619</v>
      </c>
    </row>
    <row r="1789" spans="1:17" x14ac:dyDescent="0.3">
      <c r="A1789" t="s">
        <v>17</v>
      </c>
      <c r="B1789" t="str">
        <f>"688085"</f>
        <v>688085</v>
      </c>
      <c r="C1789" t="s">
        <v>3620</v>
      </c>
      <c r="D1789" t="s">
        <v>113</v>
      </c>
      <c r="F1789">
        <v>53630382</v>
      </c>
      <c r="G1789">
        <v>47070021</v>
      </c>
      <c r="H1789">
        <v>-17964939</v>
      </c>
      <c r="I1789">
        <v>-40595767</v>
      </c>
      <c r="J1789">
        <v>-15079186</v>
      </c>
      <c r="K1789">
        <v>16105135</v>
      </c>
      <c r="P1789">
        <v>197</v>
      </c>
      <c r="Q1789" t="s">
        <v>3621</v>
      </c>
    </row>
    <row r="1790" spans="1:17" x14ac:dyDescent="0.3">
      <c r="A1790" t="s">
        <v>17</v>
      </c>
      <c r="B1790" t="str">
        <f>"688086"</f>
        <v>688086</v>
      </c>
      <c r="C1790" t="s">
        <v>3622</v>
      </c>
      <c r="D1790" t="s">
        <v>212</v>
      </c>
      <c r="F1790">
        <v>-397471407</v>
      </c>
      <c r="G1790">
        <v>-184128903</v>
      </c>
      <c r="H1790">
        <v>-27099771</v>
      </c>
      <c r="I1790">
        <v>-19958697</v>
      </c>
      <c r="J1790">
        <v>-49457489</v>
      </c>
      <c r="K1790">
        <v>-56421988</v>
      </c>
      <c r="P1790">
        <v>84</v>
      </c>
      <c r="Q1790" t="s">
        <v>3623</v>
      </c>
    </row>
    <row r="1791" spans="1:17" x14ac:dyDescent="0.3">
      <c r="A1791" t="s">
        <v>17</v>
      </c>
      <c r="B1791" t="str">
        <f>"688087"</f>
        <v>688087</v>
      </c>
      <c r="C1791" t="s">
        <v>3624</v>
      </c>
      <c r="D1791" t="s">
        <v>133</v>
      </c>
      <c r="F1791">
        <v>12171125</v>
      </c>
      <c r="G1791">
        <v>69023480</v>
      </c>
      <c r="H1791">
        <v>-15686105</v>
      </c>
      <c r="I1791">
        <v>-43927981</v>
      </c>
      <c r="J1791">
        <v>-50196047</v>
      </c>
      <c r="P1791">
        <v>36</v>
      </c>
      <c r="Q1791" t="s">
        <v>3625</v>
      </c>
    </row>
    <row r="1792" spans="1:17" x14ac:dyDescent="0.3">
      <c r="A1792" t="s">
        <v>17</v>
      </c>
      <c r="B1792" t="str">
        <f>"688088"</f>
        <v>688088</v>
      </c>
      <c r="C1792" t="s">
        <v>3626</v>
      </c>
      <c r="D1792" t="s">
        <v>212</v>
      </c>
      <c r="F1792">
        <v>20230640</v>
      </c>
      <c r="G1792">
        <v>18518427</v>
      </c>
      <c r="H1792">
        <v>180008011</v>
      </c>
      <c r="I1792">
        <v>237214256</v>
      </c>
      <c r="J1792">
        <v>76763778</v>
      </c>
      <c r="K1792">
        <v>-19354200</v>
      </c>
      <c r="P1792">
        <v>271</v>
      </c>
      <c r="Q1792" t="s">
        <v>3627</v>
      </c>
    </row>
    <row r="1793" spans="1:17" x14ac:dyDescent="0.3">
      <c r="A1793" t="s">
        <v>17</v>
      </c>
      <c r="B1793" t="str">
        <f>"688089"</f>
        <v>688089</v>
      </c>
      <c r="C1793" t="s">
        <v>3628</v>
      </c>
      <c r="D1793" t="s">
        <v>133</v>
      </c>
      <c r="F1793">
        <v>-69945779</v>
      </c>
      <c r="G1793">
        <v>112958742</v>
      </c>
      <c r="H1793">
        <v>117350600</v>
      </c>
      <c r="I1793">
        <v>93866777</v>
      </c>
      <c r="J1793">
        <v>77504298</v>
      </c>
      <c r="K1793">
        <v>46327123</v>
      </c>
      <c r="P1793">
        <v>150</v>
      </c>
      <c r="Q1793" t="s">
        <v>3629</v>
      </c>
    </row>
    <row r="1794" spans="1:17" x14ac:dyDescent="0.3">
      <c r="A1794" t="s">
        <v>17</v>
      </c>
      <c r="B1794" t="str">
        <f>"688090"</f>
        <v>688090</v>
      </c>
      <c r="C1794" t="s">
        <v>3630</v>
      </c>
      <c r="D1794" t="s">
        <v>78</v>
      </c>
      <c r="F1794">
        <v>-74644075</v>
      </c>
      <c r="G1794">
        <v>-5965384</v>
      </c>
      <c r="H1794">
        <v>49877937</v>
      </c>
      <c r="I1794">
        <v>-76766571</v>
      </c>
      <c r="J1794">
        <v>15502064</v>
      </c>
      <c r="K1794">
        <v>-96991336</v>
      </c>
      <c r="P1794">
        <v>63</v>
      </c>
      <c r="Q1794" t="s">
        <v>3631</v>
      </c>
    </row>
    <row r="1795" spans="1:17" x14ac:dyDescent="0.3">
      <c r="A1795" t="s">
        <v>17</v>
      </c>
      <c r="B1795" t="str">
        <f>"688091"</f>
        <v>688091</v>
      </c>
      <c r="C1795" t="s">
        <v>3632</v>
      </c>
      <c r="D1795" t="s">
        <v>113</v>
      </c>
      <c r="F1795">
        <v>-51926916</v>
      </c>
      <c r="G1795">
        <v>-25215018</v>
      </c>
      <c r="H1795">
        <v>-71484603</v>
      </c>
      <c r="I1795">
        <v>-14149566</v>
      </c>
      <c r="J1795">
        <v>-12641678</v>
      </c>
      <c r="P1795">
        <v>14</v>
      </c>
      <c r="Q1795" t="s">
        <v>3633</v>
      </c>
    </row>
    <row r="1796" spans="1:17" x14ac:dyDescent="0.3">
      <c r="A1796" t="s">
        <v>17</v>
      </c>
      <c r="B1796" t="str">
        <f>"688092"</f>
        <v>688092</v>
      </c>
      <c r="C1796" t="s">
        <v>3634</v>
      </c>
      <c r="D1796" t="s">
        <v>78</v>
      </c>
      <c r="F1796">
        <v>-5241290</v>
      </c>
      <c r="G1796">
        <v>29104768</v>
      </c>
      <c r="H1796">
        <v>-1519898</v>
      </c>
      <c r="I1796">
        <v>18835672</v>
      </c>
      <c r="J1796">
        <v>14163280</v>
      </c>
      <c r="P1796">
        <v>30</v>
      </c>
      <c r="Q1796" t="s">
        <v>3635</v>
      </c>
    </row>
    <row r="1797" spans="1:17" x14ac:dyDescent="0.3">
      <c r="A1797" t="s">
        <v>17</v>
      </c>
      <c r="B1797" t="str">
        <f>"688093"</f>
        <v>688093</v>
      </c>
      <c r="C1797" t="s">
        <v>3636</v>
      </c>
      <c r="D1797" t="s">
        <v>150</v>
      </c>
      <c r="F1797">
        <v>40618659</v>
      </c>
      <c r="G1797">
        <v>17136109</v>
      </c>
      <c r="H1797">
        <v>9228303</v>
      </c>
      <c r="I1797">
        <v>63065168</v>
      </c>
      <c r="J1797">
        <v>23042919</v>
      </c>
      <c r="P1797">
        <v>59</v>
      </c>
      <c r="Q1797" t="s">
        <v>3637</v>
      </c>
    </row>
    <row r="1798" spans="1:17" x14ac:dyDescent="0.3">
      <c r="A1798" t="s">
        <v>17</v>
      </c>
      <c r="B1798" t="str">
        <f>"688095"</f>
        <v>688095</v>
      </c>
      <c r="C1798" t="s">
        <v>3638</v>
      </c>
      <c r="D1798" t="s">
        <v>212</v>
      </c>
      <c r="F1798">
        <v>5851896</v>
      </c>
      <c r="G1798">
        <v>122279504</v>
      </c>
      <c r="H1798">
        <v>106051539</v>
      </c>
      <c r="I1798">
        <v>64517177</v>
      </c>
      <c r="J1798">
        <v>31219149</v>
      </c>
      <c r="K1798">
        <v>-11331869</v>
      </c>
      <c r="P1798">
        <v>141</v>
      </c>
      <c r="Q1798" t="s">
        <v>3639</v>
      </c>
    </row>
    <row r="1799" spans="1:17" x14ac:dyDescent="0.3">
      <c r="A1799" t="s">
        <v>17</v>
      </c>
      <c r="B1799" t="str">
        <f>"688096"</f>
        <v>688096</v>
      </c>
      <c r="C1799" t="s">
        <v>3640</v>
      </c>
      <c r="D1799" t="s">
        <v>33</v>
      </c>
      <c r="F1799">
        <v>-164804101</v>
      </c>
      <c r="G1799">
        <v>-213332408</v>
      </c>
      <c r="H1799">
        <v>10923877</v>
      </c>
      <c r="I1799">
        <v>-28765564</v>
      </c>
      <c r="J1799">
        <v>-33239087</v>
      </c>
      <c r="K1799">
        <v>-31297925</v>
      </c>
      <c r="P1799">
        <v>73</v>
      </c>
      <c r="Q1799" t="s">
        <v>3641</v>
      </c>
    </row>
    <row r="1800" spans="1:17" x14ac:dyDescent="0.3">
      <c r="A1800" t="s">
        <v>17</v>
      </c>
      <c r="B1800" t="str">
        <f>"688097"</f>
        <v>688097</v>
      </c>
      <c r="C1800" t="s">
        <v>3642</v>
      </c>
      <c r="D1800" t="s">
        <v>78</v>
      </c>
      <c r="F1800">
        <v>-857943808</v>
      </c>
      <c r="G1800">
        <v>-428699292</v>
      </c>
      <c r="H1800">
        <v>95082871</v>
      </c>
      <c r="I1800">
        <v>631542788</v>
      </c>
      <c r="J1800">
        <v>-367390273</v>
      </c>
      <c r="K1800">
        <v>18778091</v>
      </c>
      <c r="P1800">
        <v>25</v>
      </c>
      <c r="Q1800" t="s">
        <v>3643</v>
      </c>
    </row>
    <row r="1801" spans="1:17" x14ac:dyDescent="0.3">
      <c r="A1801" t="s">
        <v>17</v>
      </c>
      <c r="B1801" t="str">
        <f>"688098"</f>
        <v>688098</v>
      </c>
      <c r="C1801" t="s">
        <v>3644</v>
      </c>
      <c r="D1801" t="s">
        <v>205</v>
      </c>
      <c r="F1801">
        <v>-97548591</v>
      </c>
      <c r="G1801">
        <v>-51830954</v>
      </c>
      <c r="H1801">
        <v>-50205498</v>
      </c>
      <c r="I1801">
        <v>42326466</v>
      </c>
      <c r="J1801">
        <v>-28392173</v>
      </c>
      <c r="K1801">
        <v>-67708934</v>
      </c>
      <c r="P1801">
        <v>73</v>
      </c>
      <c r="Q1801" t="s">
        <v>3645</v>
      </c>
    </row>
    <row r="1802" spans="1:17" x14ac:dyDescent="0.3">
      <c r="A1802" t="s">
        <v>17</v>
      </c>
      <c r="B1802" t="str">
        <f>"688099"</f>
        <v>688099</v>
      </c>
      <c r="C1802" t="s">
        <v>3646</v>
      </c>
      <c r="D1802" t="s">
        <v>150</v>
      </c>
      <c r="F1802">
        <v>313404316</v>
      </c>
      <c r="G1802">
        <v>663506630</v>
      </c>
      <c r="H1802">
        <v>164622307</v>
      </c>
      <c r="I1802">
        <v>-183000024</v>
      </c>
      <c r="J1802">
        <v>66211394</v>
      </c>
      <c r="K1802">
        <v>5835977</v>
      </c>
      <c r="P1802">
        <v>301</v>
      </c>
      <c r="Q1802" t="s">
        <v>3647</v>
      </c>
    </row>
    <row r="1803" spans="1:17" x14ac:dyDescent="0.3">
      <c r="A1803" t="s">
        <v>17</v>
      </c>
      <c r="B1803" t="str">
        <f>"688100"</f>
        <v>688100</v>
      </c>
      <c r="C1803" t="s">
        <v>3648</v>
      </c>
      <c r="D1803" t="s">
        <v>100</v>
      </c>
      <c r="F1803">
        <v>208147899</v>
      </c>
      <c r="G1803">
        <v>151031995</v>
      </c>
      <c r="H1803">
        <v>210303901</v>
      </c>
      <c r="I1803">
        <v>216621371</v>
      </c>
      <c r="J1803">
        <v>96170790</v>
      </c>
      <c r="K1803">
        <v>69859412</v>
      </c>
      <c r="P1803">
        <v>104</v>
      </c>
      <c r="Q1803" t="s">
        <v>3649</v>
      </c>
    </row>
    <row r="1804" spans="1:17" x14ac:dyDescent="0.3">
      <c r="A1804" t="s">
        <v>17</v>
      </c>
      <c r="B1804" t="str">
        <f>"688101"</f>
        <v>688101</v>
      </c>
      <c r="C1804" t="s">
        <v>3650</v>
      </c>
      <c r="D1804" t="s">
        <v>33</v>
      </c>
      <c r="F1804">
        <v>-84206757</v>
      </c>
      <c r="G1804">
        <v>-4608261</v>
      </c>
      <c r="H1804">
        <v>127339143</v>
      </c>
      <c r="I1804">
        <v>-45411576</v>
      </c>
      <c r="J1804">
        <v>61923049</v>
      </c>
      <c r="K1804">
        <v>137254938</v>
      </c>
      <c r="P1804">
        <v>77</v>
      </c>
      <c r="Q1804" t="s">
        <v>3651</v>
      </c>
    </row>
    <row r="1805" spans="1:17" x14ac:dyDescent="0.3">
      <c r="A1805" t="s">
        <v>17</v>
      </c>
      <c r="B1805" t="str">
        <f>"688102"</f>
        <v>688102</v>
      </c>
      <c r="C1805" t="s">
        <v>3652</v>
      </c>
      <c r="F1805">
        <v>-148726746</v>
      </c>
      <c r="G1805">
        <v>-37033556</v>
      </c>
      <c r="H1805">
        <v>13271032</v>
      </c>
      <c r="I1805">
        <v>13782121</v>
      </c>
      <c r="J1805">
        <v>38677796</v>
      </c>
      <c r="P1805">
        <v>3</v>
      </c>
      <c r="Q1805" t="s">
        <v>3653</v>
      </c>
    </row>
    <row r="1806" spans="1:17" x14ac:dyDescent="0.3">
      <c r="A1806" t="s">
        <v>17</v>
      </c>
      <c r="B1806" t="str">
        <f>"688103"</f>
        <v>688103</v>
      </c>
      <c r="C1806" t="s">
        <v>3654</v>
      </c>
      <c r="D1806" t="s">
        <v>150</v>
      </c>
      <c r="F1806">
        <v>-36087505</v>
      </c>
      <c r="G1806">
        <v>1762737</v>
      </c>
      <c r="H1806">
        <v>-403324</v>
      </c>
      <c r="I1806">
        <v>1809193</v>
      </c>
      <c r="J1806">
        <v>16482408</v>
      </c>
      <c r="P1806">
        <v>13</v>
      </c>
      <c r="Q1806" t="s">
        <v>3655</v>
      </c>
    </row>
    <row r="1807" spans="1:17" x14ac:dyDescent="0.3">
      <c r="A1807" t="s">
        <v>17</v>
      </c>
      <c r="B1807" t="str">
        <f>"688105"</f>
        <v>688105</v>
      </c>
      <c r="C1807" t="s">
        <v>3656</v>
      </c>
      <c r="D1807" t="s">
        <v>113</v>
      </c>
      <c r="F1807">
        <v>357566865</v>
      </c>
      <c r="G1807">
        <v>651183950</v>
      </c>
      <c r="H1807">
        <v>-4642623</v>
      </c>
      <c r="I1807">
        <v>-36078237</v>
      </c>
      <c r="J1807">
        <v>-22680920</v>
      </c>
      <c r="P1807">
        <v>51</v>
      </c>
      <c r="Q1807" t="s">
        <v>3657</v>
      </c>
    </row>
    <row r="1808" spans="1:17" x14ac:dyDescent="0.3">
      <c r="A1808" t="s">
        <v>17</v>
      </c>
      <c r="B1808" t="str">
        <f>"688106"</f>
        <v>688106</v>
      </c>
      <c r="C1808" t="s">
        <v>3658</v>
      </c>
      <c r="D1808" t="s">
        <v>150</v>
      </c>
      <c r="F1808">
        <v>-165871438</v>
      </c>
      <c r="G1808">
        <v>125013628</v>
      </c>
      <c r="H1808">
        <v>252013572</v>
      </c>
      <c r="I1808">
        <v>67488368</v>
      </c>
      <c r="J1808">
        <v>-98883499</v>
      </c>
      <c r="K1808">
        <v>-26505858</v>
      </c>
      <c r="P1808">
        <v>137</v>
      </c>
      <c r="Q1808" t="s">
        <v>3659</v>
      </c>
    </row>
    <row r="1809" spans="1:17" x14ac:dyDescent="0.3">
      <c r="A1809" t="s">
        <v>17</v>
      </c>
      <c r="B1809" t="str">
        <f>"688107"</f>
        <v>688107</v>
      </c>
      <c r="C1809" t="s">
        <v>3660</v>
      </c>
      <c r="D1809" t="s">
        <v>150</v>
      </c>
      <c r="F1809">
        <v>-221327703</v>
      </c>
      <c r="G1809">
        <v>36165780</v>
      </c>
      <c r="H1809">
        <v>-82053849</v>
      </c>
      <c r="I1809">
        <v>18924202</v>
      </c>
      <c r="P1809">
        <v>31</v>
      </c>
      <c r="Q1809" t="s">
        <v>3661</v>
      </c>
    </row>
    <row r="1810" spans="1:17" x14ac:dyDescent="0.3">
      <c r="A1810" t="s">
        <v>17</v>
      </c>
      <c r="B1810" t="str">
        <f>"688108"</f>
        <v>688108</v>
      </c>
      <c r="C1810" t="s">
        <v>3662</v>
      </c>
      <c r="D1810" t="s">
        <v>113</v>
      </c>
      <c r="F1810">
        <v>-217919856</v>
      </c>
      <c r="G1810">
        <v>-42048264</v>
      </c>
      <c r="H1810">
        <v>-42434394</v>
      </c>
      <c r="I1810">
        <v>-1296792</v>
      </c>
      <c r="J1810">
        <v>-5799157</v>
      </c>
      <c r="K1810">
        <v>-1988035</v>
      </c>
      <c r="P1810">
        <v>104</v>
      </c>
      <c r="Q1810" t="s">
        <v>3663</v>
      </c>
    </row>
    <row r="1811" spans="1:17" x14ac:dyDescent="0.3">
      <c r="A1811" t="s">
        <v>17</v>
      </c>
      <c r="B1811" t="str">
        <f>"688109"</f>
        <v>688109</v>
      </c>
      <c r="C1811" t="s">
        <v>3664</v>
      </c>
      <c r="D1811" t="s">
        <v>212</v>
      </c>
      <c r="F1811">
        <v>-34690380</v>
      </c>
      <c r="G1811">
        <v>57683457</v>
      </c>
      <c r="H1811">
        <v>45971473</v>
      </c>
      <c r="I1811">
        <v>42108971</v>
      </c>
      <c r="J1811">
        <v>21994157</v>
      </c>
      <c r="P1811">
        <v>73</v>
      </c>
      <c r="Q1811" t="s">
        <v>3665</v>
      </c>
    </row>
    <row r="1812" spans="1:17" x14ac:dyDescent="0.3">
      <c r="A1812" t="s">
        <v>17</v>
      </c>
      <c r="B1812" t="str">
        <f>"688110"</f>
        <v>688110</v>
      </c>
      <c r="C1812" t="s">
        <v>3666</v>
      </c>
      <c r="D1812" t="s">
        <v>150</v>
      </c>
      <c r="F1812">
        <v>65120341</v>
      </c>
      <c r="G1812">
        <v>196602615</v>
      </c>
      <c r="H1812">
        <v>-251140752</v>
      </c>
      <c r="I1812">
        <v>-186703656</v>
      </c>
      <c r="J1812">
        <v>-36790735</v>
      </c>
      <c r="P1812">
        <v>28</v>
      </c>
      <c r="Q1812" t="s">
        <v>3667</v>
      </c>
    </row>
    <row r="1813" spans="1:17" x14ac:dyDescent="0.3">
      <c r="A1813" t="s">
        <v>17</v>
      </c>
      <c r="B1813" t="str">
        <f>"688111"</f>
        <v>688111</v>
      </c>
      <c r="C1813" t="s">
        <v>3668</v>
      </c>
      <c r="D1813" t="s">
        <v>212</v>
      </c>
      <c r="F1813">
        <v>1715592221</v>
      </c>
      <c r="G1813">
        <v>1459334572</v>
      </c>
      <c r="H1813">
        <v>522484326</v>
      </c>
      <c r="I1813">
        <v>365579667</v>
      </c>
      <c r="J1813">
        <v>317290246</v>
      </c>
      <c r="K1813">
        <v>78943511</v>
      </c>
      <c r="L1813">
        <v>49053000</v>
      </c>
      <c r="P1813">
        <v>964</v>
      </c>
      <c r="Q1813" t="s">
        <v>3669</v>
      </c>
    </row>
    <row r="1814" spans="1:17" x14ac:dyDescent="0.3">
      <c r="A1814" t="s">
        <v>17</v>
      </c>
      <c r="B1814" t="str">
        <f>"688112"</f>
        <v>688112</v>
      </c>
      <c r="C1814" t="s">
        <v>3670</v>
      </c>
      <c r="D1814" t="s">
        <v>78</v>
      </c>
      <c r="F1814">
        <v>29552370</v>
      </c>
      <c r="G1814">
        <v>52791281</v>
      </c>
      <c r="H1814">
        <v>32492056</v>
      </c>
      <c r="I1814">
        <v>2345091</v>
      </c>
      <c r="J1814">
        <v>21171898</v>
      </c>
      <c r="P1814">
        <v>42</v>
      </c>
      <c r="Q1814" t="s">
        <v>3671</v>
      </c>
    </row>
    <row r="1815" spans="1:17" x14ac:dyDescent="0.3">
      <c r="A1815" t="s">
        <v>17</v>
      </c>
      <c r="B1815" t="str">
        <f>"688113"</f>
        <v>688113</v>
      </c>
      <c r="C1815" t="s">
        <v>3672</v>
      </c>
      <c r="D1815" t="s">
        <v>78</v>
      </c>
      <c r="F1815">
        <v>31299029</v>
      </c>
      <c r="G1815">
        <v>62575723</v>
      </c>
      <c r="H1815">
        <v>24711012</v>
      </c>
      <c r="I1815">
        <v>5649268</v>
      </c>
      <c r="J1815">
        <v>9481961</v>
      </c>
      <c r="P1815">
        <v>40</v>
      </c>
      <c r="Q1815" t="s">
        <v>3673</v>
      </c>
    </row>
    <row r="1816" spans="1:17" x14ac:dyDescent="0.3">
      <c r="A1816" t="s">
        <v>17</v>
      </c>
      <c r="B1816" t="str">
        <f>"688115"</f>
        <v>688115</v>
      </c>
      <c r="C1816" t="s">
        <v>3674</v>
      </c>
      <c r="F1816">
        <v>-74804933</v>
      </c>
      <c r="G1816">
        <v>9559899</v>
      </c>
      <c r="H1816">
        <v>19939641</v>
      </c>
      <c r="I1816">
        <v>13571150</v>
      </c>
      <c r="P1816">
        <v>7</v>
      </c>
      <c r="Q1816" t="s">
        <v>3675</v>
      </c>
    </row>
    <row r="1817" spans="1:17" x14ac:dyDescent="0.3">
      <c r="A1817" t="s">
        <v>17</v>
      </c>
      <c r="B1817" t="str">
        <f>"688116"</f>
        <v>688116</v>
      </c>
      <c r="C1817" t="s">
        <v>3676</v>
      </c>
      <c r="D1817" t="s">
        <v>188</v>
      </c>
      <c r="F1817">
        <v>-243777269</v>
      </c>
      <c r="G1817">
        <v>-58255034</v>
      </c>
      <c r="H1817">
        <v>47754548</v>
      </c>
      <c r="I1817">
        <v>-121080430</v>
      </c>
      <c r="J1817">
        <v>-106651197</v>
      </c>
      <c r="K1817">
        <v>-19324716</v>
      </c>
      <c r="P1817">
        <v>197</v>
      </c>
      <c r="Q1817" t="s">
        <v>3677</v>
      </c>
    </row>
    <row r="1818" spans="1:17" x14ac:dyDescent="0.3">
      <c r="A1818" t="s">
        <v>17</v>
      </c>
      <c r="B1818" t="str">
        <f>"688117"</f>
        <v>688117</v>
      </c>
      <c r="C1818" t="s">
        <v>3678</v>
      </c>
      <c r="D1818" t="s">
        <v>113</v>
      </c>
      <c r="F1818">
        <v>-11695431</v>
      </c>
      <c r="G1818">
        <v>29062993</v>
      </c>
      <c r="H1818">
        <v>894801</v>
      </c>
      <c r="I1818">
        <v>34863408</v>
      </c>
      <c r="J1818">
        <v>23074870</v>
      </c>
      <c r="P1818">
        <v>29</v>
      </c>
      <c r="Q1818" t="s">
        <v>3679</v>
      </c>
    </row>
    <row r="1819" spans="1:17" x14ac:dyDescent="0.3">
      <c r="A1819" t="s">
        <v>17</v>
      </c>
      <c r="B1819" t="str">
        <f>"688118"</f>
        <v>688118</v>
      </c>
      <c r="C1819" t="s">
        <v>3680</v>
      </c>
      <c r="D1819" t="s">
        <v>212</v>
      </c>
      <c r="F1819">
        <v>65156218</v>
      </c>
      <c r="G1819">
        <v>15360263</v>
      </c>
      <c r="H1819">
        <v>-3020416</v>
      </c>
      <c r="I1819">
        <v>16895059</v>
      </c>
      <c r="J1819">
        <v>28950844</v>
      </c>
      <c r="K1819">
        <v>46282605</v>
      </c>
      <c r="P1819">
        <v>71</v>
      </c>
      <c r="Q1819" t="s">
        <v>3681</v>
      </c>
    </row>
    <row r="1820" spans="1:17" x14ac:dyDescent="0.3">
      <c r="A1820" t="s">
        <v>17</v>
      </c>
      <c r="B1820" t="str">
        <f>"688121"</f>
        <v>688121</v>
      </c>
      <c r="C1820" t="s">
        <v>3682</v>
      </c>
      <c r="D1820" t="s">
        <v>78</v>
      </c>
      <c r="F1820">
        <v>-410983273</v>
      </c>
      <c r="G1820">
        <v>-651426385</v>
      </c>
      <c r="H1820">
        <v>277543692</v>
      </c>
      <c r="I1820">
        <v>52530885</v>
      </c>
      <c r="J1820">
        <v>-31812359</v>
      </c>
      <c r="P1820">
        <v>24</v>
      </c>
      <c r="Q1820" t="s">
        <v>3683</v>
      </c>
    </row>
    <row r="1821" spans="1:17" x14ac:dyDescent="0.3">
      <c r="A1821" t="s">
        <v>17</v>
      </c>
      <c r="B1821" t="str">
        <f>"688122"</f>
        <v>688122</v>
      </c>
      <c r="C1821" t="s">
        <v>3684</v>
      </c>
      <c r="D1821" t="s">
        <v>92</v>
      </c>
      <c r="F1821">
        <v>-59742852</v>
      </c>
      <c r="G1821">
        <v>-407724087</v>
      </c>
      <c r="H1821">
        <v>-273122439</v>
      </c>
      <c r="I1821">
        <v>90440557</v>
      </c>
      <c r="J1821">
        <v>-197032187</v>
      </c>
      <c r="K1821">
        <v>-136873745</v>
      </c>
      <c r="P1821">
        <v>309</v>
      </c>
      <c r="Q1821" t="s">
        <v>3685</v>
      </c>
    </row>
    <row r="1822" spans="1:17" x14ac:dyDescent="0.3">
      <c r="A1822" t="s">
        <v>17</v>
      </c>
      <c r="B1822" t="str">
        <f>"688123"</f>
        <v>688123</v>
      </c>
      <c r="C1822" t="s">
        <v>3686</v>
      </c>
      <c r="D1822" t="s">
        <v>150</v>
      </c>
      <c r="F1822">
        <v>-116022470</v>
      </c>
      <c r="G1822">
        <v>71909545</v>
      </c>
      <c r="H1822">
        <v>71424884</v>
      </c>
      <c r="I1822">
        <v>87706238</v>
      </c>
      <c r="J1822">
        <v>75557764</v>
      </c>
      <c r="K1822">
        <v>38040564</v>
      </c>
      <c r="P1822">
        <v>163</v>
      </c>
      <c r="Q1822" t="s">
        <v>3687</v>
      </c>
    </row>
    <row r="1823" spans="1:17" x14ac:dyDescent="0.3">
      <c r="A1823" t="s">
        <v>17</v>
      </c>
      <c r="B1823" t="str">
        <f>"688125"</f>
        <v>688125</v>
      </c>
      <c r="C1823" t="s">
        <v>3688</v>
      </c>
      <c r="F1823">
        <v>120865112</v>
      </c>
      <c r="G1823">
        <v>75074061</v>
      </c>
      <c r="H1823">
        <v>26747975</v>
      </c>
      <c r="I1823">
        <v>265640639</v>
      </c>
      <c r="P1823">
        <v>2</v>
      </c>
      <c r="Q1823" t="s">
        <v>3689</v>
      </c>
    </row>
    <row r="1824" spans="1:17" x14ac:dyDescent="0.3">
      <c r="A1824" t="s">
        <v>17</v>
      </c>
      <c r="B1824" t="str">
        <f>"688126"</f>
        <v>688126</v>
      </c>
      <c r="C1824" t="s">
        <v>3690</v>
      </c>
      <c r="D1824" t="s">
        <v>150</v>
      </c>
      <c r="F1824">
        <v>-996975601</v>
      </c>
      <c r="G1824">
        <v>-800423840</v>
      </c>
      <c r="H1824">
        <v>-17937517</v>
      </c>
      <c r="I1824">
        <v>-643125296</v>
      </c>
      <c r="J1824">
        <v>-522947742</v>
      </c>
      <c r="K1824">
        <v>-130610475</v>
      </c>
      <c r="P1824">
        <v>329</v>
      </c>
      <c r="Q1824" t="s">
        <v>3691</v>
      </c>
    </row>
    <row r="1825" spans="1:17" x14ac:dyDescent="0.3">
      <c r="A1825" t="s">
        <v>17</v>
      </c>
      <c r="B1825" t="str">
        <f>"688127"</f>
        <v>688127</v>
      </c>
      <c r="C1825" t="s">
        <v>3692</v>
      </c>
      <c r="D1825" t="s">
        <v>150</v>
      </c>
      <c r="F1825">
        <v>69011582</v>
      </c>
      <c r="G1825">
        <v>163122671</v>
      </c>
      <c r="H1825">
        <v>69700010</v>
      </c>
      <c r="I1825">
        <v>-10085217</v>
      </c>
      <c r="J1825">
        <v>55468056</v>
      </c>
      <c r="K1825">
        <v>-10762668</v>
      </c>
      <c r="P1825">
        <v>86</v>
      </c>
      <c r="Q1825" t="s">
        <v>3693</v>
      </c>
    </row>
    <row r="1826" spans="1:17" x14ac:dyDescent="0.3">
      <c r="A1826" t="s">
        <v>17</v>
      </c>
      <c r="B1826" t="str">
        <f>"688128"</f>
        <v>688128</v>
      </c>
      <c r="C1826" t="s">
        <v>3694</v>
      </c>
      <c r="D1826" t="s">
        <v>78</v>
      </c>
      <c r="F1826">
        <v>-38205360</v>
      </c>
      <c r="G1826">
        <v>221703773</v>
      </c>
      <c r="H1826">
        <v>290645580</v>
      </c>
      <c r="I1826">
        <v>90503927</v>
      </c>
      <c r="J1826">
        <v>72636158</v>
      </c>
      <c r="K1826">
        <v>95722522</v>
      </c>
      <c r="P1826">
        <v>69</v>
      </c>
      <c r="Q1826" t="s">
        <v>3695</v>
      </c>
    </row>
    <row r="1827" spans="1:17" x14ac:dyDescent="0.3">
      <c r="A1827" t="s">
        <v>17</v>
      </c>
      <c r="B1827" t="str">
        <f>"688129"</f>
        <v>688129</v>
      </c>
      <c r="C1827" t="s">
        <v>3696</v>
      </c>
      <c r="D1827" t="s">
        <v>133</v>
      </c>
      <c r="F1827">
        <v>56805846</v>
      </c>
      <c r="G1827">
        <v>88432697</v>
      </c>
      <c r="H1827">
        <v>64951688</v>
      </c>
      <c r="I1827">
        <v>77976025</v>
      </c>
      <c r="J1827">
        <v>-4434460</v>
      </c>
      <c r="P1827">
        <v>38</v>
      </c>
      <c r="Q1827" t="s">
        <v>3697</v>
      </c>
    </row>
    <row r="1828" spans="1:17" x14ac:dyDescent="0.3">
      <c r="A1828" t="s">
        <v>17</v>
      </c>
      <c r="B1828" t="str">
        <f>"688131"</f>
        <v>688131</v>
      </c>
      <c r="C1828" t="s">
        <v>3698</v>
      </c>
      <c r="D1828" t="s">
        <v>113</v>
      </c>
      <c r="F1828">
        <v>-229835547</v>
      </c>
      <c r="G1828">
        <v>45628050</v>
      </c>
      <c r="H1828">
        <v>36596179</v>
      </c>
      <c r="I1828">
        <v>-6997151</v>
      </c>
      <c r="J1828">
        <v>1259333</v>
      </c>
      <c r="P1828">
        <v>88</v>
      </c>
      <c r="Q1828" t="s">
        <v>3699</v>
      </c>
    </row>
    <row r="1829" spans="1:17" x14ac:dyDescent="0.3">
      <c r="A1829" t="s">
        <v>17</v>
      </c>
      <c r="B1829" t="str">
        <f>"688133"</f>
        <v>688133</v>
      </c>
      <c r="C1829" t="s">
        <v>3700</v>
      </c>
      <c r="D1829" t="s">
        <v>133</v>
      </c>
      <c r="F1829">
        <v>-377421828</v>
      </c>
      <c r="G1829">
        <v>-234617952</v>
      </c>
      <c r="H1829">
        <v>-60646680</v>
      </c>
      <c r="I1829">
        <v>12669789</v>
      </c>
      <c r="J1829">
        <v>4629697</v>
      </c>
      <c r="K1829">
        <v>-9963172</v>
      </c>
      <c r="P1829">
        <v>118</v>
      </c>
      <c r="Q1829" t="s">
        <v>3701</v>
      </c>
    </row>
    <row r="1830" spans="1:17" x14ac:dyDescent="0.3">
      <c r="A1830" t="s">
        <v>17</v>
      </c>
      <c r="B1830" t="str">
        <f>"688135"</f>
        <v>688135</v>
      </c>
      <c r="C1830" t="s">
        <v>3702</v>
      </c>
      <c r="D1830" t="s">
        <v>150</v>
      </c>
      <c r="F1830">
        <v>-279566379</v>
      </c>
      <c r="G1830">
        <v>-83755505</v>
      </c>
      <c r="H1830">
        <v>759640</v>
      </c>
      <c r="I1830">
        <v>-20799883</v>
      </c>
      <c r="J1830">
        <v>-96855783</v>
      </c>
      <c r="K1830">
        <v>-51927202</v>
      </c>
      <c r="P1830">
        <v>88</v>
      </c>
      <c r="Q1830" t="s">
        <v>3703</v>
      </c>
    </row>
    <row r="1831" spans="1:17" x14ac:dyDescent="0.3">
      <c r="A1831" t="s">
        <v>17</v>
      </c>
      <c r="B1831" t="str">
        <f>"688136"</f>
        <v>688136</v>
      </c>
      <c r="C1831" t="s">
        <v>3704</v>
      </c>
      <c r="D1831" t="s">
        <v>113</v>
      </c>
      <c r="F1831">
        <v>-213495172</v>
      </c>
      <c r="G1831">
        <v>-82524707</v>
      </c>
      <c r="H1831">
        <v>-48316957</v>
      </c>
      <c r="I1831">
        <v>23199792</v>
      </c>
      <c r="J1831">
        <v>9085971</v>
      </c>
      <c r="P1831">
        <v>66</v>
      </c>
      <c r="Q1831" t="s">
        <v>3705</v>
      </c>
    </row>
    <row r="1832" spans="1:17" x14ac:dyDescent="0.3">
      <c r="A1832" t="s">
        <v>17</v>
      </c>
      <c r="B1832" t="str">
        <f>"688138"</f>
        <v>688138</v>
      </c>
      <c r="C1832" t="s">
        <v>3706</v>
      </c>
      <c r="D1832" t="s">
        <v>150</v>
      </c>
      <c r="F1832">
        <v>-110817275</v>
      </c>
      <c r="G1832">
        <v>-69428650</v>
      </c>
      <c r="H1832">
        <v>-268919118</v>
      </c>
      <c r="I1832">
        <v>48322774</v>
      </c>
      <c r="J1832">
        <v>-69900121</v>
      </c>
      <c r="K1832">
        <v>20776160</v>
      </c>
      <c r="P1832">
        <v>92</v>
      </c>
      <c r="Q1832" t="s">
        <v>3707</v>
      </c>
    </row>
    <row r="1833" spans="1:17" x14ac:dyDescent="0.3">
      <c r="A1833" t="s">
        <v>17</v>
      </c>
      <c r="B1833" t="str">
        <f>"688139"</f>
        <v>688139</v>
      </c>
      <c r="C1833" t="s">
        <v>3708</v>
      </c>
      <c r="D1833" t="s">
        <v>113</v>
      </c>
      <c r="F1833">
        <v>408027550</v>
      </c>
      <c r="G1833">
        <v>607729439</v>
      </c>
      <c r="H1833">
        <v>112124083</v>
      </c>
      <c r="I1833">
        <v>79667972</v>
      </c>
      <c r="J1833">
        <v>121365186</v>
      </c>
      <c r="K1833">
        <v>208101150</v>
      </c>
      <c r="P1833">
        <v>349</v>
      </c>
      <c r="Q1833" t="s">
        <v>3709</v>
      </c>
    </row>
    <row r="1834" spans="1:17" x14ac:dyDescent="0.3">
      <c r="A1834" t="s">
        <v>17</v>
      </c>
      <c r="B1834" t="str">
        <f>"688148"</f>
        <v>688148</v>
      </c>
      <c r="C1834" t="s">
        <v>3710</v>
      </c>
      <c r="D1834" t="s">
        <v>188</v>
      </c>
      <c r="F1834">
        <v>-288999132</v>
      </c>
      <c r="G1834">
        <v>-5989258</v>
      </c>
      <c r="H1834">
        <v>-309501151</v>
      </c>
      <c r="I1834">
        <v>-160177279</v>
      </c>
      <c r="J1834">
        <v>-223936716</v>
      </c>
      <c r="P1834">
        <v>29</v>
      </c>
      <c r="Q1834" t="s">
        <v>3711</v>
      </c>
    </row>
    <row r="1835" spans="1:17" x14ac:dyDescent="0.3">
      <c r="A1835" t="s">
        <v>17</v>
      </c>
      <c r="B1835" t="str">
        <f>"688150"</f>
        <v>688150</v>
      </c>
      <c r="C1835" t="s">
        <v>3712</v>
      </c>
      <c r="F1835">
        <v>21199855</v>
      </c>
      <c r="G1835">
        <v>-102668603</v>
      </c>
      <c r="H1835">
        <v>-62746787</v>
      </c>
      <c r="I1835">
        <v>-102568373</v>
      </c>
      <c r="P1835">
        <v>4</v>
      </c>
      <c r="Q1835" t="s">
        <v>3713</v>
      </c>
    </row>
    <row r="1836" spans="1:17" x14ac:dyDescent="0.3">
      <c r="A1836" t="s">
        <v>17</v>
      </c>
      <c r="B1836" t="str">
        <f>"688151"</f>
        <v>688151</v>
      </c>
      <c r="C1836" t="s">
        <v>3714</v>
      </c>
      <c r="D1836" t="s">
        <v>92</v>
      </c>
      <c r="F1836">
        <v>431048533</v>
      </c>
      <c r="G1836">
        <v>-437056649</v>
      </c>
      <c r="H1836">
        <v>293355288</v>
      </c>
      <c r="I1836">
        <v>87140031</v>
      </c>
      <c r="J1836">
        <v>174631721</v>
      </c>
      <c r="P1836">
        <v>13</v>
      </c>
      <c r="Q1836" t="s">
        <v>3715</v>
      </c>
    </row>
    <row r="1837" spans="1:17" x14ac:dyDescent="0.3">
      <c r="A1837" t="s">
        <v>17</v>
      </c>
      <c r="B1837" t="str">
        <f>"688153"</f>
        <v>688153</v>
      </c>
      <c r="C1837" t="s">
        <v>3716</v>
      </c>
      <c r="F1837">
        <v>-196600832</v>
      </c>
      <c r="G1837">
        <v>110803282</v>
      </c>
      <c r="H1837">
        <v>52595024</v>
      </c>
      <c r="I1837">
        <v>-31840191</v>
      </c>
      <c r="P1837">
        <v>8</v>
      </c>
      <c r="Q1837" t="s">
        <v>3717</v>
      </c>
    </row>
    <row r="1838" spans="1:17" x14ac:dyDescent="0.3">
      <c r="A1838" t="s">
        <v>17</v>
      </c>
      <c r="B1838" t="str">
        <f>"688155"</f>
        <v>688155</v>
      </c>
      <c r="C1838" t="s">
        <v>3718</v>
      </c>
      <c r="D1838" t="s">
        <v>188</v>
      </c>
      <c r="F1838">
        <v>-177005677</v>
      </c>
      <c r="G1838">
        <v>4742878</v>
      </c>
      <c r="H1838">
        <v>64008644</v>
      </c>
      <c r="I1838">
        <v>-79953590</v>
      </c>
      <c r="J1838">
        <v>-9075667</v>
      </c>
      <c r="K1838">
        <v>-21045193</v>
      </c>
      <c r="P1838">
        <v>101</v>
      </c>
      <c r="Q1838" t="s">
        <v>3719</v>
      </c>
    </row>
    <row r="1839" spans="1:17" x14ac:dyDescent="0.3">
      <c r="A1839" t="s">
        <v>17</v>
      </c>
      <c r="B1839" t="str">
        <f>"688156"</f>
        <v>688156</v>
      </c>
      <c r="C1839" t="s">
        <v>3720</v>
      </c>
      <c r="D1839" t="s">
        <v>33</v>
      </c>
      <c r="F1839">
        <v>-12372730</v>
      </c>
      <c r="G1839">
        <v>11777256</v>
      </c>
      <c r="H1839">
        <v>-16877806</v>
      </c>
      <c r="I1839">
        <v>29496589</v>
      </c>
      <c r="J1839">
        <v>16222145</v>
      </c>
      <c r="K1839">
        <v>-30270198</v>
      </c>
      <c r="P1839">
        <v>42</v>
      </c>
      <c r="Q1839" t="s">
        <v>3721</v>
      </c>
    </row>
    <row r="1840" spans="1:17" x14ac:dyDescent="0.3">
      <c r="A1840" t="s">
        <v>17</v>
      </c>
      <c r="B1840" t="str">
        <f>"688157"</f>
        <v>688157</v>
      </c>
      <c r="C1840" t="s">
        <v>3722</v>
      </c>
      <c r="D1840" t="s">
        <v>133</v>
      </c>
      <c r="F1840">
        <v>-49912656</v>
      </c>
      <c r="G1840">
        <v>15231077</v>
      </c>
      <c r="H1840">
        <v>27976509</v>
      </c>
      <c r="I1840">
        <v>9934849</v>
      </c>
      <c r="J1840">
        <v>23396814</v>
      </c>
      <c r="K1840">
        <v>31601278</v>
      </c>
      <c r="P1840">
        <v>100</v>
      </c>
      <c r="Q1840" t="s">
        <v>3723</v>
      </c>
    </row>
    <row r="1841" spans="1:17" x14ac:dyDescent="0.3">
      <c r="A1841" t="s">
        <v>17</v>
      </c>
      <c r="B1841" t="str">
        <f>"688158"</f>
        <v>688158</v>
      </c>
      <c r="C1841" t="s">
        <v>3724</v>
      </c>
      <c r="D1841" t="s">
        <v>212</v>
      </c>
      <c r="F1841">
        <v>-1034183483</v>
      </c>
      <c r="G1841">
        <v>-605782251</v>
      </c>
      <c r="H1841">
        <v>-64584452</v>
      </c>
      <c r="I1841">
        <v>-356540161</v>
      </c>
      <c r="J1841">
        <v>-54085964</v>
      </c>
      <c r="K1841">
        <v>-156888617</v>
      </c>
      <c r="P1841">
        <v>104</v>
      </c>
      <c r="Q1841" t="s">
        <v>3725</v>
      </c>
    </row>
    <row r="1842" spans="1:17" x14ac:dyDescent="0.3">
      <c r="A1842" t="s">
        <v>17</v>
      </c>
      <c r="B1842" t="str">
        <f>"688159"</f>
        <v>688159</v>
      </c>
      <c r="C1842" t="s">
        <v>3726</v>
      </c>
      <c r="D1842" t="s">
        <v>100</v>
      </c>
      <c r="F1842">
        <v>-144379379</v>
      </c>
      <c r="G1842">
        <v>-162700346</v>
      </c>
      <c r="H1842">
        <v>-71016149</v>
      </c>
      <c r="I1842">
        <v>-153832251</v>
      </c>
      <c r="J1842">
        <v>-77545396</v>
      </c>
      <c r="K1842">
        <v>-37446140</v>
      </c>
      <c r="P1842">
        <v>94</v>
      </c>
      <c r="Q1842" t="s">
        <v>3727</v>
      </c>
    </row>
    <row r="1843" spans="1:17" x14ac:dyDescent="0.3">
      <c r="A1843" t="s">
        <v>17</v>
      </c>
      <c r="B1843" t="str">
        <f>"688160"</f>
        <v>688160</v>
      </c>
      <c r="C1843" t="s">
        <v>3728</v>
      </c>
      <c r="D1843" t="s">
        <v>78</v>
      </c>
      <c r="F1843">
        <v>-32168875</v>
      </c>
      <c r="G1843">
        <v>46212941</v>
      </c>
      <c r="H1843">
        <v>45569589</v>
      </c>
      <c r="I1843">
        <v>29451712</v>
      </c>
      <c r="J1843">
        <v>22533868</v>
      </c>
      <c r="K1843">
        <v>40787132</v>
      </c>
      <c r="P1843">
        <v>44</v>
      </c>
      <c r="Q1843" t="s">
        <v>3729</v>
      </c>
    </row>
    <row r="1844" spans="1:17" x14ac:dyDescent="0.3">
      <c r="A1844" t="s">
        <v>17</v>
      </c>
      <c r="B1844" t="str">
        <f>"688161"</f>
        <v>688161</v>
      </c>
      <c r="C1844" t="s">
        <v>3730</v>
      </c>
      <c r="D1844" t="s">
        <v>113</v>
      </c>
      <c r="F1844">
        <v>676046964</v>
      </c>
      <c r="G1844">
        <v>594911898</v>
      </c>
      <c r="H1844">
        <v>505981825</v>
      </c>
      <c r="I1844">
        <v>270868093</v>
      </c>
      <c r="J1844">
        <v>213900292</v>
      </c>
      <c r="P1844">
        <v>101</v>
      </c>
      <c r="Q1844" t="s">
        <v>3731</v>
      </c>
    </row>
    <row r="1845" spans="1:17" x14ac:dyDescent="0.3">
      <c r="A1845" t="s">
        <v>17</v>
      </c>
      <c r="B1845" t="str">
        <f>"688162"</f>
        <v>688162</v>
      </c>
      <c r="C1845" t="s">
        <v>3732</v>
      </c>
      <c r="D1845" t="s">
        <v>27</v>
      </c>
      <c r="F1845">
        <v>-162955157</v>
      </c>
      <c r="G1845">
        <v>-124529999</v>
      </c>
      <c r="H1845">
        <v>-31020953</v>
      </c>
      <c r="I1845">
        <v>219116848</v>
      </c>
      <c r="J1845">
        <v>-42198134</v>
      </c>
      <c r="P1845">
        <v>31</v>
      </c>
      <c r="Q1845" t="s">
        <v>3733</v>
      </c>
    </row>
    <row r="1846" spans="1:17" x14ac:dyDescent="0.3">
      <c r="A1846" t="s">
        <v>17</v>
      </c>
      <c r="B1846" t="str">
        <f>"688163"</f>
        <v>688163</v>
      </c>
      <c r="C1846" t="s">
        <v>3734</v>
      </c>
      <c r="F1846">
        <v>65007088</v>
      </c>
      <c r="G1846">
        <v>80441358</v>
      </c>
      <c r="H1846">
        <v>57009806</v>
      </c>
      <c r="I1846">
        <v>24422110</v>
      </c>
      <c r="J1846">
        <v>26568986</v>
      </c>
      <c r="P1846">
        <v>12</v>
      </c>
      <c r="Q1846" t="s">
        <v>3735</v>
      </c>
    </row>
    <row r="1847" spans="1:17" x14ac:dyDescent="0.3">
      <c r="A1847" t="s">
        <v>17</v>
      </c>
      <c r="B1847" t="str">
        <f>"688165"</f>
        <v>688165</v>
      </c>
      <c r="C1847" t="s">
        <v>3736</v>
      </c>
      <c r="D1847" t="s">
        <v>78</v>
      </c>
      <c r="F1847">
        <v>-223731233</v>
      </c>
      <c r="G1847">
        <v>-159248759</v>
      </c>
      <c r="H1847">
        <v>-190932726</v>
      </c>
      <c r="I1847">
        <v>-319275511</v>
      </c>
      <c r="J1847">
        <v>-72215750</v>
      </c>
      <c r="K1847">
        <v>-2086502</v>
      </c>
      <c r="P1847">
        <v>64</v>
      </c>
      <c r="Q1847" t="s">
        <v>3737</v>
      </c>
    </row>
    <row r="1848" spans="1:17" x14ac:dyDescent="0.3">
      <c r="A1848" t="s">
        <v>17</v>
      </c>
      <c r="B1848" t="str">
        <f>"688166"</f>
        <v>688166</v>
      </c>
      <c r="C1848" t="s">
        <v>3738</v>
      </c>
      <c r="D1848" t="s">
        <v>113</v>
      </c>
      <c r="F1848">
        <v>-733541295</v>
      </c>
      <c r="G1848">
        <v>-199824216</v>
      </c>
      <c r="H1848">
        <v>-27515947</v>
      </c>
      <c r="I1848">
        <v>-48055761</v>
      </c>
      <c r="J1848">
        <v>-46550661</v>
      </c>
      <c r="K1848">
        <v>-6848301</v>
      </c>
      <c r="P1848">
        <v>191</v>
      </c>
      <c r="Q1848" t="s">
        <v>3739</v>
      </c>
    </row>
    <row r="1849" spans="1:17" x14ac:dyDescent="0.3">
      <c r="A1849" t="s">
        <v>17</v>
      </c>
      <c r="B1849" t="str">
        <f>"688167"</f>
        <v>688167</v>
      </c>
      <c r="C1849" t="s">
        <v>3740</v>
      </c>
      <c r="D1849" t="s">
        <v>78</v>
      </c>
      <c r="F1849">
        <v>-31017993</v>
      </c>
      <c r="G1849">
        <v>-19472644</v>
      </c>
      <c r="H1849">
        <v>-49444696</v>
      </c>
      <c r="I1849">
        <v>-3937661</v>
      </c>
      <c r="J1849">
        <v>-32030736</v>
      </c>
      <c r="P1849">
        <v>32</v>
      </c>
      <c r="Q1849" t="s">
        <v>3741</v>
      </c>
    </row>
    <row r="1850" spans="1:17" x14ac:dyDescent="0.3">
      <c r="A1850" t="s">
        <v>17</v>
      </c>
      <c r="B1850" t="str">
        <f>"688168"</f>
        <v>688168</v>
      </c>
      <c r="C1850" t="s">
        <v>3742</v>
      </c>
      <c r="D1850" t="s">
        <v>212</v>
      </c>
      <c r="F1850">
        <v>-4055267</v>
      </c>
      <c r="G1850">
        <v>581824</v>
      </c>
      <c r="H1850">
        <v>15442355</v>
      </c>
      <c r="I1850">
        <v>-340379</v>
      </c>
      <c r="J1850">
        <v>4999548</v>
      </c>
      <c r="K1850">
        <v>-1270018</v>
      </c>
      <c r="P1850">
        <v>144</v>
      </c>
      <c r="Q1850" t="s">
        <v>3743</v>
      </c>
    </row>
    <row r="1851" spans="1:17" x14ac:dyDescent="0.3">
      <c r="A1851" t="s">
        <v>17</v>
      </c>
      <c r="B1851" t="str">
        <f>"688169"</f>
        <v>688169</v>
      </c>
      <c r="C1851" t="s">
        <v>3744</v>
      </c>
      <c r="D1851" t="s">
        <v>126</v>
      </c>
      <c r="F1851">
        <v>1079621697</v>
      </c>
      <c r="G1851">
        <v>528779816</v>
      </c>
      <c r="H1851">
        <v>705898247</v>
      </c>
      <c r="I1851">
        <v>363861999</v>
      </c>
      <c r="J1851">
        <v>28582468</v>
      </c>
      <c r="K1851">
        <v>-61566102</v>
      </c>
      <c r="P1851">
        <v>759</v>
      </c>
      <c r="Q1851" t="s">
        <v>3745</v>
      </c>
    </row>
    <row r="1852" spans="1:17" x14ac:dyDescent="0.3">
      <c r="A1852" t="s">
        <v>17</v>
      </c>
      <c r="B1852" t="str">
        <f>"688170"</f>
        <v>688170</v>
      </c>
      <c r="C1852" t="s">
        <v>3746</v>
      </c>
      <c r="F1852">
        <v>11208273</v>
      </c>
      <c r="G1852">
        <v>17231977</v>
      </c>
      <c r="H1852">
        <v>21774495</v>
      </c>
      <c r="I1852">
        <v>-10560515</v>
      </c>
      <c r="P1852">
        <v>2</v>
      </c>
      <c r="Q1852" t="s">
        <v>3747</v>
      </c>
    </row>
    <row r="1853" spans="1:17" x14ac:dyDescent="0.3">
      <c r="A1853" t="s">
        <v>17</v>
      </c>
      <c r="B1853" t="str">
        <f>"688171"</f>
        <v>688171</v>
      </c>
      <c r="C1853" t="s">
        <v>3748</v>
      </c>
      <c r="F1853">
        <v>8955105</v>
      </c>
      <c r="G1853">
        <v>27926586</v>
      </c>
      <c r="H1853">
        <v>42514472</v>
      </c>
      <c r="I1853">
        <v>5382383</v>
      </c>
      <c r="J1853">
        <v>9423462</v>
      </c>
      <c r="P1853">
        <v>12</v>
      </c>
      <c r="Q1853" t="s">
        <v>3749</v>
      </c>
    </row>
    <row r="1854" spans="1:17" x14ac:dyDescent="0.3">
      <c r="A1854" t="s">
        <v>17</v>
      </c>
      <c r="B1854" t="str">
        <f>"688173"</f>
        <v>688173</v>
      </c>
      <c r="C1854" t="s">
        <v>3750</v>
      </c>
      <c r="F1854">
        <v>27711182</v>
      </c>
      <c r="G1854">
        <v>-29199290</v>
      </c>
      <c r="H1854">
        <v>-38955491</v>
      </c>
      <c r="I1854">
        <v>-5900726</v>
      </c>
      <c r="P1854">
        <v>11</v>
      </c>
      <c r="Q1854" t="s">
        <v>3751</v>
      </c>
    </row>
    <row r="1855" spans="1:17" x14ac:dyDescent="0.3">
      <c r="A1855" t="s">
        <v>17</v>
      </c>
      <c r="B1855" t="str">
        <f>"688175"</f>
        <v>688175</v>
      </c>
      <c r="C1855" t="s">
        <v>3752</v>
      </c>
      <c r="F1855">
        <v>101469575</v>
      </c>
      <c r="G1855">
        <v>45833876</v>
      </c>
      <c r="H1855">
        <v>133006692</v>
      </c>
      <c r="I1855">
        <v>32413733</v>
      </c>
      <c r="P1855">
        <v>3</v>
      </c>
      <c r="Q1855" t="s">
        <v>3753</v>
      </c>
    </row>
    <row r="1856" spans="1:17" x14ac:dyDescent="0.3">
      <c r="A1856" t="s">
        <v>17</v>
      </c>
      <c r="B1856" t="str">
        <f>"688176"</f>
        <v>688176</v>
      </c>
      <c r="C1856" t="s">
        <v>3754</v>
      </c>
      <c r="D1856" t="s">
        <v>113</v>
      </c>
      <c r="F1856">
        <v>-213913328</v>
      </c>
      <c r="G1856">
        <v>-140254697</v>
      </c>
      <c r="H1856">
        <v>-89579764</v>
      </c>
      <c r="I1856">
        <v>-61324300</v>
      </c>
      <c r="P1856">
        <v>9</v>
      </c>
      <c r="Q1856" t="s">
        <v>3755</v>
      </c>
    </row>
    <row r="1857" spans="1:17" x14ac:dyDescent="0.3">
      <c r="A1857" t="s">
        <v>17</v>
      </c>
      <c r="B1857" t="str">
        <f>"688177"</f>
        <v>688177</v>
      </c>
      <c r="C1857" t="s">
        <v>3756</v>
      </c>
      <c r="D1857" t="s">
        <v>113</v>
      </c>
      <c r="F1857">
        <v>158378315</v>
      </c>
      <c r="G1857">
        <v>-611303288</v>
      </c>
      <c r="H1857">
        <v>-672781416</v>
      </c>
      <c r="I1857">
        <v>-842662608</v>
      </c>
      <c r="J1857">
        <v>-395755428</v>
      </c>
      <c r="K1857">
        <v>-235392995</v>
      </c>
      <c r="P1857">
        <v>98</v>
      </c>
      <c r="Q1857" t="s">
        <v>3757</v>
      </c>
    </row>
    <row r="1858" spans="1:17" x14ac:dyDescent="0.3">
      <c r="A1858" t="s">
        <v>17</v>
      </c>
      <c r="B1858" t="str">
        <f>"688178"</f>
        <v>688178</v>
      </c>
      <c r="C1858" t="s">
        <v>3758</v>
      </c>
      <c r="D1858" t="s">
        <v>33</v>
      </c>
      <c r="F1858">
        <v>-247694118</v>
      </c>
      <c r="G1858">
        <v>-137236857</v>
      </c>
      <c r="H1858">
        <v>-945707</v>
      </c>
      <c r="I1858">
        <v>-69723775</v>
      </c>
      <c r="J1858">
        <v>-78271923</v>
      </c>
      <c r="K1858">
        <v>-27027314</v>
      </c>
      <c r="P1858">
        <v>69</v>
      </c>
      <c r="Q1858" t="s">
        <v>3759</v>
      </c>
    </row>
    <row r="1859" spans="1:17" x14ac:dyDescent="0.3">
      <c r="A1859" t="s">
        <v>17</v>
      </c>
      <c r="B1859" t="str">
        <f>"688179"</f>
        <v>688179</v>
      </c>
      <c r="C1859" t="s">
        <v>3760</v>
      </c>
      <c r="D1859" t="s">
        <v>133</v>
      </c>
      <c r="F1859">
        <v>-98378302</v>
      </c>
      <c r="G1859">
        <v>72289583</v>
      </c>
      <c r="H1859">
        <v>49953046</v>
      </c>
      <c r="I1859">
        <v>27651957</v>
      </c>
      <c r="J1859">
        <v>23597543</v>
      </c>
      <c r="K1859">
        <v>-17894988</v>
      </c>
      <c r="P1859">
        <v>156</v>
      </c>
      <c r="Q1859" t="s">
        <v>3761</v>
      </c>
    </row>
    <row r="1860" spans="1:17" x14ac:dyDescent="0.3">
      <c r="A1860" t="s">
        <v>17</v>
      </c>
      <c r="B1860" t="str">
        <f>"688180"</f>
        <v>688180</v>
      </c>
      <c r="C1860" t="s">
        <v>3762</v>
      </c>
      <c r="D1860" t="s">
        <v>113</v>
      </c>
      <c r="F1860">
        <v>-1506813014</v>
      </c>
      <c r="G1860">
        <v>-2036847053</v>
      </c>
      <c r="H1860">
        <v>-2041685561</v>
      </c>
      <c r="I1860">
        <v>-1074322748</v>
      </c>
      <c r="J1860">
        <v>-645226203</v>
      </c>
      <c r="K1860">
        <v>-384316445</v>
      </c>
      <c r="P1860">
        <v>206</v>
      </c>
      <c r="Q1860" t="s">
        <v>3763</v>
      </c>
    </row>
    <row r="1861" spans="1:17" x14ac:dyDescent="0.3">
      <c r="A1861" t="s">
        <v>17</v>
      </c>
      <c r="B1861" t="str">
        <f>"688181"</f>
        <v>688181</v>
      </c>
      <c r="C1861" t="s">
        <v>3764</v>
      </c>
      <c r="D1861" t="s">
        <v>150</v>
      </c>
      <c r="F1861">
        <v>-27437733</v>
      </c>
      <c r="G1861">
        <v>88628872</v>
      </c>
      <c r="H1861">
        <v>22364842</v>
      </c>
      <c r="I1861">
        <v>28558829</v>
      </c>
      <c r="J1861">
        <v>-73179490</v>
      </c>
      <c r="K1861">
        <v>-7425490</v>
      </c>
      <c r="P1861">
        <v>108</v>
      </c>
      <c r="Q1861" t="s">
        <v>3765</v>
      </c>
    </row>
    <row r="1862" spans="1:17" x14ac:dyDescent="0.3">
      <c r="A1862" t="s">
        <v>17</v>
      </c>
      <c r="B1862" t="str">
        <f>"688182"</f>
        <v>688182</v>
      </c>
      <c r="C1862" t="s">
        <v>3766</v>
      </c>
      <c r="D1862" t="s">
        <v>100</v>
      </c>
      <c r="F1862">
        <v>15896516</v>
      </c>
      <c r="G1862">
        <v>294701507</v>
      </c>
      <c r="H1862">
        <v>673661799</v>
      </c>
      <c r="I1862">
        <v>-25796458</v>
      </c>
      <c r="J1862">
        <v>22671707</v>
      </c>
      <c r="P1862">
        <v>17</v>
      </c>
      <c r="Q1862" t="s">
        <v>3767</v>
      </c>
    </row>
    <row r="1863" spans="1:17" x14ac:dyDescent="0.3">
      <c r="A1863" t="s">
        <v>17</v>
      </c>
      <c r="B1863" t="str">
        <f>"688183"</f>
        <v>688183</v>
      </c>
      <c r="C1863" t="s">
        <v>3768</v>
      </c>
      <c r="D1863" t="s">
        <v>150</v>
      </c>
      <c r="F1863">
        <v>-530195721</v>
      </c>
      <c r="G1863">
        <v>-186203527</v>
      </c>
      <c r="H1863">
        <v>-320887421</v>
      </c>
      <c r="I1863">
        <v>89074536</v>
      </c>
      <c r="J1863">
        <v>53143911</v>
      </c>
      <c r="P1863">
        <v>41</v>
      </c>
      <c r="Q1863" t="s">
        <v>3769</v>
      </c>
    </row>
    <row r="1864" spans="1:17" x14ac:dyDescent="0.3">
      <c r="A1864" t="s">
        <v>17</v>
      </c>
      <c r="B1864" t="str">
        <f>"688185"</f>
        <v>688185</v>
      </c>
      <c r="C1864" t="s">
        <v>3770</v>
      </c>
      <c r="D1864" t="s">
        <v>113</v>
      </c>
      <c r="F1864">
        <v>846863000</v>
      </c>
      <c r="G1864">
        <v>-638226238</v>
      </c>
      <c r="H1864">
        <v>-271162769</v>
      </c>
      <c r="I1864">
        <v>-284083734</v>
      </c>
      <c r="J1864">
        <v>-218538294</v>
      </c>
      <c r="K1864">
        <v>-145593476</v>
      </c>
      <c r="P1864">
        <v>267</v>
      </c>
      <c r="Q1864" t="s">
        <v>3771</v>
      </c>
    </row>
    <row r="1865" spans="1:17" x14ac:dyDescent="0.3">
      <c r="A1865" t="s">
        <v>17</v>
      </c>
      <c r="B1865" t="str">
        <f>"688186"</f>
        <v>688186</v>
      </c>
      <c r="C1865" t="s">
        <v>3772</v>
      </c>
      <c r="D1865" t="s">
        <v>38</v>
      </c>
      <c r="F1865">
        <v>-1909326775</v>
      </c>
      <c r="G1865">
        <v>-932784141</v>
      </c>
      <c r="H1865">
        <v>-131891556</v>
      </c>
      <c r="I1865">
        <v>86112208</v>
      </c>
      <c r="J1865">
        <v>-3716987</v>
      </c>
      <c r="K1865">
        <v>-39286683</v>
      </c>
      <c r="P1865">
        <v>110</v>
      </c>
      <c r="Q1865" t="s">
        <v>3773</v>
      </c>
    </row>
    <row r="1866" spans="1:17" x14ac:dyDescent="0.3">
      <c r="A1866" t="s">
        <v>17</v>
      </c>
      <c r="B1866" t="str">
        <f>"688187"</f>
        <v>688187</v>
      </c>
      <c r="C1866" t="s">
        <v>3774</v>
      </c>
      <c r="D1866" t="s">
        <v>78</v>
      </c>
      <c r="F1866">
        <v>1178993172</v>
      </c>
      <c r="G1866">
        <v>-94323361</v>
      </c>
      <c r="H1866">
        <v>1267656320</v>
      </c>
      <c r="I1866">
        <v>3114299576</v>
      </c>
      <c r="J1866">
        <v>1036425144</v>
      </c>
      <c r="P1866">
        <v>59</v>
      </c>
      <c r="Q1866" t="s">
        <v>3775</v>
      </c>
    </row>
    <row r="1867" spans="1:17" x14ac:dyDescent="0.3">
      <c r="A1867" t="s">
        <v>17</v>
      </c>
      <c r="B1867" t="str">
        <f>"688188"</f>
        <v>688188</v>
      </c>
      <c r="C1867" t="s">
        <v>3776</v>
      </c>
      <c r="D1867" t="s">
        <v>212</v>
      </c>
      <c r="F1867">
        <v>335281492</v>
      </c>
      <c r="G1867">
        <v>317584118</v>
      </c>
      <c r="H1867">
        <v>126672509</v>
      </c>
      <c r="I1867">
        <v>135715602</v>
      </c>
      <c r="J1867">
        <v>116393302</v>
      </c>
      <c r="K1867">
        <v>74911588</v>
      </c>
      <c r="P1867">
        <v>364</v>
      </c>
      <c r="Q1867" t="s">
        <v>3777</v>
      </c>
    </row>
    <row r="1868" spans="1:17" x14ac:dyDescent="0.3">
      <c r="A1868" t="s">
        <v>17</v>
      </c>
      <c r="B1868" t="str">
        <f>"688189"</f>
        <v>688189</v>
      </c>
      <c r="C1868" t="s">
        <v>3778</v>
      </c>
      <c r="D1868" t="s">
        <v>113</v>
      </c>
      <c r="F1868">
        <v>-176699137</v>
      </c>
      <c r="G1868">
        <v>-318259266</v>
      </c>
      <c r="H1868">
        <v>19758746</v>
      </c>
      <c r="I1868">
        <v>43223702</v>
      </c>
      <c r="J1868">
        <v>24235857</v>
      </c>
      <c r="K1868">
        <v>36861075</v>
      </c>
      <c r="P1868">
        <v>97</v>
      </c>
      <c r="Q1868" t="s">
        <v>3779</v>
      </c>
    </row>
    <row r="1869" spans="1:17" x14ac:dyDescent="0.3">
      <c r="A1869" t="s">
        <v>17</v>
      </c>
      <c r="B1869" t="str">
        <f>"688190"</f>
        <v>688190</v>
      </c>
      <c r="C1869" t="s">
        <v>3780</v>
      </c>
      <c r="D1869" t="s">
        <v>234</v>
      </c>
      <c r="F1869">
        <v>38281647</v>
      </c>
      <c r="G1869">
        <v>62439865</v>
      </c>
      <c r="H1869">
        <v>-47838887</v>
      </c>
      <c r="I1869">
        <v>41432784</v>
      </c>
      <c r="P1869">
        <v>15</v>
      </c>
      <c r="Q1869" t="s">
        <v>3781</v>
      </c>
    </row>
    <row r="1870" spans="1:17" x14ac:dyDescent="0.3">
      <c r="A1870" t="s">
        <v>17</v>
      </c>
      <c r="B1870" t="str">
        <f>"688191"</f>
        <v>688191</v>
      </c>
      <c r="C1870" t="s">
        <v>3782</v>
      </c>
      <c r="D1870" t="s">
        <v>188</v>
      </c>
      <c r="F1870">
        <v>-166645569</v>
      </c>
      <c r="G1870">
        <v>36488781</v>
      </c>
      <c r="H1870">
        <v>32555502</v>
      </c>
      <c r="I1870">
        <v>-2324907</v>
      </c>
      <c r="J1870">
        <v>20218857</v>
      </c>
      <c r="P1870">
        <v>56</v>
      </c>
      <c r="Q1870" t="s">
        <v>3783</v>
      </c>
    </row>
    <row r="1871" spans="1:17" x14ac:dyDescent="0.3">
      <c r="A1871" t="s">
        <v>17</v>
      </c>
      <c r="B1871" t="str">
        <f>"688192"</f>
        <v>688192</v>
      </c>
      <c r="C1871" t="s">
        <v>3784</v>
      </c>
      <c r="D1871" t="s">
        <v>113</v>
      </c>
      <c r="F1871">
        <v>-501262336</v>
      </c>
      <c r="G1871">
        <v>-621745833</v>
      </c>
      <c r="H1871">
        <v>-379452464</v>
      </c>
      <c r="I1871">
        <v>-148636855</v>
      </c>
      <c r="P1871">
        <v>11</v>
      </c>
      <c r="Q1871" t="s">
        <v>3785</v>
      </c>
    </row>
    <row r="1872" spans="1:17" x14ac:dyDescent="0.3">
      <c r="A1872" t="s">
        <v>17</v>
      </c>
      <c r="B1872" t="str">
        <f>"688193"</f>
        <v>688193</v>
      </c>
      <c r="C1872" t="s">
        <v>3786</v>
      </c>
      <c r="F1872">
        <v>29911125</v>
      </c>
      <c r="G1872">
        <v>78017134</v>
      </c>
      <c r="H1872">
        <v>-40821488</v>
      </c>
      <c r="I1872">
        <v>-9473636</v>
      </c>
      <c r="P1872">
        <v>2</v>
      </c>
      <c r="Q1872" t="s">
        <v>3787</v>
      </c>
    </row>
    <row r="1873" spans="1:17" x14ac:dyDescent="0.3">
      <c r="A1873" t="s">
        <v>17</v>
      </c>
      <c r="B1873" t="str">
        <f>"688195"</f>
        <v>688195</v>
      </c>
      <c r="C1873" t="s">
        <v>3788</v>
      </c>
      <c r="D1873" t="s">
        <v>150</v>
      </c>
      <c r="F1873">
        <v>-30139201</v>
      </c>
      <c r="G1873">
        <v>-118693991</v>
      </c>
      <c r="H1873">
        <v>-23671803</v>
      </c>
      <c r="I1873">
        <v>-34629271</v>
      </c>
      <c r="J1873">
        <v>-9309542</v>
      </c>
      <c r="P1873">
        <v>42</v>
      </c>
      <c r="Q1873" t="s">
        <v>3789</v>
      </c>
    </row>
    <row r="1874" spans="1:17" x14ac:dyDescent="0.3">
      <c r="A1874" t="s">
        <v>17</v>
      </c>
      <c r="B1874" t="str">
        <f>"688196"</f>
        <v>688196</v>
      </c>
      <c r="C1874" t="s">
        <v>3790</v>
      </c>
      <c r="D1874" t="s">
        <v>133</v>
      </c>
      <c r="F1874">
        <v>-172453350</v>
      </c>
      <c r="G1874">
        <v>62418364</v>
      </c>
      <c r="H1874">
        <v>88527899</v>
      </c>
      <c r="I1874">
        <v>179452114</v>
      </c>
      <c r="J1874">
        <v>-82976914</v>
      </c>
      <c r="K1874">
        <v>-16647124</v>
      </c>
      <c r="P1874">
        <v>188</v>
      </c>
      <c r="Q1874" t="s">
        <v>3791</v>
      </c>
    </row>
    <row r="1875" spans="1:17" x14ac:dyDescent="0.3">
      <c r="A1875" t="s">
        <v>17</v>
      </c>
      <c r="B1875" t="str">
        <f>"688197"</f>
        <v>688197</v>
      </c>
      <c r="C1875" t="s">
        <v>3792</v>
      </c>
      <c r="F1875">
        <v>-111383835</v>
      </c>
      <c r="G1875">
        <v>-96533034</v>
      </c>
      <c r="H1875">
        <v>-85801021</v>
      </c>
      <c r="I1875">
        <v>17973513</v>
      </c>
      <c r="J1875">
        <v>-15069653</v>
      </c>
      <c r="P1875">
        <v>3</v>
      </c>
      <c r="Q1875" t="s">
        <v>3793</v>
      </c>
    </row>
    <row r="1876" spans="1:17" x14ac:dyDescent="0.3">
      <c r="A1876" t="s">
        <v>17</v>
      </c>
      <c r="B1876" t="str">
        <f>"688198"</f>
        <v>688198</v>
      </c>
      <c r="C1876" t="s">
        <v>3794</v>
      </c>
      <c r="D1876" t="s">
        <v>113</v>
      </c>
      <c r="F1876">
        <v>4291639</v>
      </c>
      <c r="G1876">
        <v>43081314</v>
      </c>
      <c r="H1876">
        <v>61904287</v>
      </c>
      <c r="I1876">
        <v>51734859</v>
      </c>
      <c r="J1876">
        <v>33286045</v>
      </c>
      <c r="K1876">
        <v>31526267</v>
      </c>
      <c r="P1876">
        <v>190</v>
      </c>
      <c r="Q1876" t="s">
        <v>3795</v>
      </c>
    </row>
    <row r="1877" spans="1:17" x14ac:dyDescent="0.3">
      <c r="A1877" t="s">
        <v>17</v>
      </c>
      <c r="B1877" t="str">
        <f>"688199"</f>
        <v>688199</v>
      </c>
      <c r="C1877" t="s">
        <v>3796</v>
      </c>
      <c r="D1877" t="s">
        <v>133</v>
      </c>
      <c r="F1877">
        <v>-398837045</v>
      </c>
      <c r="G1877">
        <v>22542666</v>
      </c>
      <c r="H1877">
        <v>24736743</v>
      </c>
      <c r="I1877">
        <v>57587493</v>
      </c>
      <c r="J1877">
        <v>-22454017</v>
      </c>
      <c r="K1877">
        <v>-58541778</v>
      </c>
      <c r="P1877">
        <v>94</v>
      </c>
      <c r="Q1877" t="s">
        <v>3797</v>
      </c>
    </row>
    <row r="1878" spans="1:17" x14ac:dyDescent="0.3">
      <c r="A1878" t="s">
        <v>17</v>
      </c>
      <c r="B1878" t="str">
        <f>"688200"</f>
        <v>688200</v>
      </c>
      <c r="C1878" t="s">
        <v>3798</v>
      </c>
      <c r="D1878" t="s">
        <v>150</v>
      </c>
      <c r="F1878">
        <v>9338527</v>
      </c>
      <c r="G1878">
        <v>111742434</v>
      </c>
      <c r="H1878">
        <v>31720640</v>
      </c>
      <c r="I1878">
        <v>76877050</v>
      </c>
      <c r="J1878">
        <v>7099739</v>
      </c>
      <c r="K1878">
        <v>35380242</v>
      </c>
      <c r="P1878">
        <v>292</v>
      </c>
      <c r="Q1878" t="s">
        <v>3799</v>
      </c>
    </row>
    <row r="1879" spans="1:17" x14ac:dyDescent="0.3">
      <c r="A1879" t="s">
        <v>17</v>
      </c>
      <c r="B1879" t="str">
        <f>"688201"</f>
        <v>688201</v>
      </c>
      <c r="C1879" t="s">
        <v>3800</v>
      </c>
      <c r="D1879" t="s">
        <v>212</v>
      </c>
      <c r="F1879">
        <v>-347316273</v>
      </c>
      <c r="G1879">
        <v>97598780</v>
      </c>
      <c r="H1879">
        <v>60712528</v>
      </c>
      <c r="I1879">
        <v>27838672</v>
      </c>
      <c r="J1879">
        <v>-3594292</v>
      </c>
      <c r="P1879">
        <v>62</v>
      </c>
      <c r="Q1879" t="s">
        <v>3801</v>
      </c>
    </row>
    <row r="1880" spans="1:17" x14ac:dyDescent="0.3">
      <c r="A1880" t="s">
        <v>17</v>
      </c>
      <c r="B1880" t="str">
        <f>"688202"</f>
        <v>688202</v>
      </c>
      <c r="C1880" t="s">
        <v>3802</v>
      </c>
      <c r="D1880" t="s">
        <v>113</v>
      </c>
      <c r="F1880">
        <v>160383311</v>
      </c>
      <c r="G1880">
        <v>89087459</v>
      </c>
      <c r="H1880">
        <v>-39080494</v>
      </c>
      <c r="I1880">
        <v>6737443</v>
      </c>
      <c r="J1880">
        <v>15787860</v>
      </c>
      <c r="K1880">
        <v>-5163606</v>
      </c>
      <c r="P1880">
        <v>382</v>
      </c>
      <c r="Q1880" t="s">
        <v>3803</v>
      </c>
    </row>
    <row r="1881" spans="1:17" x14ac:dyDescent="0.3">
      <c r="A1881" t="s">
        <v>17</v>
      </c>
      <c r="B1881" t="str">
        <f>"688206"</f>
        <v>688206</v>
      </c>
      <c r="C1881" t="s">
        <v>3804</v>
      </c>
      <c r="D1881" t="s">
        <v>150</v>
      </c>
      <c r="F1881">
        <v>-84400797</v>
      </c>
      <c r="G1881">
        <v>32633619</v>
      </c>
      <c r="H1881">
        <v>28595367</v>
      </c>
      <c r="I1881">
        <v>-3240275</v>
      </c>
      <c r="P1881">
        <v>26</v>
      </c>
      <c r="Q1881" t="s">
        <v>3805</v>
      </c>
    </row>
    <row r="1882" spans="1:17" x14ac:dyDescent="0.3">
      <c r="A1882" t="s">
        <v>17</v>
      </c>
      <c r="B1882" t="str">
        <f>"688207"</f>
        <v>688207</v>
      </c>
      <c r="C1882" t="s">
        <v>3806</v>
      </c>
      <c r="F1882">
        <v>-94235961</v>
      </c>
      <c r="G1882">
        <v>32387481</v>
      </c>
      <c r="H1882">
        <v>-114030637</v>
      </c>
      <c r="I1882">
        <v>-121686426</v>
      </c>
      <c r="P1882">
        <v>7</v>
      </c>
      <c r="Q1882" t="s">
        <v>3807</v>
      </c>
    </row>
    <row r="1883" spans="1:17" x14ac:dyDescent="0.3">
      <c r="A1883" t="s">
        <v>17</v>
      </c>
      <c r="B1883" t="str">
        <f>"688208"</f>
        <v>688208</v>
      </c>
      <c r="C1883" t="s">
        <v>3808</v>
      </c>
      <c r="D1883" t="s">
        <v>212</v>
      </c>
      <c r="F1883">
        <v>-318082509</v>
      </c>
      <c r="G1883">
        <v>408462721</v>
      </c>
      <c r="H1883">
        <v>115576412</v>
      </c>
      <c r="I1883">
        <v>155054765</v>
      </c>
      <c r="J1883">
        <v>-74764667</v>
      </c>
      <c r="K1883">
        <v>-107326345</v>
      </c>
      <c r="P1883">
        <v>220</v>
      </c>
      <c r="Q1883" t="s">
        <v>3809</v>
      </c>
    </row>
    <row r="1884" spans="1:17" x14ac:dyDescent="0.3">
      <c r="A1884" t="s">
        <v>17</v>
      </c>
      <c r="B1884" t="str">
        <f>"688209"</f>
        <v>688209</v>
      </c>
      <c r="C1884" t="s">
        <v>3810</v>
      </c>
      <c r="F1884">
        <v>162397704</v>
      </c>
      <c r="G1884">
        <v>-28975281</v>
      </c>
      <c r="H1884">
        <v>-15218380</v>
      </c>
      <c r="I1884">
        <v>7518477</v>
      </c>
      <c r="P1884">
        <v>5</v>
      </c>
      <c r="Q1884" t="s">
        <v>3811</v>
      </c>
    </row>
    <row r="1885" spans="1:17" x14ac:dyDescent="0.3">
      <c r="A1885" t="s">
        <v>17</v>
      </c>
      <c r="B1885" t="str">
        <f>"688210"</f>
        <v>688210</v>
      </c>
      <c r="C1885" t="s">
        <v>3812</v>
      </c>
      <c r="D1885" t="s">
        <v>150</v>
      </c>
      <c r="F1885">
        <v>-26023017</v>
      </c>
      <c r="G1885">
        <v>-53631842</v>
      </c>
      <c r="H1885">
        <v>-35797422</v>
      </c>
      <c r="I1885">
        <v>-7795065</v>
      </c>
      <c r="J1885">
        <v>-16277754</v>
      </c>
      <c r="P1885">
        <v>9</v>
      </c>
      <c r="Q1885" t="s">
        <v>3813</v>
      </c>
    </row>
    <row r="1886" spans="1:17" x14ac:dyDescent="0.3">
      <c r="A1886" t="s">
        <v>17</v>
      </c>
      <c r="B1886" t="str">
        <f>"688211"</f>
        <v>688211</v>
      </c>
      <c r="C1886" t="s">
        <v>3814</v>
      </c>
      <c r="D1886" t="s">
        <v>78</v>
      </c>
      <c r="F1886">
        <v>-613540754</v>
      </c>
      <c r="G1886">
        <v>-140317428</v>
      </c>
      <c r="H1886">
        <v>94502394</v>
      </c>
      <c r="I1886">
        <v>15022951</v>
      </c>
      <c r="J1886">
        <v>-11999001</v>
      </c>
      <c r="P1886">
        <v>27</v>
      </c>
      <c r="Q1886" t="s">
        <v>3815</v>
      </c>
    </row>
    <row r="1887" spans="1:17" x14ac:dyDescent="0.3">
      <c r="A1887" t="s">
        <v>17</v>
      </c>
      <c r="B1887" t="str">
        <f>"688212"</f>
        <v>688212</v>
      </c>
      <c r="C1887" t="s">
        <v>3816</v>
      </c>
      <c r="D1887" t="s">
        <v>113</v>
      </c>
      <c r="F1887">
        <v>-23933824</v>
      </c>
      <c r="G1887">
        <v>14662032</v>
      </c>
      <c r="H1887">
        <v>-16996041</v>
      </c>
      <c r="I1887">
        <v>-80022829</v>
      </c>
      <c r="J1887">
        <v>-44920500</v>
      </c>
      <c r="P1887">
        <v>32</v>
      </c>
      <c r="Q1887" t="s">
        <v>3817</v>
      </c>
    </row>
    <row r="1888" spans="1:17" x14ac:dyDescent="0.3">
      <c r="A1888" t="s">
        <v>17</v>
      </c>
      <c r="B1888" t="str">
        <f>"688213"</f>
        <v>688213</v>
      </c>
      <c r="C1888" t="s">
        <v>3818</v>
      </c>
      <c r="F1888">
        <v>-2091011251</v>
      </c>
      <c r="G1888">
        <v>-63825978</v>
      </c>
      <c r="H1888">
        <v>101919805</v>
      </c>
      <c r="I1888">
        <v>-15270405</v>
      </c>
      <c r="Q1888" t="s">
        <v>3819</v>
      </c>
    </row>
    <row r="1889" spans="1:17" x14ac:dyDescent="0.3">
      <c r="A1889" t="s">
        <v>17</v>
      </c>
      <c r="B1889" t="str">
        <f>"688215"</f>
        <v>688215</v>
      </c>
      <c r="C1889" t="s">
        <v>3820</v>
      </c>
      <c r="D1889" t="s">
        <v>78</v>
      </c>
      <c r="F1889">
        <v>-99361032</v>
      </c>
      <c r="G1889">
        <v>-32137112</v>
      </c>
      <c r="H1889">
        <v>2806720</v>
      </c>
      <c r="I1889">
        <v>14375666</v>
      </c>
      <c r="J1889">
        <v>-4582177</v>
      </c>
      <c r="K1889">
        <v>-8552824</v>
      </c>
      <c r="P1889">
        <v>62</v>
      </c>
      <c r="Q1889" t="s">
        <v>3821</v>
      </c>
    </row>
    <row r="1890" spans="1:17" x14ac:dyDescent="0.3">
      <c r="A1890" t="s">
        <v>17</v>
      </c>
      <c r="B1890" t="str">
        <f>"688216"</f>
        <v>688216</v>
      </c>
      <c r="C1890" t="s">
        <v>3822</v>
      </c>
      <c r="D1890" t="s">
        <v>150</v>
      </c>
      <c r="F1890">
        <v>-29502452</v>
      </c>
      <c r="G1890">
        <v>-6253941</v>
      </c>
      <c r="H1890">
        <v>-180552</v>
      </c>
      <c r="I1890">
        <v>-17121343</v>
      </c>
      <c r="J1890">
        <v>-2082819</v>
      </c>
      <c r="P1890">
        <v>26</v>
      </c>
      <c r="Q1890" t="s">
        <v>3823</v>
      </c>
    </row>
    <row r="1891" spans="1:17" x14ac:dyDescent="0.3">
      <c r="A1891" t="s">
        <v>17</v>
      </c>
      <c r="B1891" t="str">
        <f>"688217"</f>
        <v>688217</v>
      </c>
      <c r="C1891" t="s">
        <v>3824</v>
      </c>
      <c r="D1891" t="s">
        <v>113</v>
      </c>
      <c r="F1891">
        <v>-16239399</v>
      </c>
      <c r="G1891">
        <v>19658397</v>
      </c>
      <c r="H1891">
        <v>-42106296</v>
      </c>
      <c r="I1891">
        <v>-44772321</v>
      </c>
      <c r="J1891">
        <v>-53509489</v>
      </c>
      <c r="P1891">
        <v>31</v>
      </c>
      <c r="Q1891" t="s">
        <v>3825</v>
      </c>
    </row>
    <row r="1892" spans="1:17" x14ac:dyDescent="0.3">
      <c r="A1892" t="s">
        <v>17</v>
      </c>
      <c r="B1892" t="str">
        <f>"688218"</f>
        <v>688218</v>
      </c>
      <c r="C1892" t="s">
        <v>3826</v>
      </c>
      <c r="D1892" t="s">
        <v>78</v>
      </c>
      <c r="F1892">
        <v>-26431879</v>
      </c>
      <c r="G1892">
        <v>-12219197</v>
      </c>
      <c r="H1892">
        <v>-43626918</v>
      </c>
      <c r="I1892">
        <v>-29825454</v>
      </c>
      <c r="J1892">
        <v>-125030785</v>
      </c>
      <c r="K1892">
        <v>-7432717</v>
      </c>
      <c r="P1892">
        <v>47</v>
      </c>
      <c r="Q1892" t="s">
        <v>3827</v>
      </c>
    </row>
    <row r="1893" spans="1:17" x14ac:dyDescent="0.3">
      <c r="A1893" t="s">
        <v>17</v>
      </c>
      <c r="B1893" t="str">
        <f>"688219"</f>
        <v>688219</v>
      </c>
      <c r="C1893" t="s">
        <v>3828</v>
      </c>
      <c r="D1893" t="s">
        <v>133</v>
      </c>
      <c r="F1893">
        <v>-146448023</v>
      </c>
      <c r="G1893">
        <v>-174808304</v>
      </c>
      <c r="H1893">
        <v>191987152</v>
      </c>
      <c r="I1893">
        <v>-174934762</v>
      </c>
      <c r="J1893">
        <v>-295534177</v>
      </c>
      <c r="P1893">
        <v>50</v>
      </c>
      <c r="Q1893" t="s">
        <v>3829</v>
      </c>
    </row>
    <row r="1894" spans="1:17" x14ac:dyDescent="0.3">
      <c r="A1894" t="s">
        <v>17</v>
      </c>
      <c r="B1894" t="str">
        <f>"688220"</f>
        <v>688220</v>
      </c>
      <c r="C1894" t="s">
        <v>3830</v>
      </c>
      <c r="D1894" t="s">
        <v>150</v>
      </c>
      <c r="F1894">
        <v>-862923533</v>
      </c>
      <c r="G1894">
        <v>-655698955</v>
      </c>
      <c r="H1894">
        <v>-612461990</v>
      </c>
      <c r="I1894">
        <v>-530099688</v>
      </c>
      <c r="J1894">
        <v>-844799245</v>
      </c>
      <c r="P1894">
        <v>19</v>
      </c>
      <c r="Q1894" t="s">
        <v>3831</v>
      </c>
    </row>
    <row r="1895" spans="1:17" x14ac:dyDescent="0.3">
      <c r="A1895" t="s">
        <v>17</v>
      </c>
      <c r="B1895" t="str">
        <f>"688221"</f>
        <v>688221</v>
      </c>
      <c r="C1895" t="s">
        <v>3832</v>
      </c>
      <c r="D1895" t="s">
        <v>113</v>
      </c>
      <c r="F1895">
        <v>-570058451</v>
      </c>
      <c r="G1895">
        <v>-356586504</v>
      </c>
      <c r="H1895">
        <v>-126198715</v>
      </c>
      <c r="I1895">
        <v>-116538888</v>
      </c>
      <c r="J1895">
        <v>-106722442</v>
      </c>
      <c r="K1895">
        <v>-27598292</v>
      </c>
      <c r="P1895">
        <v>51</v>
      </c>
      <c r="Q1895" t="s">
        <v>3833</v>
      </c>
    </row>
    <row r="1896" spans="1:17" x14ac:dyDescent="0.3">
      <c r="A1896" t="s">
        <v>17</v>
      </c>
      <c r="B1896" t="str">
        <f>"688222"</f>
        <v>688222</v>
      </c>
      <c r="C1896" t="s">
        <v>3834</v>
      </c>
      <c r="D1896" t="s">
        <v>113</v>
      </c>
      <c r="F1896">
        <v>-96327975</v>
      </c>
      <c r="G1896">
        <v>-81132319</v>
      </c>
      <c r="H1896">
        <v>106910643</v>
      </c>
      <c r="I1896">
        <v>-21989614</v>
      </c>
      <c r="J1896">
        <v>-14176849</v>
      </c>
      <c r="K1896">
        <v>-15503395</v>
      </c>
      <c r="P1896">
        <v>128</v>
      </c>
      <c r="Q1896" t="s">
        <v>3835</v>
      </c>
    </row>
    <row r="1897" spans="1:17" x14ac:dyDescent="0.3">
      <c r="A1897" t="s">
        <v>17</v>
      </c>
      <c r="B1897" t="str">
        <f>"688223"</f>
        <v>688223</v>
      </c>
      <c r="C1897" t="s">
        <v>3836</v>
      </c>
      <c r="D1897" t="s">
        <v>150</v>
      </c>
      <c r="F1897">
        <v>-5915851574</v>
      </c>
      <c r="G1897">
        <v>-1372137443</v>
      </c>
      <c r="H1897">
        <v>-1455653444</v>
      </c>
      <c r="I1897">
        <v>-480508549</v>
      </c>
      <c r="P1897">
        <v>29</v>
      </c>
      <c r="Q1897" t="s">
        <v>3837</v>
      </c>
    </row>
    <row r="1898" spans="1:17" x14ac:dyDescent="0.3">
      <c r="A1898" t="s">
        <v>17</v>
      </c>
      <c r="B1898" t="str">
        <f>"688225"</f>
        <v>688225</v>
      </c>
      <c r="C1898" t="s">
        <v>3838</v>
      </c>
      <c r="F1898">
        <v>91481967</v>
      </c>
      <c r="G1898">
        <v>181644506</v>
      </c>
      <c r="H1898">
        <v>112651499</v>
      </c>
      <c r="I1898">
        <v>165069983</v>
      </c>
      <c r="J1898">
        <v>149822836</v>
      </c>
      <c r="P1898">
        <v>10</v>
      </c>
      <c r="Q1898" t="s">
        <v>3839</v>
      </c>
    </row>
    <row r="1899" spans="1:17" x14ac:dyDescent="0.3">
      <c r="A1899" t="s">
        <v>17</v>
      </c>
      <c r="B1899" t="str">
        <f>"688226"</f>
        <v>688226</v>
      </c>
      <c r="C1899" t="s">
        <v>3840</v>
      </c>
      <c r="D1899" t="s">
        <v>188</v>
      </c>
      <c r="F1899">
        <v>-7369956</v>
      </c>
      <c r="G1899">
        <v>-57131396</v>
      </c>
      <c r="H1899">
        <v>63520612</v>
      </c>
      <c r="I1899">
        <v>-79164343</v>
      </c>
      <c r="J1899">
        <v>26314573</v>
      </c>
      <c r="P1899">
        <v>19</v>
      </c>
      <c r="Q1899" t="s">
        <v>3841</v>
      </c>
    </row>
    <row r="1900" spans="1:17" x14ac:dyDescent="0.3">
      <c r="A1900" t="s">
        <v>17</v>
      </c>
      <c r="B1900" t="str">
        <f>"688227"</f>
        <v>688227</v>
      </c>
      <c r="C1900" t="s">
        <v>3842</v>
      </c>
      <c r="D1900" t="s">
        <v>212</v>
      </c>
      <c r="F1900">
        <v>34986834</v>
      </c>
      <c r="G1900">
        <v>6044855</v>
      </c>
      <c r="H1900">
        <v>-169136156</v>
      </c>
      <c r="I1900">
        <v>-51997715</v>
      </c>
      <c r="J1900">
        <v>-15336860</v>
      </c>
      <c r="P1900">
        <v>13</v>
      </c>
      <c r="Q1900" t="s">
        <v>3843</v>
      </c>
    </row>
    <row r="1901" spans="1:17" x14ac:dyDescent="0.3">
      <c r="A1901" t="s">
        <v>17</v>
      </c>
      <c r="B1901" t="str">
        <f>"688228"</f>
        <v>688228</v>
      </c>
      <c r="C1901" t="s">
        <v>3844</v>
      </c>
      <c r="D1901" t="s">
        <v>212</v>
      </c>
      <c r="F1901">
        <v>-16537454</v>
      </c>
      <c r="G1901">
        <v>-59807104</v>
      </c>
      <c r="H1901">
        <v>47206937</v>
      </c>
      <c r="I1901">
        <v>15106846</v>
      </c>
      <c r="J1901">
        <v>42649409</v>
      </c>
      <c r="K1901">
        <v>26398563</v>
      </c>
      <c r="P1901">
        <v>94</v>
      </c>
      <c r="Q1901" t="s">
        <v>3845</v>
      </c>
    </row>
    <row r="1902" spans="1:17" x14ac:dyDescent="0.3">
      <c r="A1902" t="s">
        <v>17</v>
      </c>
      <c r="B1902" t="str">
        <f>"688229"</f>
        <v>688229</v>
      </c>
      <c r="C1902" t="s">
        <v>3846</v>
      </c>
      <c r="D1902" t="s">
        <v>212</v>
      </c>
      <c r="F1902">
        <v>-89261355</v>
      </c>
      <c r="G1902">
        <v>19134715</v>
      </c>
      <c r="H1902">
        <v>46417186</v>
      </c>
      <c r="I1902">
        <v>43409297</v>
      </c>
      <c r="J1902">
        <v>43114207</v>
      </c>
      <c r="K1902">
        <v>9596436</v>
      </c>
      <c r="P1902">
        <v>63</v>
      </c>
      <c r="Q1902" t="s">
        <v>3847</v>
      </c>
    </row>
    <row r="1903" spans="1:17" x14ac:dyDescent="0.3">
      <c r="A1903" t="s">
        <v>17</v>
      </c>
      <c r="B1903" t="str">
        <f>"688230"</f>
        <v>688230</v>
      </c>
      <c r="C1903" t="s">
        <v>3848</v>
      </c>
      <c r="D1903" t="s">
        <v>150</v>
      </c>
      <c r="F1903">
        <v>79239839</v>
      </c>
      <c r="G1903">
        <v>55268518</v>
      </c>
      <c r="H1903">
        <v>43601863</v>
      </c>
      <c r="I1903">
        <v>3646267</v>
      </c>
      <c r="P1903">
        <v>24</v>
      </c>
      <c r="Q1903" t="s">
        <v>3849</v>
      </c>
    </row>
    <row r="1904" spans="1:17" x14ac:dyDescent="0.3">
      <c r="A1904" t="s">
        <v>17</v>
      </c>
      <c r="B1904" t="str">
        <f>"688232"</f>
        <v>688232</v>
      </c>
      <c r="C1904" t="s">
        <v>3850</v>
      </c>
      <c r="D1904" t="s">
        <v>212</v>
      </c>
      <c r="F1904">
        <v>116439290</v>
      </c>
      <c r="G1904">
        <v>304515196</v>
      </c>
      <c r="H1904">
        <v>80985821</v>
      </c>
      <c r="I1904">
        <v>129630410</v>
      </c>
      <c r="J1904">
        <v>184506116</v>
      </c>
      <c r="P1904">
        <v>26</v>
      </c>
      <c r="Q1904" t="s">
        <v>3851</v>
      </c>
    </row>
    <row r="1905" spans="1:17" x14ac:dyDescent="0.3">
      <c r="A1905" t="s">
        <v>17</v>
      </c>
      <c r="B1905" t="str">
        <f>"688233"</f>
        <v>688233</v>
      </c>
      <c r="C1905" t="s">
        <v>3852</v>
      </c>
      <c r="D1905" t="s">
        <v>150</v>
      </c>
      <c r="F1905">
        <v>-89676946</v>
      </c>
      <c r="G1905">
        <v>-8581272</v>
      </c>
      <c r="H1905">
        <v>77151353</v>
      </c>
      <c r="I1905">
        <v>-13264775</v>
      </c>
      <c r="J1905">
        <v>-1589890</v>
      </c>
      <c r="K1905">
        <v>-5099406</v>
      </c>
      <c r="P1905">
        <v>170</v>
      </c>
      <c r="Q1905" t="s">
        <v>3853</v>
      </c>
    </row>
    <row r="1906" spans="1:17" x14ac:dyDescent="0.3">
      <c r="A1906" t="s">
        <v>17</v>
      </c>
      <c r="B1906" t="str">
        <f>"688234"</f>
        <v>688234</v>
      </c>
      <c r="C1906" t="s">
        <v>3854</v>
      </c>
      <c r="D1906" t="s">
        <v>150</v>
      </c>
      <c r="F1906">
        <v>-225488445</v>
      </c>
      <c r="G1906">
        <v>-496056283</v>
      </c>
      <c r="H1906">
        <v>120251247</v>
      </c>
      <c r="I1906">
        <v>81752913</v>
      </c>
      <c r="P1906">
        <v>32</v>
      </c>
      <c r="Q1906" t="s">
        <v>3855</v>
      </c>
    </row>
    <row r="1907" spans="1:17" x14ac:dyDescent="0.3">
      <c r="A1907" t="s">
        <v>17</v>
      </c>
      <c r="B1907" t="str">
        <f>"688235"</f>
        <v>688235</v>
      </c>
      <c r="C1907" t="s">
        <v>3856</v>
      </c>
      <c r="D1907" t="s">
        <v>113</v>
      </c>
      <c r="F1907">
        <v>-10541063000</v>
      </c>
      <c r="G1907">
        <v>-6171610000</v>
      </c>
      <c r="H1907">
        <v>-6164337000</v>
      </c>
      <c r="I1907">
        <v>-4921626000</v>
      </c>
      <c r="J1907">
        <v>-338364000</v>
      </c>
      <c r="P1907">
        <v>58</v>
      </c>
      <c r="Q1907" t="s">
        <v>3857</v>
      </c>
    </row>
    <row r="1908" spans="1:17" x14ac:dyDescent="0.3">
      <c r="A1908" t="s">
        <v>17</v>
      </c>
      <c r="B1908" t="str">
        <f>"688236"</f>
        <v>688236</v>
      </c>
      <c r="C1908" t="s">
        <v>3858</v>
      </c>
      <c r="D1908" t="s">
        <v>113</v>
      </c>
      <c r="F1908">
        <v>-34579229</v>
      </c>
      <c r="G1908">
        <v>236763930</v>
      </c>
      <c r="H1908">
        <v>99439497</v>
      </c>
      <c r="I1908">
        <v>56387932</v>
      </c>
      <c r="J1908">
        <v>80850523</v>
      </c>
      <c r="P1908">
        <v>20</v>
      </c>
      <c r="Q1908" t="s">
        <v>3859</v>
      </c>
    </row>
    <row r="1909" spans="1:17" x14ac:dyDescent="0.3">
      <c r="A1909" t="s">
        <v>17</v>
      </c>
      <c r="B1909" t="str">
        <f>"688238"</f>
        <v>688238</v>
      </c>
      <c r="C1909" t="s">
        <v>3860</v>
      </c>
      <c r="F1909">
        <v>-152773392</v>
      </c>
      <c r="G1909">
        <v>-33606432</v>
      </c>
      <c r="H1909">
        <v>-58995755</v>
      </c>
      <c r="I1909">
        <v>-57994410</v>
      </c>
      <c r="P1909">
        <v>7</v>
      </c>
      <c r="Q1909" t="s">
        <v>3861</v>
      </c>
    </row>
    <row r="1910" spans="1:17" x14ac:dyDescent="0.3">
      <c r="A1910" t="s">
        <v>17</v>
      </c>
      <c r="B1910" t="str">
        <f>"688239"</f>
        <v>688239</v>
      </c>
      <c r="C1910" t="s">
        <v>3862</v>
      </c>
      <c r="D1910" t="s">
        <v>92</v>
      </c>
      <c r="F1910">
        <v>-433162207</v>
      </c>
      <c r="G1910">
        <v>23484828</v>
      </c>
      <c r="H1910">
        <v>-146847162</v>
      </c>
      <c r="I1910">
        <v>-110809852</v>
      </c>
      <c r="J1910">
        <v>-72222977</v>
      </c>
      <c r="P1910">
        <v>57</v>
      </c>
      <c r="Q1910" t="s">
        <v>3863</v>
      </c>
    </row>
    <row r="1911" spans="1:17" x14ac:dyDescent="0.3">
      <c r="A1911" t="s">
        <v>17</v>
      </c>
      <c r="B1911" t="str">
        <f>"688246"</f>
        <v>688246</v>
      </c>
      <c r="C1911" t="s">
        <v>3864</v>
      </c>
      <c r="D1911" t="s">
        <v>212</v>
      </c>
      <c r="F1911">
        <v>-213937210</v>
      </c>
      <c r="G1911">
        <v>-72451318</v>
      </c>
      <c r="H1911">
        <v>-168794928</v>
      </c>
      <c r="I1911">
        <v>-129056964</v>
      </c>
      <c r="J1911">
        <v>-51853127</v>
      </c>
      <c r="P1911">
        <v>12</v>
      </c>
      <c r="Q1911" t="s">
        <v>3865</v>
      </c>
    </row>
    <row r="1912" spans="1:17" x14ac:dyDescent="0.3">
      <c r="A1912" t="s">
        <v>17</v>
      </c>
      <c r="B1912" t="str">
        <f>"688248"</f>
        <v>688248</v>
      </c>
      <c r="C1912" t="s">
        <v>3866</v>
      </c>
      <c r="D1912" t="s">
        <v>188</v>
      </c>
      <c r="F1912">
        <v>-42471371</v>
      </c>
      <c r="G1912">
        <v>98301373</v>
      </c>
      <c r="H1912">
        <v>160935334</v>
      </c>
      <c r="I1912">
        <v>59373865</v>
      </c>
      <c r="P1912">
        <v>14</v>
      </c>
      <c r="Q1912" t="s">
        <v>3867</v>
      </c>
    </row>
    <row r="1913" spans="1:17" x14ac:dyDescent="0.3">
      <c r="A1913" t="s">
        <v>17</v>
      </c>
      <c r="B1913" t="str">
        <f>"688255"</f>
        <v>688255</v>
      </c>
      <c r="C1913" t="s">
        <v>3868</v>
      </c>
      <c r="D1913" t="s">
        <v>78</v>
      </c>
      <c r="F1913">
        <v>-20062790</v>
      </c>
      <c r="G1913">
        <v>70893949</v>
      </c>
      <c r="H1913">
        <v>22804518</v>
      </c>
      <c r="I1913">
        <v>53077657</v>
      </c>
      <c r="J1913">
        <v>6639443</v>
      </c>
      <c r="P1913">
        <v>19</v>
      </c>
      <c r="Q1913" t="s">
        <v>3869</v>
      </c>
    </row>
    <row r="1914" spans="1:17" x14ac:dyDescent="0.3">
      <c r="A1914" t="s">
        <v>17</v>
      </c>
      <c r="B1914" t="str">
        <f>"688256"</f>
        <v>688256</v>
      </c>
      <c r="C1914" t="s">
        <v>3870</v>
      </c>
      <c r="D1914" t="s">
        <v>150</v>
      </c>
      <c r="F1914">
        <v>-1378139865</v>
      </c>
      <c r="G1914">
        <v>-391728148</v>
      </c>
      <c r="H1914">
        <v>-358010009</v>
      </c>
      <c r="I1914">
        <v>-130342370</v>
      </c>
      <c r="J1914">
        <v>-44169239</v>
      </c>
      <c r="P1914">
        <v>192</v>
      </c>
      <c r="Q1914" t="s">
        <v>3871</v>
      </c>
    </row>
    <row r="1915" spans="1:17" x14ac:dyDescent="0.3">
      <c r="A1915" t="s">
        <v>17</v>
      </c>
      <c r="B1915" t="str">
        <f>"688257"</f>
        <v>688257</v>
      </c>
      <c r="C1915" t="s">
        <v>3872</v>
      </c>
      <c r="D1915" t="s">
        <v>78</v>
      </c>
      <c r="F1915">
        <v>-18228795</v>
      </c>
      <c r="G1915">
        <v>63350452</v>
      </c>
      <c r="H1915">
        <v>36341827</v>
      </c>
      <c r="I1915">
        <v>12980323</v>
      </c>
      <c r="J1915">
        <v>-11574870</v>
      </c>
      <c r="P1915">
        <v>17</v>
      </c>
      <c r="Q1915" t="s">
        <v>3873</v>
      </c>
    </row>
    <row r="1916" spans="1:17" x14ac:dyDescent="0.3">
      <c r="A1916" t="s">
        <v>17</v>
      </c>
      <c r="B1916" t="str">
        <f>"688258"</f>
        <v>688258</v>
      </c>
      <c r="C1916" t="s">
        <v>3874</v>
      </c>
      <c r="D1916" t="s">
        <v>212</v>
      </c>
      <c r="F1916">
        <v>-140421328</v>
      </c>
      <c r="G1916">
        <v>1578703</v>
      </c>
      <c r="H1916">
        <v>45885899</v>
      </c>
      <c r="I1916">
        <v>15224021</v>
      </c>
      <c r="J1916">
        <v>36697545</v>
      </c>
      <c r="K1916">
        <v>24909480</v>
      </c>
      <c r="P1916">
        <v>2718</v>
      </c>
      <c r="Q1916" t="s">
        <v>3875</v>
      </c>
    </row>
    <row r="1917" spans="1:17" x14ac:dyDescent="0.3">
      <c r="A1917" t="s">
        <v>17</v>
      </c>
      <c r="B1917" t="str">
        <f>"688259"</f>
        <v>688259</v>
      </c>
      <c r="C1917" t="s">
        <v>3876</v>
      </c>
      <c r="D1917" t="s">
        <v>150</v>
      </c>
      <c r="F1917">
        <v>318505805</v>
      </c>
      <c r="G1917">
        <v>-13858723</v>
      </c>
      <c r="H1917">
        <v>23623950</v>
      </c>
      <c r="I1917">
        <v>15943849</v>
      </c>
      <c r="J1917">
        <v>-13599894</v>
      </c>
      <c r="P1917">
        <v>17</v>
      </c>
      <c r="Q1917" t="s">
        <v>3877</v>
      </c>
    </row>
    <row r="1918" spans="1:17" x14ac:dyDescent="0.3">
      <c r="A1918" t="s">
        <v>17</v>
      </c>
      <c r="B1918" t="str">
        <f>"688260"</f>
        <v>688260</v>
      </c>
      <c r="C1918" t="s">
        <v>3878</v>
      </c>
      <c r="D1918" t="s">
        <v>150</v>
      </c>
      <c r="F1918">
        <v>-194623668</v>
      </c>
      <c r="G1918">
        <v>7005537</v>
      </c>
      <c r="H1918">
        <v>-28100542</v>
      </c>
      <c r="I1918">
        <v>19483675</v>
      </c>
      <c r="J1918">
        <v>6978393</v>
      </c>
      <c r="P1918">
        <v>24</v>
      </c>
      <c r="Q1918" t="s">
        <v>3879</v>
      </c>
    </row>
    <row r="1919" spans="1:17" x14ac:dyDescent="0.3">
      <c r="A1919" t="s">
        <v>17</v>
      </c>
      <c r="B1919" t="str">
        <f>"688261"</f>
        <v>688261</v>
      </c>
      <c r="C1919" t="s">
        <v>3880</v>
      </c>
      <c r="F1919">
        <v>125147330</v>
      </c>
      <c r="G1919">
        <v>-42605113</v>
      </c>
      <c r="H1919">
        <v>37226310</v>
      </c>
      <c r="I1919">
        <v>-59532032</v>
      </c>
      <c r="P1919">
        <v>11</v>
      </c>
      <c r="Q1919" t="s">
        <v>3881</v>
      </c>
    </row>
    <row r="1920" spans="1:17" x14ac:dyDescent="0.3">
      <c r="A1920" t="s">
        <v>17</v>
      </c>
      <c r="B1920" t="str">
        <f>"688262"</f>
        <v>688262</v>
      </c>
      <c r="C1920" t="s">
        <v>3882</v>
      </c>
      <c r="D1920" t="s">
        <v>150</v>
      </c>
      <c r="F1920">
        <v>21264975</v>
      </c>
      <c r="G1920">
        <v>37032498</v>
      </c>
      <c r="H1920">
        <v>-9341137</v>
      </c>
      <c r="I1920">
        <v>-94570156</v>
      </c>
      <c r="J1920">
        <v>-86500795</v>
      </c>
      <c r="P1920">
        <v>19</v>
      </c>
      <c r="Q1920" t="s">
        <v>3883</v>
      </c>
    </row>
    <row r="1921" spans="1:17" x14ac:dyDescent="0.3">
      <c r="A1921" t="s">
        <v>17</v>
      </c>
      <c r="B1921" t="str">
        <f>"688265"</f>
        <v>688265</v>
      </c>
      <c r="C1921" t="s">
        <v>3884</v>
      </c>
      <c r="D1921" t="s">
        <v>113</v>
      </c>
      <c r="F1921">
        <v>59105958</v>
      </c>
      <c r="G1921">
        <v>-43843986</v>
      </c>
      <c r="H1921">
        <v>32607730</v>
      </c>
      <c r="I1921">
        <v>9251746</v>
      </c>
      <c r="J1921">
        <v>-28058659</v>
      </c>
      <c r="P1921">
        <v>17</v>
      </c>
      <c r="Q1921" t="s">
        <v>3885</v>
      </c>
    </row>
    <row r="1922" spans="1:17" x14ac:dyDescent="0.3">
      <c r="A1922" t="s">
        <v>17</v>
      </c>
      <c r="B1922" t="str">
        <f>"688266"</f>
        <v>688266</v>
      </c>
      <c r="C1922" t="s">
        <v>3886</v>
      </c>
      <c r="D1922" t="s">
        <v>113</v>
      </c>
      <c r="F1922">
        <v>-525361712</v>
      </c>
      <c r="G1922">
        <v>-401537544</v>
      </c>
      <c r="H1922">
        <v>-195533254</v>
      </c>
      <c r="I1922">
        <v>-123518843</v>
      </c>
      <c r="J1922">
        <v>-119908782</v>
      </c>
      <c r="K1922">
        <v>-81039939</v>
      </c>
      <c r="P1922">
        <v>102</v>
      </c>
      <c r="Q1922" t="s">
        <v>3887</v>
      </c>
    </row>
    <row r="1923" spans="1:17" x14ac:dyDescent="0.3">
      <c r="A1923" t="s">
        <v>17</v>
      </c>
      <c r="B1923" t="str">
        <f>"688267"</f>
        <v>688267</v>
      </c>
      <c r="C1923" t="s">
        <v>3888</v>
      </c>
      <c r="F1923">
        <v>12733958</v>
      </c>
      <c r="G1923">
        <v>-26375065</v>
      </c>
      <c r="H1923">
        <v>-171513005</v>
      </c>
      <c r="I1923">
        <v>-173264228</v>
      </c>
      <c r="P1923">
        <v>7</v>
      </c>
      <c r="Q1923" t="s">
        <v>3889</v>
      </c>
    </row>
    <row r="1924" spans="1:17" x14ac:dyDescent="0.3">
      <c r="A1924" t="s">
        <v>17</v>
      </c>
      <c r="B1924" t="str">
        <f>"688268"</f>
        <v>688268</v>
      </c>
      <c r="C1924" t="s">
        <v>3890</v>
      </c>
      <c r="D1924" t="s">
        <v>150</v>
      </c>
      <c r="F1924">
        <v>-191387516</v>
      </c>
      <c r="G1924">
        <v>20191760</v>
      </c>
      <c r="H1924">
        <v>33090308</v>
      </c>
      <c r="I1924">
        <v>9970588</v>
      </c>
      <c r="J1924">
        <v>47891092</v>
      </c>
      <c r="K1924">
        <v>9987649</v>
      </c>
      <c r="P1924">
        <v>184</v>
      </c>
      <c r="Q1924" t="s">
        <v>3891</v>
      </c>
    </row>
    <row r="1925" spans="1:17" x14ac:dyDescent="0.3">
      <c r="A1925" t="s">
        <v>17</v>
      </c>
      <c r="B1925" t="str">
        <f>"688269"</f>
        <v>688269</v>
      </c>
      <c r="C1925" t="s">
        <v>3892</v>
      </c>
      <c r="D1925" t="s">
        <v>234</v>
      </c>
      <c r="F1925">
        <v>-6148615</v>
      </c>
      <c r="G1925">
        <v>27964648</v>
      </c>
      <c r="H1925">
        <v>72025973</v>
      </c>
      <c r="I1925">
        <v>28729805</v>
      </c>
      <c r="J1925">
        <v>16918790</v>
      </c>
      <c r="P1925">
        <v>58</v>
      </c>
      <c r="Q1925" t="s">
        <v>3893</v>
      </c>
    </row>
    <row r="1926" spans="1:17" x14ac:dyDescent="0.3">
      <c r="A1926" t="s">
        <v>17</v>
      </c>
      <c r="B1926" t="str">
        <f>"688270"</f>
        <v>688270</v>
      </c>
      <c r="C1926" t="s">
        <v>3894</v>
      </c>
      <c r="F1926">
        <v>-4466697</v>
      </c>
      <c r="G1926">
        <v>3180893</v>
      </c>
      <c r="H1926">
        <v>-21016823</v>
      </c>
      <c r="I1926">
        <v>-22321406</v>
      </c>
      <c r="P1926">
        <v>12</v>
      </c>
      <c r="Q1926" t="s">
        <v>3895</v>
      </c>
    </row>
    <row r="1927" spans="1:17" x14ac:dyDescent="0.3">
      <c r="A1927" t="s">
        <v>17</v>
      </c>
      <c r="B1927" t="str">
        <f>"688272"</f>
        <v>688272</v>
      </c>
      <c r="C1927" t="s">
        <v>3896</v>
      </c>
      <c r="D1927" t="s">
        <v>92</v>
      </c>
      <c r="F1927">
        <v>-95815714</v>
      </c>
      <c r="G1927">
        <v>40714134</v>
      </c>
      <c r="H1927">
        <v>5717736</v>
      </c>
      <c r="I1927">
        <v>4109392</v>
      </c>
      <c r="J1927">
        <v>-11305601</v>
      </c>
      <c r="P1927">
        <v>11</v>
      </c>
      <c r="Q1927" t="s">
        <v>3897</v>
      </c>
    </row>
    <row r="1928" spans="1:17" x14ac:dyDescent="0.3">
      <c r="A1928" t="s">
        <v>17</v>
      </c>
      <c r="B1928" t="str">
        <f>"688276"</f>
        <v>688276</v>
      </c>
      <c r="C1928" t="s">
        <v>3898</v>
      </c>
      <c r="D1928" t="s">
        <v>113</v>
      </c>
      <c r="F1928">
        <v>-492563186</v>
      </c>
      <c r="G1928">
        <v>-126584027</v>
      </c>
      <c r="H1928">
        <v>104401898</v>
      </c>
      <c r="I1928">
        <v>115029591</v>
      </c>
      <c r="J1928">
        <v>85183040</v>
      </c>
      <c r="P1928">
        <v>46</v>
      </c>
      <c r="Q1928" t="s">
        <v>3899</v>
      </c>
    </row>
    <row r="1929" spans="1:17" x14ac:dyDescent="0.3">
      <c r="A1929" t="s">
        <v>17</v>
      </c>
      <c r="B1929" t="str">
        <f>"688277"</f>
        <v>688277</v>
      </c>
      <c r="C1929" t="s">
        <v>3900</v>
      </c>
      <c r="D1929" t="s">
        <v>113</v>
      </c>
      <c r="F1929">
        <v>-316415504</v>
      </c>
      <c r="G1929">
        <v>-189748113</v>
      </c>
      <c r="H1929">
        <v>361027</v>
      </c>
      <c r="I1929">
        <v>-14205377</v>
      </c>
      <c r="J1929">
        <v>-547714</v>
      </c>
      <c r="K1929">
        <v>-35616541</v>
      </c>
      <c r="P1929">
        <v>120</v>
      </c>
      <c r="Q1929" t="s">
        <v>3901</v>
      </c>
    </row>
    <row r="1930" spans="1:17" x14ac:dyDescent="0.3">
      <c r="A1930" t="s">
        <v>17</v>
      </c>
      <c r="B1930" t="str">
        <f>"688278"</f>
        <v>688278</v>
      </c>
      <c r="C1930" t="s">
        <v>3902</v>
      </c>
      <c r="D1930" t="s">
        <v>113</v>
      </c>
      <c r="F1930">
        <v>44194365</v>
      </c>
      <c r="G1930">
        <v>-26143928</v>
      </c>
      <c r="H1930">
        <v>78570239</v>
      </c>
      <c r="I1930">
        <v>74601485</v>
      </c>
      <c r="J1930">
        <v>-38296681</v>
      </c>
      <c r="K1930">
        <v>-44513747</v>
      </c>
      <c r="P1930">
        <v>156</v>
      </c>
      <c r="Q1930" t="s">
        <v>3903</v>
      </c>
    </row>
    <row r="1931" spans="1:17" x14ac:dyDescent="0.3">
      <c r="A1931" t="s">
        <v>17</v>
      </c>
      <c r="B1931" t="str">
        <f>"688279"</f>
        <v>688279</v>
      </c>
      <c r="C1931" t="s">
        <v>3904</v>
      </c>
      <c r="F1931">
        <v>128934495</v>
      </c>
      <c r="G1931">
        <v>85207688</v>
      </c>
      <c r="H1931">
        <v>15845664</v>
      </c>
      <c r="I1931">
        <v>16317267</v>
      </c>
      <c r="P1931">
        <v>6</v>
      </c>
      <c r="Q1931" t="s">
        <v>3905</v>
      </c>
    </row>
    <row r="1932" spans="1:17" x14ac:dyDescent="0.3">
      <c r="A1932" t="s">
        <v>17</v>
      </c>
      <c r="B1932" t="str">
        <f>"688280"</f>
        <v>688280</v>
      </c>
      <c r="C1932" t="s">
        <v>3906</v>
      </c>
      <c r="D1932" t="s">
        <v>27</v>
      </c>
      <c r="F1932">
        <v>-555219619</v>
      </c>
      <c r="G1932">
        <v>-288814756</v>
      </c>
      <c r="H1932">
        <v>-242275820</v>
      </c>
      <c r="I1932">
        <v>-88426476</v>
      </c>
      <c r="J1932">
        <v>-385177585</v>
      </c>
      <c r="P1932">
        <v>22</v>
      </c>
      <c r="Q1932" t="s">
        <v>3907</v>
      </c>
    </row>
    <row r="1933" spans="1:17" x14ac:dyDescent="0.3">
      <c r="A1933" t="s">
        <v>17</v>
      </c>
      <c r="B1933" t="str">
        <f>"688281"</f>
        <v>688281</v>
      </c>
      <c r="C1933" t="s">
        <v>3908</v>
      </c>
      <c r="F1933">
        <v>94434064</v>
      </c>
      <c r="G1933">
        <v>-58498241</v>
      </c>
      <c r="H1933">
        <v>-75358605</v>
      </c>
      <c r="I1933">
        <v>1701755</v>
      </c>
      <c r="P1933">
        <v>13</v>
      </c>
      <c r="Q1933" t="s">
        <v>3909</v>
      </c>
    </row>
    <row r="1934" spans="1:17" x14ac:dyDescent="0.3">
      <c r="A1934" t="s">
        <v>17</v>
      </c>
      <c r="B1934" t="str">
        <f>"688282"</f>
        <v>688282</v>
      </c>
      <c r="C1934" t="s">
        <v>3910</v>
      </c>
      <c r="F1934">
        <v>-75291020</v>
      </c>
      <c r="G1934">
        <v>-15277620</v>
      </c>
      <c r="H1934">
        <v>29749292</v>
      </c>
      <c r="I1934">
        <v>52456460</v>
      </c>
      <c r="J1934">
        <v>-3943464</v>
      </c>
      <c r="P1934">
        <v>3</v>
      </c>
      <c r="Q1934" t="s">
        <v>3911</v>
      </c>
    </row>
    <row r="1935" spans="1:17" x14ac:dyDescent="0.3">
      <c r="A1935" t="s">
        <v>17</v>
      </c>
      <c r="B1935" t="str">
        <f>"688283"</f>
        <v>688283</v>
      </c>
      <c r="C1935" t="s">
        <v>3912</v>
      </c>
      <c r="F1935">
        <v>12066616</v>
      </c>
      <c r="G1935">
        <v>21489504</v>
      </c>
      <c r="H1935">
        <v>9964893</v>
      </c>
      <c r="I1935">
        <v>-360968</v>
      </c>
      <c r="P1935">
        <v>17</v>
      </c>
      <c r="Q1935" t="s">
        <v>3913</v>
      </c>
    </row>
    <row r="1936" spans="1:17" x14ac:dyDescent="0.3">
      <c r="A1936" t="s">
        <v>17</v>
      </c>
      <c r="B1936" t="str">
        <f>"688285"</f>
        <v>688285</v>
      </c>
      <c r="C1936" t="s">
        <v>3914</v>
      </c>
      <c r="D1936" t="s">
        <v>78</v>
      </c>
      <c r="F1936">
        <v>2822277</v>
      </c>
      <c r="G1936">
        <v>33765455</v>
      </c>
      <c r="H1936">
        <v>56283991</v>
      </c>
      <c r="I1936">
        <v>171727910</v>
      </c>
      <c r="J1936">
        <v>-30292718</v>
      </c>
      <c r="P1936">
        <v>14</v>
      </c>
      <c r="Q1936" t="s">
        <v>3915</v>
      </c>
    </row>
    <row r="1937" spans="1:17" x14ac:dyDescent="0.3">
      <c r="A1937" t="s">
        <v>17</v>
      </c>
      <c r="B1937" t="str">
        <f>"688286"</f>
        <v>688286</v>
      </c>
      <c r="C1937" t="s">
        <v>3916</v>
      </c>
      <c r="D1937" t="s">
        <v>150</v>
      </c>
      <c r="F1937">
        <v>-114145280</v>
      </c>
      <c r="G1937">
        <v>-71543807</v>
      </c>
      <c r="H1937">
        <v>6792902</v>
      </c>
      <c r="I1937">
        <v>31179801</v>
      </c>
      <c r="J1937">
        <v>14476370</v>
      </c>
      <c r="K1937">
        <v>-10172439</v>
      </c>
      <c r="P1937">
        <v>91</v>
      </c>
      <c r="Q1937" t="s">
        <v>3917</v>
      </c>
    </row>
    <row r="1938" spans="1:17" x14ac:dyDescent="0.3">
      <c r="A1938" t="s">
        <v>17</v>
      </c>
      <c r="B1938" t="str">
        <f>"688288"</f>
        <v>688288</v>
      </c>
      <c r="C1938" t="s">
        <v>3918</v>
      </c>
      <c r="D1938" t="s">
        <v>212</v>
      </c>
      <c r="F1938">
        <v>-85716077</v>
      </c>
      <c r="G1938">
        <v>-36450344</v>
      </c>
      <c r="H1938">
        <v>544395</v>
      </c>
      <c r="I1938">
        <v>20165458</v>
      </c>
      <c r="J1938">
        <v>10390272</v>
      </c>
      <c r="K1938">
        <v>14796218</v>
      </c>
      <c r="P1938">
        <v>110</v>
      </c>
      <c r="Q1938" t="s">
        <v>3919</v>
      </c>
    </row>
    <row r="1939" spans="1:17" x14ac:dyDescent="0.3">
      <c r="A1939" t="s">
        <v>17</v>
      </c>
      <c r="B1939" t="str">
        <f>"688289"</f>
        <v>688289</v>
      </c>
      <c r="C1939" t="s">
        <v>3920</v>
      </c>
      <c r="D1939" t="s">
        <v>113</v>
      </c>
      <c r="F1939">
        <v>1520148209</v>
      </c>
      <c r="G1939">
        <v>2539985541</v>
      </c>
      <c r="H1939">
        <v>-11375850</v>
      </c>
      <c r="I1939">
        <v>-22262610</v>
      </c>
      <c r="J1939">
        <v>-81898334</v>
      </c>
      <c r="P1939">
        <v>209</v>
      </c>
      <c r="Q1939" t="s">
        <v>3921</v>
      </c>
    </row>
    <row r="1940" spans="1:17" x14ac:dyDescent="0.3">
      <c r="A1940" t="s">
        <v>17</v>
      </c>
      <c r="B1940" t="str">
        <f>"688290"</f>
        <v>688290</v>
      </c>
      <c r="C1940" t="s">
        <v>3922</v>
      </c>
      <c r="F1940">
        <v>74579377</v>
      </c>
      <c r="G1940">
        <v>47569238</v>
      </c>
      <c r="H1940">
        <v>8739894</v>
      </c>
      <c r="I1940">
        <v>6799085</v>
      </c>
      <c r="P1940">
        <v>0</v>
      </c>
      <c r="Q1940" t="s">
        <v>3923</v>
      </c>
    </row>
    <row r="1941" spans="1:17" x14ac:dyDescent="0.3">
      <c r="A1941" t="s">
        <v>17</v>
      </c>
      <c r="B1941" t="str">
        <f>"688295"</f>
        <v>688295</v>
      </c>
      <c r="C1941" t="s">
        <v>3924</v>
      </c>
      <c r="F1941">
        <v>-863137334</v>
      </c>
      <c r="G1941">
        <v>-683104757</v>
      </c>
      <c r="H1941">
        <v>-7397067</v>
      </c>
      <c r="I1941">
        <v>-34234137</v>
      </c>
      <c r="P1941">
        <v>15</v>
      </c>
      <c r="Q1941" t="s">
        <v>3925</v>
      </c>
    </row>
    <row r="1942" spans="1:17" x14ac:dyDescent="0.3">
      <c r="A1942" t="s">
        <v>17</v>
      </c>
      <c r="B1942" t="str">
        <f>"688296"</f>
        <v>688296</v>
      </c>
      <c r="C1942" t="s">
        <v>3926</v>
      </c>
      <c r="D1942" t="s">
        <v>212</v>
      </c>
      <c r="F1942">
        <v>-21521299</v>
      </c>
      <c r="G1942">
        <v>24729471</v>
      </c>
      <c r="H1942">
        <v>-9175897</v>
      </c>
      <c r="I1942">
        <v>-6532028</v>
      </c>
      <c r="J1942">
        <v>16508293</v>
      </c>
      <c r="P1942">
        <v>24</v>
      </c>
      <c r="Q1942" t="s">
        <v>3927</v>
      </c>
    </row>
    <row r="1943" spans="1:17" x14ac:dyDescent="0.3">
      <c r="A1943" t="s">
        <v>17</v>
      </c>
      <c r="B1943" t="str">
        <f>"688298"</f>
        <v>688298</v>
      </c>
      <c r="C1943" t="s">
        <v>3928</v>
      </c>
      <c r="D1943" t="s">
        <v>113</v>
      </c>
      <c r="F1943">
        <v>4697767894</v>
      </c>
      <c r="G1943">
        <v>1663462438</v>
      </c>
      <c r="H1943">
        <v>42480220</v>
      </c>
      <c r="I1943">
        <v>25572461</v>
      </c>
      <c r="J1943">
        <v>20544030</v>
      </c>
      <c r="K1943">
        <v>7156311</v>
      </c>
      <c r="P1943">
        <v>478</v>
      </c>
      <c r="Q1943" t="s">
        <v>3929</v>
      </c>
    </row>
    <row r="1944" spans="1:17" x14ac:dyDescent="0.3">
      <c r="A1944" t="s">
        <v>17</v>
      </c>
      <c r="B1944" t="str">
        <f>"688299"</f>
        <v>688299</v>
      </c>
      <c r="C1944" t="s">
        <v>3930</v>
      </c>
      <c r="D1944" t="s">
        <v>150</v>
      </c>
      <c r="F1944">
        <v>-16158997</v>
      </c>
      <c r="G1944">
        <v>52310941</v>
      </c>
      <c r="H1944">
        <v>101136097</v>
      </c>
      <c r="I1944">
        <v>99711763</v>
      </c>
      <c r="J1944">
        <v>-49043810</v>
      </c>
      <c r="K1944">
        <v>-85075587</v>
      </c>
      <c r="P1944">
        <v>239</v>
      </c>
      <c r="Q1944" t="s">
        <v>3931</v>
      </c>
    </row>
    <row r="1945" spans="1:17" x14ac:dyDescent="0.3">
      <c r="A1945" t="s">
        <v>17</v>
      </c>
      <c r="B1945" t="str">
        <f>"688300"</f>
        <v>688300</v>
      </c>
      <c r="C1945" t="s">
        <v>3932</v>
      </c>
      <c r="D1945" t="s">
        <v>133</v>
      </c>
      <c r="F1945">
        <v>-54396018</v>
      </c>
      <c r="G1945">
        <v>-34398744</v>
      </c>
      <c r="H1945">
        <v>20265930</v>
      </c>
      <c r="I1945">
        <v>30476589</v>
      </c>
      <c r="J1945">
        <v>-19762655</v>
      </c>
      <c r="K1945">
        <v>15457546</v>
      </c>
      <c r="P1945">
        <v>196</v>
      </c>
      <c r="Q1945" t="s">
        <v>3933</v>
      </c>
    </row>
    <row r="1946" spans="1:17" x14ac:dyDescent="0.3">
      <c r="A1946" t="s">
        <v>17</v>
      </c>
      <c r="B1946" t="str">
        <f>"688301"</f>
        <v>688301</v>
      </c>
      <c r="C1946" t="s">
        <v>3934</v>
      </c>
      <c r="D1946" t="s">
        <v>113</v>
      </c>
      <c r="F1946">
        <v>56356979</v>
      </c>
      <c r="G1946">
        <v>245459841</v>
      </c>
      <c r="H1946">
        <v>-9281366</v>
      </c>
      <c r="I1946">
        <v>-28367004</v>
      </c>
      <c r="J1946">
        <v>65598934</v>
      </c>
      <c r="P1946">
        <v>178</v>
      </c>
      <c r="Q1946" t="s">
        <v>3935</v>
      </c>
    </row>
    <row r="1947" spans="1:17" x14ac:dyDescent="0.3">
      <c r="A1947" t="s">
        <v>17</v>
      </c>
      <c r="B1947" t="str">
        <f>"688302"</f>
        <v>688302</v>
      </c>
      <c r="C1947" t="s">
        <v>3936</v>
      </c>
      <c r="F1947">
        <v>-247595433</v>
      </c>
      <c r="G1947">
        <v>-246163647</v>
      </c>
      <c r="H1947">
        <v>-82564344</v>
      </c>
      <c r="I1947">
        <v>-19495623</v>
      </c>
      <c r="P1947">
        <v>2</v>
      </c>
      <c r="Q1947" t="s">
        <v>3937</v>
      </c>
    </row>
    <row r="1948" spans="1:17" x14ac:dyDescent="0.3">
      <c r="A1948" t="s">
        <v>17</v>
      </c>
      <c r="B1948" t="str">
        <f>"688303"</f>
        <v>688303</v>
      </c>
      <c r="C1948" t="s">
        <v>3938</v>
      </c>
      <c r="D1948" t="s">
        <v>188</v>
      </c>
      <c r="F1948">
        <v>747174701</v>
      </c>
      <c r="G1948">
        <v>-25467632</v>
      </c>
      <c r="H1948">
        <v>-1684726299</v>
      </c>
      <c r="I1948">
        <v>-542463421</v>
      </c>
      <c r="J1948">
        <v>81878674</v>
      </c>
      <c r="P1948">
        <v>109</v>
      </c>
      <c r="Q1948" t="s">
        <v>3939</v>
      </c>
    </row>
    <row r="1949" spans="1:17" x14ac:dyDescent="0.3">
      <c r="A1949" t="s">
        <v>17</v>
      </c>
      <c r="B1949" t="str">
        <f>"688305"</f>
        <v>688305</v>
      </c>
      <c r="C1949" t="s">
        <v>3940</v>
      </c>
      <c r="D1949" t="s">
        <v>78</v>
      </c>
      <c r="F1949">
        <v>-133182082</v>
      </c>
      <c r="G1949">
        <v>39184592</v>
      </c>
      <c r="H1949">
        <v>-126475030</v>
      </c>
      <c r="I1949">
        <v>-63261270</v>
      </c>
      <c r="J1949">
        <v>-57826103</v>
      </c>
      <c r="P1949">
        <v>79</v>
      </c>
      <c r="Q1949" t="s">
        <v>3941</v>
      </c>
    </row>
    <row r="1950" spans="1:17" x14ac:dyDescent="0.3">
      <c r="A1950" t="s">
        <v>17</v>
      </c>
      <c r="B1950" t="str">
        <f>"688306"</f>
        <v>688306</v>
      </c>
      <c r="C1950" t="s">
        <v>3942</v>
      </c>
      <c r="F1950">
        <v>29273325</v>
      </c>
      <c r="G1950">
        <v>-152554009</v>
      </c>
      <c r="H1950">
        <v>-18672434</v>
      </c>
      <c r="I1950">
        <v>-295081751</v>
      </c>
      <c r="J1950">
        <v>-1894741</v>
      </c>
      <c r="P1950">
        <v>3</v>
      </c>
      <c r="Q1950" t="s">
        <v>3943</v>
      </c>
    </row>
    <row r="1951" spans="1:17" x14ac:dyDescent="0.3">
      <c r="A1951" t="s">
        <v>17</v>
      </c>
      <c r="B1951" t="str">
        <f>"688308"</f>
        <v>688308</v>
      </c>
      <c r="C1951" t="s">
        <v>3944</v>
      </c>
      <c r="D1951" t="s">
        <v>78</v>
      </c>
      <c r="F1951">
        <v>-185486830</v>
      </c>
      <c r="G1951">
        <v>48818772</v>
      </c>
      <c r="H1951">
        <v>66836226</v>
      </c>
      <c r="I1951">
        <v>-46643580</v>
      </c>
      <c r="J1951">
        <v>-43129673</v>
      </c>
      <c r="P1951">
        <v>92</v>
      </c>
      <c r="Q1951" t="s">
        <v>3945</v>
      </c>
    </row>
    <row r="1952" spans="1:17" x14ac:dyDescent="0.3">
      <c r="A1952" t="s">
        <v>17</v>
      </c>
      <c r="B1952" t="str">
        <f>"688309"</f>
        <v>688309</v>
      </c>
      <c r="C1952" t="s">
        <v>3946</v>
      </c>
      <c r="D1952" t="s">
        <v>33</v>
      </c>
      <c r="F1952">
        <v>-42352811</v>
      </c>
      <c r="G1952">
        <v>-69440338</v>
      </c>
      <c r="H1952">
        <v>-76980411</v>
      </c>
      <c r="I1952">
        <v>70238584</v>
      </c>
      <c r="J1952">
        <v>10795332</v>
      </c>
      <c r="K1952">
        <v>-19688385</v>
      </c>
      <c r="P1952">
        <v>30</v>
      </c>
      <c r="Q1952" t="s">
        <v>3947</v>
      </c>
    </row>
    <row r="1953" spans="1:17" x14ac:dyDescent="0.3">
      <c r="A1953" t="s">
        <v>17</v>
      </c>
      <c r="B1953" t="str">
        <f>"688310"</f>
        <v>688310</v>
      </c>
      <c r="C1953" t="s">
        <v>3948</v>
      </c>
      <c r="D1953" t="s">
        <v>78</v>
      </c>
      <c r="F1953">
        <v>-27753368</v>
      </c>
      <c r="G1953">
        <v>3941998</v>
      </c>
      <c r="H1953">
        <v>-17521360</v>
      </c>
      <c r="I1953">
        <v>25802616</v>
      </c>
      <c r="J1953">
        <v>69519123</v>
      </c>
      <c r="K1953">
        <v>37110352</v>
      </c>
      <c r="P1953">
        <v>93</v>
      </c>
      <c r="Q1953" t="s">
        <v>3949</v>
      </c>
    </row>
    <row r="1954" spans="1:17" x14ac:dyDescent="0.3">
      <c r="A1954" t="s">
        <v>17</v>
      </c>
      <c r="B1954" t="str">
        <f>"688311"</f>
        <v>688311</v>
      </c>
      <c r="C1954" t="s">
        <v>3950</v>
      </c>
      <c r="D1954" t="s">
        <v>92</v>
      </c>
      <c r="F1954">
        <v>-115845347</v>
      </c>
      <c r="G1954">
        <v>-62565644</v>
      </c>
      <c r="H1954">
        <v>-66953434</v>
      </c>
      <c r="I1954">
        <v>-17593456</v>
      </c>
      <c r="J1954">
        <v>-20867165</v>
      </c>
      <c r="K1954">
        <v>-101178591</v>
      </c>
      <c r="P1954">
        <v>74</v>
      </c>
      <c r="Q1954" t="s">
        <v>3951</v>
      </c>
    </row>
    <row r="1955" spans="1:17" x14ac:dyDescent="0.3">
      <c r="A1955" t="s">
        <v>17</v>
      </c>
      <c r="B1955" t="str">
        <f>"688312"</f>
        <v>688312</v>
      </c>
      <c r="C1955" t="s">
        <v>3952</v>
      </c>
      <c r="D1955" t="s">
        <v>78</v>
      </c>
      <c r="F1955">
        <v>116430874</v>
      </c>
      <c r="G1955">
        <v>4585784</v>
      </c>
      <c r="H1955">
        <v>131491289</v>
      </c>
      <c r="I1955">
        <v>45898392</v>
      </c>
      <c r="J1955">
        <v>-11510461</v>
      </c>
      <c r="K1955">
        <v>108504939</v>
      </c>
      <c r="P1955">
        <v>66</v>
      </c>
      <c r="Q1955" t="s">
        <v>3953</v>
      </c>
    </row>
    <row r="1956" spans="1:17" x14ac:dyDescent="0.3">
      <c r="A1956" t="s">
        <v>17</v>
      </c>
      <c r="B1956" t="str">
        <f>"688313"</f>
        <v>688313</v>
      </c>
      <c r="C1956" t="s">
        <v>3954</v>
      </c>
      <c r="D1956" t="s">
        <v>100</v>
      </c>
      <c r="F1956">
        <v>-70701794</v>
      </c>
      <c r="G1956">
        <v>-44566130</v>
      </c>
      <c r="H1956">
        <v>11550514</v>
      </c>
      <c r="I1956">
        <v>-23518768</v>
      </c>
      <c r="J1956">
        <v>-92534139</v>
      </c>
      <c r="P1956">
        <v>50</v>
      </c>
      <c r="Q1956" t="s">
        <v>3955</v>
      </c>
    </row>
    <row r="1957" spans="1:17" x14ac:dyDescent="0.3">
      <c r="A1957" t="s">
        <v>17</v>
      </c>
      <c r="B1957" t="str">
        <f>"688314"</f>
        <v>688314</v>
      </c>
      <c r="C1957" t="s">
        <v>3956</v>
      </c>
      <c r="D1957" t="s">
        <v>113</v>
      </c>
      <c r="F1957">
        <v>48067952</v>
      </c>
      <c r="G1957">
        <v>-15145047</v>
      </c>
      <c r="H1957">
        <v>48288330</v>
      </c>
      <c r="I1957">
        <v>18780605</v>
      </c>
      <c r="J1957">
        <v>10277818</v>
      </c>
      <c r="P1957">
        <v>53</v>
      </c>
      <c r="Q1957" t="s">
        <v>3957</v>
      </c>
    </row>
    <row r="1958" spans="1:17" x14ac:dyDescent="0.3">
      <c r="A1958" t="s">
        <v>17</v>
      </c>
      <c r="B1958" t="str">
        <f>"688315"</f>
        <v>688315</v>
      </c>
      <c r="C1958" t="s">
        <v>3958</v>
      </c>
      <c r="D1958" t="s">
        <v>113</v>
      </c>
      <c r="F1958">
        <v>184405728</v>
      </c>
      <c r="G1958">
        <v>250025363</v>
      </c>
      <c r="H1958">
        <v>-87104690</v>
      </c>
      <c r="I1958">
        <v>71539796</v>
      </c>
      <c r="J1958">
        <v>-441818260</v>
      </c>
      <c r="K1958">
        <v>-32374990</v>
      </c>
      <c r="P1958">
        <v>46</v>
      </c>
      <c r="Q1958" t="s">
        <v>3959</v>
      </c>
    </row>
    <row r="1959" spans="1:17" x14ac:dyDescent="0.3">
      <c r="A1959" t="s">
        <v>17</v>
      </c>
      <c r="B1959" t="str">
        <f>"688316"</f>
        <v>688316</v>
      </c>
      <c r="C1959" t="s">
        <v>3960</v>
      </c>
      <c r="D1959" t="s">
        <v>212</v>
      </c>
      <c r="F1959">
        <v>-305455868</v>
      </c>
      <c r="G1959">
        <v>-85108790</v>
      </c>
      <c r="H1959">
        <v>-149827922</v>
      </c>
      <c r="I1959">
        <v>-131113721</v>
      </c>
      <c r="J1959">
        <v>-83223968</v>
      </c>
      <c r="P1959">
        <v>31</v>
      </c>
      <c r="Q1959" t="s">
        <v>3961</v>
      </c>
    </row>
    <row r="1960" spans="1:17" x14ac:dyDescent="0.3">
      <c r="A1960" t="s">
        <v>17</v>
      </c>
      <c r="B1960" t="str">
        <f>"688317"</f>
        <v>688317</v>
      </c>
      <c r="C1960" t="s">
        <v>3962</v>
      </c>
      <c r="D1960" t="s">
        <v>113</v>
      </c>
      <c r="F1960">
        <v>143876425</v>
      </c>
      <c r="G1960">
        <v>1067279472</v>
      </c>
      <c r="H1960">
        <v>53103559</v>
      </c>
      <c r="I1960">
        <v>63147133</v>
      </c>
      <c r="J1960">
        <v>19355697</v>
      </c>
      <c r="P1960">
        <v>120</v>
      </c>
      <c r="Q1960" t="s">
        <v>3963</v>
      </c>
    </row>
    <row r="1961" spans="1:17" x14ac:dyDescent="0.3">
      <c r="A1961" t="s">
        <v>17</v>
      </c>
      <c r="B1961" t="str">
        <f>"688318"</f>
        <v>688318</v>
      </c>
      <c r="C1961" t="s">
        <v>3964</v>
      </c>
      <c r="D1961" t="s">
        <v>212</v>
      </c>
      <c r="F1961">
        <v>242971929</v>
      </c>
      <c r="G1961">
        <v>232515612</v>
      </c>
      <c r="H1961">
        <v>156260473</v>
      </c>
      <c r="I1961">
        <v>134882040</v>
      </c>
      <c r="J1961">
        <v>135548868</v>
      </c>
      <c r="K1961">
        <v>137159964</v>
      </c>
      <c r="P1961">
        <v>155</v>
      </c>
      <c r="Q1961" t="s">
        <v>3965</v>
      </c>
    </row>
    <row r="1962" spans="1:17" x14ac:dyDescent="0.3">
      <c r="A1962" t="s">
        <v>17</v>
      </c>
      <c r="B1962" t="str">
        <f>"688319"</f>
        <v>688319</v>
      </c>
      <c r="C1962" t="s">
        <v>3966</v>
      </c>
      <c r="D1962" t="s">
        <v>113</v>
      </c>
      <c r="F1962">
        <v>-29737372</v>
      </c>
      <c r="G1962">
        <v>-17755341</v>
      </c>
      <c r="H1962">
        <v>-70968287</v>
      </c>
      <c r="I1962">
        <v>-34807816</v>
      </c>
      <c r="J1962">
        <v>-37233420</v>
      </c>
      <c r="P1962">
        <v>46</v>
      </c>
      <c r="Q1962" t="s">
        <v>3967</v>
      </c>
    </row>
    <row r="1963" spans="1:17" x14ac:dyDescent="0.3">
      <c r="A1963" t="s">
        <v>17</v>
      </c>
      <c r="B1963" t="str">
        <f>"688320"</f>
        <v>688320</v>
      </c>
      <c r="C1963" t="s">
        <v>3968</v>
      </c>
      <c r="F1963">
        <v>-28143236</v>
      </c>
      <c r="G1963">
        <v>-25336343</v>
      </c>
      <c r="H1963">
        <v>-34510968</v>
      </c>
      <c r="I1963">
        <v>-18305266</v>
      </c>
      <c r="P1963">
        <v>1</v>
      </c>
      <c r="Q1963" t="s">
        <v>3969</v>
      </c>
    </row>
    <row r="1964" spans="1:17" x14ac:dyDescent="0.3">
      <c r="A1964" t="s">
        <v>17</v>
      </c>
      <c r="B1964" t="str">
        <f>"688321"</f>
        <v>688321</v>
      </c>
      <c r="C1964" t="s">
        <v>3970</v>
      </c>
      <c r="D1964" t="s">
        <v>113</v>
      </c>
      <c r="F1964">
        <v>-163666685</v>
      </c>
      <c r="G1964">
        <v>-242644051</v>
      </c>
      <c r="H1964">
        <v>-157551766</v>
      </c>
      <c r="I1964">
        <v>-117951912</v>
      </c>
      <c r="J1964">
        <v>-130020166</v>
      </c>
      <c r="K1964">
        <v>-6039791</v>
      </c>
      <c r="P1964">
        <v>157</v>
      </c>
      <c r="Q1964" t="s">
        <v>3971</v>
      </c>
    </row>
    <row r="1965" spans="1:17" x14ac:dyDescent="0.3">
      <c r="A1965" t="s">
        <v>17</v>
      </c>
      <c r="B1965" t="str">
        <f>"688323"</f>
        <v>688323</v>
      </c>
      <c r="C1965" t="s">
        <v>3972</v>
      </c>
      <c r="D1965" t="s">
        <v>133</v>
      </c>
      <c r="F1965">
        <v>-341532762</v>
      </c>
      <c r="G1965">
        <v>-126399420</v>
      </c>
      <c r="H1965">
        <v>-65640850</v>
      </c>
      <c r="I1965">
        <v>-110650349</v>
      </c>
      <c r="J1965">
        <v>-135925554</v>
      </c>
      <c r="P1965">
        <v>26</v>
      </c>
      <c r="Q1965" t="s">
        <v>3973</v>
      </c>
    </row>
    <row r="1966" spans="1:17" x14ac:dyDescent="0.3">
      <c r="A1966" t="s">
        <v>17</v>
      </c>
      <c r="B1966" t="str">
        <f>"688325"</f>
        <v>688325</v>
      </c>
      <c r="C1966" t="s">
        <v>3974</v>
      </c>
      <c r="F1966">
        <v>121862991</v>
      </c>
      <c r="G1966">
        <v>31454425</v>
      </c>
      <c r="H1966">
        <v>5625272</v>
      </c>
      <c r="I1966">
        <v>-754651</v>
      </c>
      <c r="P1966">
        <v>3</v>
      </c>
      <c r="Q1966" t="s">
        <v>3975</v>
      </c>
    </row>
    <row r="1967" spans="1:17" x14ac:dyDescent="0.3">
      <c r="A1967" t="s">
        <v>17</v>
      </c>
      <c r="B1967" t="str">
        <f>"688326"</f>
        <v>688326</v>
      </c>
      <c r="C1967" t="s">
        <v>3976</v>
      </c>
      <c r="F1967">
        <v>139736365</v>
      </c>
      <c r="G1967">
        <v>-20716706</v>
      </c>
      <c r="H1967">
        <v>-127077761</v>
      </c>
      <c r="I1967">
        <v>2923543</v>
      </c>
      <c r="P1967">
        <v>4</v>
      </c>
      <c r="Q1967" t="s">
        <v>3977</v>
      </c>
    </row>
    <row r="1968" spans="1:17" x14ac:dyDescent="0.3">
      <c r="A1968" t="s">
        <v>17</v>
      </c>
      <c r="B1968" t="str">
        <f>"688327"</f>
        <v>688327</v>
      </c>
      <c r="C1968" t="s">
        <v>3978</v>
      </c>
      <c r="F1968">
        <v>-591870048</v>
      </c>
      <c r="G1968">
        <v>-642756673</v>
      </c>
      <c r="H1968">
        <v>-778720543</v>
      </c>
      <c r="I1968">
        <v>-334892521</v>
      </c>
      <c r="J1968">
        <v>-80304629</v>
      </c>
      <c r="Q1968" t="s">
        <v>3979</v>
      </c>
    </row>
    <row r="1969" spans="1:17" x14ac:dyDescent="0.3">
      <c r="A1969" t="s">
        <v>17</v>
      </c>
      <c r="B1969" t="str">
        <f>"688328"</f>
        <v>688328</v>
      </c>
      <c r="C1969" t="s">
        <v>3980</v>
      </c>
      <c r="D1969" t="s">
        <v>78</v>
      </c>
      <c r="F1969">
        <v>-236969405</v>
      </c>
      <c r="G1969">
        <v>-57135656</v>
      </c>
      <c r="H1969">
        <v>-18290788</v>
      </c>
      <c r="I1969">
        <v>24082006</v>
      </c>
      <c r="J1969">
        <v>23677123</v>
      </c>
      <c r="P1969">
        <v>39</v>
      </c>
      <c r="Q1969" t="s">
        <v>3981</v>
      </c>
    </row>
    <row r="1970" spans="1:17" x14ac:dyDescent="0.3">
      <c r="A1970" t="s">
        <v>17</v>
      </c>
      <c r="B1970" t="str">
        <f>"688329"</f>
        <v>688329</v>
      </c>
      <c r="C1970" t="s">
        <v>3982</v>
      </c>
      <c r="D1970" t="s">
        <v>78</v>
      </c>
      <c r="F1970">
        <v>-45017087</v>
      </c>
      <c r="G1970">
        <v>54845412</v>
      </c>
      <c r="H1970">
        <v>9928823</v>
      </c>
      <c r="I1970">
        <v>27445441</v>
      </c>
      <c r="J1970">
        <v>-5269816</v>
      </c>
      <c r="P1970">
        <v>43</v>
      </c>
      <c r="Q1970" t="s">
        <v>3983</v>
      </c>
    </row>
    <row r="1971" spans="1:17" x14ac:dyDescent="0.3">
      <c r="A1971" t="s">
        <v>17</v>
      </c>
      <c r="B1971" t="str">
        <f>"688330"</f>
        <v>688330</v>
      </c>
      <c r="C1971" t="s">
        <v>3984</v>
      </c>
      <c r="D1971" t="s">
        <v>188</v>
      </c>
      <c r="F1971">
        <v>-36203226</v>
      </c>
      <c r="G1971">
        <v>4374222</v>
      </c>
      <c r="H1971">
        <v>-53497025</v>
      </c>
      <c r="I1971">
        <v>153905703</v>
      </c>
      <c r="J1971">
        <v>44812391</v>
      </c>
      <c r="K1971">
        <v>19870396</v>
      </c>
      <c r="P1971">
        <v>90</v>
      </c>
      <c r="Q1971" t="s">
        <v>3985</v>
      </c>
    </row>
    <row r="1972" spans="1:17" x14ac:dyDescent="0.3">
      <c r="A1972" t="s">
        <v>17</v>
      </c>
      <c r="B1972" t="str">
        <f>"688331"</f>
        <v>688331</v>
      </c>
      <c r="C1972" t="s">
        <v>3986</v>
      </c>
      <c r="F1972">
        <v>-335757007</v>
      </c>
      <c r="G1972">
        <v>-1138776116</v>
      </c>
      <c r="H1972">
        <v>-345721494</v>
      </c>
      <c r="I1972">
        <v>-210200196</v>
      </c>
      <c r="P1972">
        <v>5</v>
      </c>
      <c r="Q1972" t="s">
        <v>3987</v>
      </c>
    </row>
    <row r="1973" spans="1:17" x14ac:dyDescent="0.3">
      <c r="A1973" t="s">
        <v>17</v>
      </c>
      <c r="B1973" t="str">
        <f>"688333"</f>
        <v>688333</v>
      </c>
      <c r="C1973" t="s">
        <v>3988</v>
      </c>
      <c r="D1973" t="s">
        <v>78</v>
      </c>
      <c r="F1973">
        <v>-291304646</v>
      </c>
      <c r="G1973">
        <v>-192897596</v>
      </c>
      <c r="H1973">
        <v>2008791</v>
      </c>
      <c r="I1973">
        <v>-138934183</v>
      </c>
      <c r="J1973">
        <v>-62926542</v>
      </c>
      <c r="K1973">
        <v>-85559261</v>
      </c>
      <c r="P1973">
        <v>117</v>
      </c>
      <c r="Q1973" t="s">
        <v>3989</v>
      </c>
    </row>
    <row r="1974" spans="1:17" x14ac:dyDescent="0.3">
      <c r="A1974" t="s">
        <v>17</v>
      </c>
      <c r="B1974" t="str">
        <f>"688335"</f>
        <v>688335</v>
      </c>
      <c r="C1974" t="s">
        <v>3990</v>
      </c>
      <c r="D1974" t="s">
        <v>33</v>
      </c>
      <c r="F1974">
        <v>-24298746</v>
      </c>
      <c r="G1974">
        <v>-86166030</v>
      </c>
      <c r="H1974">
        <v>-37136554</v>
      </c>
      <c r="I1974">
        <v>85430813</v>
      </c>
      <c r="J1974">
        <v>17430091</v>
      </c>
      <c r="K1974">
        <v>-3240575</v>
      </c>
      <c r="P1974">
        <v>61</v>
      </c>
      <c r="Q1974" t="s">
        <v>3991</v>
      </c>
    </row>
    <row r="1975" spans="1:17" x14ac:dyDescent="0.3">
      <c r="A1975" t="s">
        <v>17</v>
      </c>
      <c r="B1975" t="str">
        <f>"688336"</f>
        <v>688336</v>
      </c>
      <c r="C1975" t="s">
        <v>3992</v>
      </c>
      <c r="D1975" t="s">
        <v>113</v>
      </c>
      <c r="F1975">
        <v>-507234139</v>
      </c>
      <c r="G1975">
        <v>-267036842</v>
      </c>
      <c r="H1975">
        <v>457394203</v>
      </c>
      <c r="I1975">
        <v>271346034</v>
      </c>
      <c r="J1975">
        <v>178818484</v>
      </c>
      <c r="K1975">
        <v>249838746</v>
      </c>
      <c r="P1975">
        <v>52</v>
      </c>
      <c r="Q1975" t="s">
        <v>3993</v>
      </c>
    </row>
    <row r="1976" spans="1:17" x14ac:dyDescent="0.3">
      <c r="A1976" t="s">
        <v>17</v>
      </c>
      <c r="B1976" t="str">
        <f>"688337"</f>
        <v>688337</v>
      </c>
      <c r="C1976" t="s">
        <v>3994</v>
      </c>
      <c r="F1976">
        <v>23652771</v>
      </c>
      <c r="G1976">
        <v>-183209756</v>
      </c>
      <c r="H1976">
        <v>42016199</v>
      </c>
      <c r="I1976">
        <v>16332129</v>
      </c>
      <c r="P1976">
        <v>3</v>
      </c>
      <c r="Q1976" t="s">
        <v>3995</v>
      </c>
    </row>
    <row r="1977" spans="1:17" x14ac:dyDescent="0.3">
      <c r="A1977" t="s">
        <v>17</v>
      </c>
      <c r="B1977" t="str">
        <f>"688338"</f>
        <v>688338</v>
      </c>
      <c r="C1977" t="s">
        <v>3996</v>
      </c>
      <c r="D1977" t="s">
        <v>113</v>
      </c>
      <c r="F1977">
        <v>91674205</v>
      </c>
      <c r="G1977">
        <v>39977459</v>
      </c>
      <c r="H1977">
        <v>55841273</v>
      </c>
      <c r="I1977">
        <v>54303933</v>
      </c>
      <c r="J1977">
        <v>30136637</v>
      </c>
      <c r="K1977">
        <v>30798390</v>
      </c>
      <c r="P1977">
        <v>56</v>
      </c>
      <c r="Q1977" t="s">
        <v>3997</v>
      </c>
    </row>
    <row r="1978" spans="1:17" x14ac:dyDescent="0.3">
      <c r="A1978" t="s">
        <v>17</v>
      </c>
      <c r="B1978" t="str">
        <f>"688339"</f>
        <v>688339</v>
      </c>
      <c r="C1978" t="s">
        <v>3998</v>
      </c>
      <c r="D1978" t="s">
        <v>188</v>
      </c>
      <c r="F1978">
        <v>-348593944</v>
      </c>
      <c r="G1978">
        <v>-359802977</v>
      </c>
      <c r="H1978">
        <v>-311919494</v>
      </c>
      <c r="I1978">
        <v>-188374550</v>
      </c>
      <c r="J1978">
        <v>-206345633</v>
      </c>
      <c r="K1978">
        <v>-105410331</v>
      </c>
      <c r="P1978">
        <v>153</v>
      </c>
      <c r="Q1978" t="s">
        <v>3999</v>
      </c>
    </row>
    <row r="1979" spans="1:17" x14ac:dyDescent="0.3">
      <c r="A1979" t="s">
        <v>17</v>
      </c>
      <c r="B1979" t="str">
        <f>"688345"</f>
        <v>688345</v>
      </c>
      <c r="C1979" t="s">
        <v>4000</v>
      </c>
      <c r="D1979" t="s">
        <v>188</v>
      </c>
      <c r="F1979">
        <v>-294814783</v>
      </c>
      <c r="G1979">
        <v>54293179</v>
      </c>
      <c r="H1979">
        <v>24299731</v>
      </c>
      <c r="I1979">
        <v>-52831391</v>
      </c>
      <c r="J1979">
        <v>-390096</v>
      </c>
      <c r="P1979">
        <v>39</v>
      </c>
      <c r="Q1979" t="s">
        <v>4001</v>
      </c>
    </row>
    <row r="1980" spans="1:17" x14ac:dyDescent="0.3">
      <c r="A1980" t="s">
        <v>17</v>
      </c>
      <c r="B1980" t="str">
        <f>"688350"</f>
        <v>688350</v>
      </c>
      <c r="C1980" t="s">
        <v>4002</v>
      </c>
      <c r="D1980" t="s">
        <v>133</v>
      </c>
      <c r="F1980">
        <v>4941116</v>
      </c>
      <c r="G1980">
        <v>118648128</v>
      </c>
      <c r="H1980">
        <v>152399293</v>
      </c>
      <c r="I1980">
        <v>4626720</v>
      </c>
      <c r="J1980">
        <v>17269524</v>
      </c>
      <c r="P1980">
        <v>34</v>
      </c>
      <c r="Q1980" t="s">
        <v>4003</v>
      </c>
    </row>
    <row r="1981" spans="1:17" x14ac:dyDescent="0.3">
      <c r="A1981" t="s">
        <v>17</v>
      </c>
      <c r="B1981" t="str">
        <f>"688355"</f>
        <v>688355</v>
      </c>
      <c r="C1981" t="s">
        <v>4004</v>
      </c>
      <c r="D1981" t="s">
        <v>78</v>
      </c>
      <c r="F1981">
        <v>96813344</v>
      </c>
      <c r="G1981">
        <v>82780465</v>
      </c>
      <c r="H1981">
        <v>-8043224</v>
      </c>
      <c r="I1981">
        <v>34817262</v>
      </c>
      <c r="J1981">
        <v>21206523</v>
      </c>
      <c r="P1981">
        <v>21</v>
      </c>
      <c r="Q1981" t="s">
        <v>4005</v>
      </c>
    </row>
    <row r="1982" spans="1:17" x14ac:dyDescent="0.3">
      <c r="A1982" t="s">
        <v>17</v>
      </c>
      <c r="B1982" t="str">
        <f>"688356"</f>
        <v>688356</v>
      </c>
      <c r="C1982" t="s">
        <v>4006</v>
      </c>
      <c r="D1982" t="s">
        <v>113</v>
      </c>
      <c r="F1982">
        <v>-45076373</v>
      </c>
      <c r="G1982">
        <v>59617038</v>
      </c>
      <c r="H1982">
        <v>42125049</v>
      </c>
      <c r="I1982">
        <v>26187329</v>
      </c>
      <c r="J1982">
        <v>12891439</v>
      </c>
      <c r="K1982">
        <v>6160977</v>
      </c>
      <c r="P1982">
        <v>152</v>
      </c>
      <c r="Q1982" t="s">
        <v>4007</v>
      </c>
    </row>
    <row r="1983" spans="1:17" x14ac:dyDescent="0.3">
      <c r="A1983" t="s">
        <v>17</v>
      </c>
      <c r="B1983" t="str">
        <f>"688357"</f>
        <v>688357</v>
      </c>
      <c r="C1983" t="s">
        <v>4008</v>
      </c>
      <c r="D1983" t="s">
        <v>133</v>
      </c>
      <c r="F1983">
        <v>101694977</v>
      </c>
      <c r="G1983">
        <v>32102674</v>
      </c>
      <c r="H1983">
        <v>28494436</v>
      </c>
      <c r="I1983">
        <v>69508019</v>
      </c>
      <c r="J1983">
        <v>49238998</v>
      </c>
      <c r="K1983">
        <v>-51325595</v>
      </c>
      <c r="P1983">
        <v>157</v>
      </c>
      <c r="Q1983" t="s">
        <v>4009</v>
      </c>
    </row>
    <row r="1984" spans="1:17" x14ac:dyDescent="0.3">
      <c r="A1984" t="s">
        <v>17</v>
      </c>
      <c r="B1984" t="str">
        <f>"688358"</f>
        <v>688358</v>
      </c>
      <c r="C1984" t="s">
        <v>4010</v>
      </c>
      <c r="D1984" t="s">
        <v>113</v>
      </c>
      <c r="F1984">
        <v>21947550</v>
      </c>
      <c r="G1984">
        <v>51621892</v>
      </c>
      <c r="H1984">
        <v>72364013</v>
      </c>
      <c r="I1984">
        <v>65646218</v>
      </c>
      <c r="J1984">
        <v>48007098</v>
      </c>
      <c r="K1984">
        <v>34692418</v>
      </c>
      <c r="P1984">
        <v>123</v>
      </c>
      <c r="Q1984" t="s">
        <v>4011</v>
      </c>
    </row>
    <row r="1985" spans="1:17" x14ac:dyDescent="0.3">
      <c r="A1985" t="s">
        <v>17</v>
      </c>
      <c r="B1985" t="str">
        <f>"688359"</f>
        <v>688359</v>
      </c>
      <c r="C1985" t="s">
        <v>4012</v>
      </c>
      <c r="D1985" t="s">
        <v>150</v>
      </c>
      <c r="F1985">
        <v>-50458965</v>
      </c>
      <c r="G1985">
        <v>-4911146</v>
      </c>
      <c r="H1985">
        <v>6418214</v>
      </c>
      <c r="I1985">
        <v>6988605</v>
      </c>
      <c r="J1985">
        <v>-8117799</v>
      </c>
      <c r="P1985">
        <v>23</v>
      </c>
      <c r="Q1985" t="s">
        <v>4013</v>
      </c>
    </row>
    <row r="1986" spans="1:17" x14ac:dyDescent="0.3">
      <c r="A1986" t="s">
        <v>17</v>
      </c>
      <c r="B1986" t="str">
        <f>"688360"</f>
        <v>688360</v>
      </c>
      <c r="C1986" t="s">
        <v>4014</v>
      </c>
      <c r="D1986" t="s">
        <v>78</v>
      </c>
      <c r="F1986">
        <v>-143277825</v>
      </c>
      <c r="G1986">
        <v>-67017051</v>
      </c>
      <c r="H1986">
        <v>67499566</v>
      </c>
      <c r="I1986">
        <v>23011956</v>
      </c>
      <c r="J1986">
        <v>-26095934</v>
      </c>
      <c r="K1986">
        <v>3961682</v>
      </c>
      <c r="P1986">
        <v>84</v>
      </c>
      <c r="Q1986" t="s">
        <v>4015</v>
      </c>
    </row>
    <row r="1987" spans="1:17" x14ac:dyDescent="0.3">
      <c r="A1987" t="s">
        <v>17</v>
      </c>
      <c r="B1987" t="str">
        <f>"688363"</f>
        <v>688363</v>
      </c>
      <c r="C1987" t="s">
        <v>4016</v>
      </c>
      <c r="D1987" t="s">
        <v>481</v>
      </c>
      <c r="F1987">
        <v>491856569</v>
      </c>
      <c r="G1987">
        <v>-57592822</v>
      </c>
      <c r="H1987">
        <v>-85335563</v>
      </c>
      <c r="I1987">
        <v>274567340</v>
      </c>
      <c r="J1987">
        <v>297429501</v>
      </c>
      <c r="K1987">
        <v>221970690</v>
      </c>
      <c r="P1987">
        <v>1158</v>
      </c>
      <c r="Q1987" t="s">
        <v>4017</v>
      </c>
    </row>
    <row r="1988" spans="1:17" x14ac:dyDescent="0.3">
      <c r="A1988" t="s">
        <v>17</v>
      </c>
      <c r="B1988" t="str">
        <f>"688365"</f>
        <v>688365</v>
      </c>
      <c r="C1988" t="s">
        <v>4018</v>
      </c>
      <c r="D1988" t="s">
        <v>212</v>
      </c>
      <c r="F1988">
        <v>-62858541</v>
      </c>
      <c r="G1988">
        <v>35565170</v>
      </c>
      <c r="H1988">
        <v>100769662</v>
      </c>
      <c r="I1988">
        <v>100728519</v>
      </c>
      <c r="J1988">
        <v>96098344</v>
      </c>
      <c r="K1988">
        <v>65938003</v>
      </c>
      <c r="P1988">
        <v>72</v>
      </c>
      <c r="Q1988" t="s">
        <v>4019</v>
      </c>
    </row>
    <row r="1989" spans="1:17" x14ac:dyDescent="0.3">
      <c r="A1989" t="s">
        <v>17</v>
      </c>
      <c r="B1989" t="str">
        <f>"688366"</f>
        <v>688366</v>
      </c>
      <c r="C1989" t="s">
        <v>4020</v>
      </c>
      <c r="D1989" t="s">
        <v>113</v>
      </c>
      <c r="F1989">
        <v>70400627</v>
      </c>
      <c r="G1989">
        <v>66739152</v>
      </c>
      <c r="H1989">
        <v>-49899131</v>
      </c>
      <c r="I1989">
        <v>240749919</v>
      </c>
      <c r="J1989">
        <v>217452560</v>
      </c>
      <c r="K1989">
        <v>187008981</v>
      </c>
      <c r="P1989">
        <v>265</v>
      </c>
      <c r="Q1989" t="s">
        <v>4021</v>
      </c>
    </row>
    <row r="1990" spans="1:17" x14ac:dyDescent="0.3">
      <c r="A1990" t="s">
        <v>17</v>
      </c>
      <c r="B1990" t="str">
        <f>"688367"</f>
        <v>688367</v>
      </c>
      <c r="C1990" t="s">
        <v>4022</v>
      </c>
      <c r="D1990" t="s">
        <v>78</v>
      </c>
      <c r="F1990">
        <v>46396560</v>
      </c>
      <c r="G1990">
        <v>-2567046</v>
      </c>
      <c r="H1990">
        <v>20524968</v>
      </c>
      <c r="I1990">
        <v>-20779778</v>
      </c>
      <c r="J1990">
        <v>-5622010</v>
      </c>
      <c r="P1990">
        <v>30</v>
      </c>
      <c r="Q1990" t="s">
        <v>4023</v>
      </c>
    </row>
    <row r="1991" spans="1:17" x14ac:dyDescent="0.3">
      <c r="A1991" t="s">
        <v>17</v>
      </c>
      <c r="B1991" t="str">
        <f>"688368"</f>
        <v>688368</v>
      </c>
      <c r="C1991" t="s">
        <v>4024</v>
      </c>
      <c r="D1991" t="s">
        <v>150</v>
      </c>
      <c r="F1991">
        <v>447110066</v>
      </c>
      <c r="G1991">
        <v>-38466471</v>
      </c>
      <c r="H1991">
        <v>59197495</v>
      </c>
      <c r="I1991">
        <v>35839485</v>
      </c>
      <c r="J1991">
        <v>-20649169</v>
      </c>
      <c r="K1991">
        <v>73599509</v>
      </c>
      <c r="P1991">
        <v>212</v>
      </c>
      <c r="Q1991" t="s">
        <v>4025</v>
      </c>
    </row>
    <row r="1992" spans="1:17" x14ac:dyDescent="0.3">
      <c r="A1992" t="s">
        <v>17</v>
      </c>
      <c r="B1992" t="str">
        <f>"688369"</f>
        <v>688369</v>
      </c>
      <c r="C1992" t="s">
        <v>4026</v>
      </c>
      <c r="D1992" t="s">
        <v>212</v>
      </c>
      <c r="F1992">
        <v>34304706</v>
      </c>
      <c r="G1992">
        <v>119869170</v>
      </c>
      <c r="H1992">
        <v>92837487</v>
      </c>
      <c r="I1992">
        <v>117339539</v>
      </c>
      <c r="J1992">
        <v>118800825</v>
      </c>
      <c r="K1992">
        <v>94938482</v>
      </c>
      <c r="P1992">
        <v>170</v>
      </c>
      <c r="Q1992" t="s">
        <v>4027</v>
      </c>
    </row>
    <row r="1993" spans="1:17" x14ac:dyDescent="0.3">
      <c r="A1993" t="s">
        <v>17</v>
      </c>
      <c r="B1993" t="str">
        <f>"688377"</f>
        <v>688377</v>
      </c>
      <c r="C1993" t="s">
        <v>4028</v>
      </c>
      <c r="D1993" t="s">
        <v>78</v>
      </c>
      <c r="F1993">
        <v>-136308432</v>
      </c>
      <c r="G1993">
        <v>39286910</v>
      </c>
      <c r="H1993">
        <v>26988974</v>
      </c>
      <c r="I1993">
        <v>17489012</v>
      </c>
      <c r="J1993">
        <v>-24653850</v>
      </c>
      <c r="K1993">
        <v>9625545</v>
      </c>
      <c r="P1993">
        <v>52</v>
      </c>
      <c r="Q1993" t="s">
        <v>4029</v>
      </c>
    </row>
    <row r="1994" spans="1:17" x14ac:dyDescent="0.3">
      <c r="A1994" t="s">
        <v>17</v>
      </c>
      <c r="B1994" t="str">
        <f>"688378"</f>
        <v>688378</v>
      </c>
      <c r="C1994" t="s">
        <v>4030</v>
      </c>
      <c r="D1994" t="s">
        <v>78</v>
      </c>
      <c r="F1994">
        <v>-109667444</v>
      </c>
      <c r="G1994">
        <v>-41273827</v>
      </c>
      <c r="H1994">
        <v>-47038524</v>
      </c>
      <c r="I1994">
        <v>28626383</v>
      </c>
      <c r="J1994">
        <v>-40300792</v>
      </c>
      <c r="P1994">
        <v>50</v>
      </c>
      <c r="Q1994" t="s">
        <v>4031</v>
      </c>
    </row>
    <row r="1995" spans="1:17" x14ac:dyDescent="0.3">
      <c r="A1995" t="s">
        <v>17</v>
      </c>
      <c r="B1995" t="str">
        <f>"688379"</f>
        <v>688379</v>
      </c>
      <c r="C1995" t="s">
        <v>4032</v>
      </c>
      <c r="D1995" t="s">
        <v>78</v>
      </c>
      <c r="F1995">
        <v>-553696403</v>
      </c>
      <c r="G1995">
        <v>-345305297</v>
      </c>
      <c r="H1995">
        <v>-196869621</v>
      </c>
      <c r="I1995">
        <v>-197305798</v>
      </c>
      <c r="J1995">
        <v>-91959687</v>
      </c>
      <c r="K1995">
        <v>-88825682</v>
      </c>
      <c r="P1995">
        <v>36</v>
      </c>
      <c r="Q1995" t="s">
        <v>4033</v>
      </c>
    </row>
    <row r="1996" spans="1:17" x14ac:dyDescent="0.3">
      <c r="A1996" t="s">
        <v>17</v>
      </c>
      <c r="B1996" t="str">
        <f>"688383"</f>
        <v>688383</v>
      </c>
      <c r="C1996" t="s">
        <v>4034</v>
      </c>
      <c r="D1996" t="s">
        <v>78</v>
      </c>
      <c r="F1996">
        <v>-162056648</v>
      </c>
      <c r="G1996">
        <v>58818260</v>
      </c>
      <c r="H1996">
        <v>-43658361</v>
      </c>
      <c r="I1996">
        <v>-26619833</v>
      </c>
      <c r="J1996">
        <v>-31688085</v>
      </c>
      <c r="P1996">
        <v>49</v>
      </c>
      <c r="Q1996" t="s">
        <v>4035</v>
      </c>
    </row>
    <row r="1997" spans="1:17" x14ac:dyDescent="0.3">
      <c r="A1997" t="s">
        <v>17</v>
      </c>
      <c r="B1997" t="str">
        <f>"688385"</f>
        <v>688385</v>
      </c>
      <c r="C1997" t="s">
        <v>4036</v>
      </c>
      <c r="D1997" t="s">
        <v>150</v>
      </c>
      <c r="F1997">
        <v>38368847</v>
      </c>
      <c r="G1997">
        <v>-8593619</v>
      </c>
      <c r="H1997">
        <v>-220022411</v>
      </c>
      <c r="I1997">
        <v>-143871889</v>
      </c>
      <c r="J1997">
        <v>-67331824</v>
      </c>
      <c r="P1997">
        <v>47</v>
      </c>
      <c r="Q1997" t="s">
        <v>4037</v>
      </c>
    </row>
    <row r="1998" spans="1:17" x14ac:dyDescent="0.3">
      <c r="A1998" t="s">
        <v>17</v>
      </c>
      <c r="B1998" t="str">
        <f>"688386"</f>
        <v>688386</v>
      </c>
      <c r="C1998" t="s">
        <v>4038</v>
      </c>
      <c r="D1998" t="s">
        <v>133</v>
      </c>
      <c r="F1998">
        <v>29134107</v>
      </c>
      <c r="G1998">
        <v>-6427777</v>
      </c>
      <c r="H1998">
        <v>14848764</v>
      </c>
      <c r="I1998">
        <v>-14881052</v>
      </c>
      <c r="J1998">
        <v>3884521</v>
      </c>
      <c r="P1998">
        <v>43</v>
      </c>
      <c r="Q1998" t="s">
        <v>4039</v>
      </c>
    </row>
    <row r="1999" spans="1:17" x14ac:dyDescent="0.3">
      <c r="A1999" t="s">
        <v>17</v>
      </c>
      <c r="B1999" t="str">
        <f>"688388"</f>
        <v>688388</v>
      </c>
      <c r="C1999" t="s">
        <v>4040</v>
      </c>
      <c r="D1999" t="s">
        <v>234</v>
      </c>
      <c r="F1999">
        <v>-864088538</v>
      </c>
      <c r="G1999">
        <v>-424736164</v>
      </c>
      <c r="H1999">
        <v>408929369</v>
      </c>
      <c r="I1999">
        <v>25458054</v>
      </c>
      <c r="J1999">
        <v>-150852569</v>
      </c>
      <c r="K1999">
        <v>15701683</v>
      </c>
      <c r="P1999">
        <v>287</v>
      </c>
      <c r="Q1999" t="s">
        <v>4041</v>
      </c>
    </row>
    <row r="2000" spans="1:17" x14ac:dyDescent="0.3">
      <c r="A2000" t="s">
        <v>17</v>
      </c>
      <c r="B2000" t="str">
        <f>"688389"</f>
        <v>688389</v>
      </c>
      <c r="C2000" t="s">
        <v>4042</v>
      </c>
      <c r="D2000" t="s">
        <v>113</v>
      </c>
      <c r="F2000">
        <v>60492350</v>
      </c>
      <c r="G2000">
        <v>82337723</v>
      </c>
      <c r="H2000">
        <v>24492743</v>
      </c>
      <c r="I2000">
        <v>7717662</v>
      </c>
      <c r="J2000">
        <v>-84200630</v>
      </c>
      <c r="K2000">
        <v>-4196907</v>
      </c>
      <c r="P2000">
        <v>162</v>
      </c>
      <c r="Q2000" t="s">
        <v>4043</v>
      </c>
    </row>
    <row r="2001" spans="1:17" x14ac:dyDescent="0.3">
      <c r="A2001" t="s">
        <v>17</v>
      </c>
      <c r="B2001" t="str">
        <f>"688390"</f>
        <v>688390</v>
      </c>
      <c r="C2001" t="s">
        <v>4044</v>
      </c>
      <c r="D2001" t="s">
        <v>188</v>
      </c>
      <c r="F2001">
        <v>-21923150</v>
      </c>
      <c r="G2001">
        <v>311320798</v>
      </c>
      <c r="H2001">
        <v>75890439</v>
      </c>
      <c r="I2001">
        <v>-45806475</v>
      </c>
      <c r="J2001">
        <v>103722578</v>
      </c>
      <c r="K2001">
        <v>111501999</v>
      </c>
      <c r="P2001">
        <v>283</v>
      </c>
      <c r="Q2001" t="s">
        <v>4045</v>
      </c>
    </row>
    <row r="2002" spans="1:17" x14ac:dyDescent="0.3">
      <c r="A2002" t="s">
        <v>17</v>
      </c>
      <c r="B2002" t="str">
        <f>"688393"</f>
        <v>688393</v>
      </c>
      <c r="C2002" t="s">
        <v>4046</v>
      </c>
      <c r="D2002" t="s">
        <v>113</v>
      </c>
      <c r="F2002">
        <v>-80799408</v>
      </c>
      <c r="G2002">
        <v>29171901</v>
      </c>
      <c r="H2002">
        <v>54767762</v>
      </c>
      <c r="I2002">
        <v>22852326</v>
      </c>
      <c r="J2002">
        <v>50854436</v>
      </c>
      <c r="K2002">
        <v>27724341</v>
      </c>
      <c r="P2002">
        <v>76</v>
      </c>
      <c r="Q2002" t="s">
        <v>4047</v>
      </c>
    </row>
    <row r="2003" spans="1:17" x14ac:dyDescent="0.3">
      <c r="A2003" t="s">
        <v>17</v>
      </c>
      <c r="B2003" t="str">
        <f>"688395"</f>
        <v>688395</v>
      </c>
      <c r="C2003" t="s">
        <v>4048</v>
      </c>
      <c r="D2003" t="s">
        <v>78</v>
      </c>
      <c r="F2003">
        <v>13270183</v>
      </c>
      <c r="G2003">
        <v>21182538</v>
      </c>
      <c r="H2003">
        <v>4308955</v>
      </c>
      <c r="I2003">
        <v>10564829</v>
      </c>
      <c r="J2003">
        <v>6896049</v>
      </c>
      <c r="P2003">
        <v>36</v>
      </c>
      <c r="Q2003" t="s">
        <v>4049</v>
      </c>
    </row>
    <row r="2004" spans="1:17" x14ac:dyDescent="0.3">
      <c r="A2004" t="s">
        <v>17</v>
      </c>
      <c r="B2004" t="str">
        <f>"688396"</f>
        <v>688396</v>
      </c>
      <c r="C2004" t="s">
        <v>4050</v>
      </c>
      <c r="D2004" t="s">
        <v>150</v>
      </c>
      <c r="F2004">
        <v>2192869199</v>
      </c>
      <c r="G2004">
        <v>1261468355</v>
      </c>
      <c r="H2004">
        <v>-34458452</v>
      </c>
      <c r="I2004">
        <v>949401951</v>
      </c>
      <c r="J2004">
        <v>1097224639</v>
      </c>
      <c r="K2004">
        <v>678808389</v>
      </c>
      <c r="P2004">
        <v>496</v>
      </c>
      <c r="Q2004" t="s">
        <v>4051</v>
      </c>
    </row>
    <row r="2005" spans="1:17" x14ac:dyDescent="0.3">
      <c r="A2005" t="s">
        <v>17</v>
      </c>
      <c r="B2005" t="str">
        <f>"688398"</f>
        <v>688398</v>
      </c>
      <c r="C2005" t="s">
        <v>4052</v>
      </c>
      <c r="D2005" t="s">
        <v>133</v>
      </c>
      <c r="F2005">
        <v>-75201914</v>
      </c>
      <c r="G2005">
        <v>-68002758</v>
      </c>
      <c r="H2005">
        <v>18560605</v>
      </c>
      <c r="I2005">
        <v>21770184</v>
      </c>
      <c r="J2005">
        <v>-13810842</v>
      </c>
      <c r="K2005">
        <v>-492871</v>
      </c>
      <c r="P2005">
        <v>82</v>
      </c>
      <c r="Q2005" t="s">
        <v>4053</v>
      </c>
    </row>
    <row r="2006" spans="1:17" x14ac:dyDescent="0.3">
      <c r="A2006" t="s">
        <v>17</v>
      </c>
      <c r="B2006" t="str">
        <f>"688399"</f>
        <v>688399</v>
      </c>
      <c r="C2006" t="s">
        <v>4054</v>
      </c>
      <c r="D2006" t="s">
        <v>113</v>
      </c>
      <c r="F2006">
        <v>687992018</v>
      </c>
      <c r="G2006">
        <v>810865219</v>
      </c>
      <c r="H2006">
        <v>2294651</v>
      </c>
      <c r="I2006">
        <v>-12160106</v>
      </c>
      <c r="J2006">
        <v>32821531</v>
      </c>
      <c r="K2006">
        <v>-163334</v>
      </c>
      <c r="P2006">
        <v>375</v>
      </c>
      <c r="Q2006" t="s">
        <v>4055</v>
      </c>
    </row>
    <row r="2007" spans="1:17" x14ac:dyDescent="0.3">
      <c r="A2007" t="s">
        <v>17</v>
      </c>
      <c r="B2007" t="str">
        <f>"688408"</f>
        <v>688408</v>
      </c>
      <c r="C2007" t="s">
        <v>4056</v>
      </c>
      <c r="D2007" t="s">
        <v>188</v>
      </c>
      <c r="F2007">
        <v>-329607170</v>
      </c>
      <c r="G2007">
        <v>322752264</v>
      </c>
      <c r="H2007">
        <v>202078999</v>
      </c>
      <c r="I2007">
        <v>56553944</v>
      </c>
      <c r="J2007">
        <v>79004733</v>
      </c>
      <c r="P2007">
        <v>114</v>
      </c>
      <c r="Q2007" t="s">
        <v>4057</v>
      </c>
    </row>
    <row r="2008" spans="1:17" x14ac:dyDescent="0.3">
      <c r="A2008" t="s">
        <v>17</v>
      </c>
      <c r="B2008" t="str">
        <f>"688418"</f>
        <v>688418</v>
      </c>
      <c r="C2008" t="s">
        <v>4058</v>
      </c>
      <c r="D2008" t="s">
        <v>100</v>
      </c>
      <c r="F2008">
        <v>-299429115</v>
      </c>
      <c r="G2008">
        <v>-100974553</v>
      </c>
      <c r="H2008">
        <v>-89769237</v>
      </c>
      <c r="I2008">
        <v>-43671351</v>
      </c>
      <c r="J2008">
        <v>-52991110</v>
      </c>
      <c r="K2008">
        <v>-17213814</v>
      </c>
      <c r="P2008">
        <v>40</v>
      </c>
      <c r="Q2008" t="s">
        <v>4059</v>
      </c>
    </row>
    <row r="2009" spans="1:17" x14ac:dyDescent="0.3">
      <c r="A2009" t="s">
        <v>17</v>
      </c>
      <c r="B2009" t="str">
        <f>"688425"</f>
        <v>688425</v>
      </c>
      <c r="C2009" t="s">
        <v>4060</v>
      </c>
      <c r="D2009" t="s">
        <v>78</v>
      </c>
      <c r="F2009">
        <v>-1960342722</v>
      </c>
      <c r="G2009">
        <v>-659324276</v>
      </c>
      <c r="H2009">
        <v>1295359068</v>
      </c>
      <c r="I2009">
        <v>1606850444</v>
      </c>
      <c r="J2009">
        <v>-119702949</v>
      </c>
      <c r="P2009">
        <v>40</v>
      </c>
      <c r="Q2009" t="s">
        <v>4061</v>
      </c>
    </row>
    <row r="2010" spans="1:17" x14ac:dyDescent="0.3">
      <c r="A2010" t="s">
        <v>17</v>
      </c>
      <c r="B2010" t="str">
        <f>"688456"</f>
        <v>688456</v>
      </c>
      <c r="C2010" t="s">
        <v>4062</v>
      </c>
      <c r="D2010" t="s">
        <v>234</v>
      </c>
      <c r="F2010">
        <v>-68798469</v>
      </c>
      <c r="G2010">
        <v>-21306548</v>
      </c>
      <c r="H2010">
        <v>-54030632</v>
      </c>
      <c r="I2010">
        <v>45769180</v>
      </c>
      <c r="J2010">
        <v>17236355</v>
      </c>
      <c r="P2010">
        <v>28</v>
      </c>
      <c r="Q2010" t="s">
        <v>4063</v>
      </c>
    </row>
    <row r="2011" spans="1:17" x14ac:dyDescent="0.3">
      <c r="A2011" t="s">
        <v>17</v>
      </c>
      <c r="B2011" t="str">
        <f>"688466"</f>
        <v>688466</v>
      </c>
      <c r="C2011" t="s">
        <v>4064</v>
      </c>
      <c r="D2011" t="s">
        <v>33</v>
      </c>
      <c r="F2011">
        <v>-147764537</v>
      </c>
      <c r="G2011">
        <v>-193518534</v>
      </c>
      <c r="H2011">
        <v>37218112</v>
      </c>
      <c r="I2011">
        <v>-5125839</v>
      </c>
      <c r="J2011">
        <v>23550439</v>
      </c>
      <c r="K2011">
        <v>9094200</v>
      </c>
      <c r="P2011">
        <v>60</v>
      </c>
      <c r="Q2011" t="s">
        <v>4065</v>
      </c>
    </row>
    <row r="2012" spans="1:17" x14ac:dyDescent="0.3">
      <c r="A2012" t="s">
        <v>17</v>
      </c>
      <c r="B2012" t="str">
        <f>"688468"</f>
        <v>688468</v>
      </c>
      <c r="C2012" t="s">
        <v>4066</v>
      </c>
      <c r="D2012" t="s">
        <v>113</v>
      </c>
      <c r="F2012">
        <v>116351578</v>
      </c>
      <c r="G2012">
        <v>68683485</v>
      </c>
      <c r="H2012">
        <v>146037920</v>
      </c>
      <c r="I2012">
        <v>99684275</v>
      </c>
      <c r="J2012">
        <v>74103496</v>
      </c>
      <c r="P2012">
        <v>39</v>
      </c>
      <c r="Q2012" t="s">
        <v>4067</v>
      </c>
    </row>
    <row r="2013" spans="1:17" x14ac:dyDescent="0.3">
      <c r="A2013" t="s">
        <v>17</v>
      </c>
      <c r="B2013" t="str">
        <f>"688488"</f>
        <v>688488</v>
      </c>
      <c r="C2013" t="s">
        <v>4068</v>
      </c>
      <c r="D2013" t="s">
        <v>113</v>
      </c>
      <c r="F2013">
        <v>-107141330</v>
      </c>
      <c r="G2013">
        <v>13739907</v>
      </c>
      <c r="H2013">
        <v>22699631</v>
      </c>
      <c r="I2013">
        <v>-122851132</v>
      </c>
      <c r="J2013">
        <v>-152945954</v>
      </c>
      <c r="K2013">
        <v>-39723284</v>
      </c>
      <c r="P2013">
        <v>44</v>
      </c>
      <c r="Q2013" t="s">
        <v>4069</v>
      </c>
    </row>
    <row r="2014" spans="1:17" x14ac:dyDescent="0.3">
      <c r="A2014" t="s">
        <v>17</v>
      </c>
      <c r="B2014" t="str">
        <f>"688499"</f>
        <v>688499</v>
      </c>
      <c r="C2014" t="s">
        <v>4070</v>
      </c>
      <c r="D2014" t="s">
        <v>188</v>
      </c>
      <c r="F2014">
        <v>-325461824</v>
      </c>
      <c r="G2014">
        <v>-297609141</v>
      </c>
      <c r="H2014">
        <v>-173573378</v>
      </c>
      <c r="I2014">
        <v>-33575071</v>
      </c>
      <c r="J2014">
        <v>-30565200</v>
      </c>
      <c r="K2014">
        <v>-26166455</v>
      </c>
      <c r="P2014">
        <v>66</v>
      </c>
      <c r="Q2014" t="s">
        <v>4071</v>
      </c>
    </row>
    <row r="2015" spans="1:17" x14ac:dyDescent="0.3">
      <c r="A2015" t="s">
        <v>17</v>
      </c>
      <c r="B2015" t="str">
        <f>"688500"</f>
        <v>688500</v>
      </c>
      <c r="C2015" t="s">
        <v>4072</v>
      </c>
      <c r="D2015" t="s">
        <v>212</v>
      </c>
      <c r="F2015">
        <v>-33712165</v>
      </c>
      <c r="G2015">
        <v>31133442</v>
      </c>
      <c r="H2015">
        <v>-1831839</v>
      </c>
      <c r="I2015">
        <v>8911630</v>
      </c>
      <c r="J2015">
        <v>9323848</v>
      </c>
      <c r="K2015">
        <v>9486094</v>
      </c>
      <c r="P2015">
        <v>26</v>
      </c>
      <c r="Q2015" t="s">
        <v>4073</v>
      </c>
    </row>
    <row r="2016" spans="1:17" x14ac:dyDescent="0.3">
      <c r="A2016" t="s">
        <v>17</v>
      </c>
      <c r="B2016" t="str">
        <f>"688501"</f>
        <v>688501</v>
      </c>
      <c r="C2016" t="s">
        <v>4074</v>
      </c>
      <c r="D2016" t="s">
        <v>33</v>
      </c>
      <c r="F2016">
        <v>-73769702</v>
      </c>
      <c r="G2016">
        <v>-55814279</v>
      </c>
      <c r="H2016">
        <v>-43710246</v>
      </c>
      <c r="I2016">
        <v>-17725994</v>
      </c>
      <c r="J2016">
        <v>37855601</v>
      </c>
      <c r="P2016">
        <v>24</v>
      </c>
      <c r="Q2016" t="s">
        <v>4075</v>
      </c>
    </row>
    <row r="2017" spans="1:17" x14ac:dyDescent="0.3">
      <c r="A2017" t="s">
        <v>17</v>
      </c>
      <c r="B2017" t="str">
        <f>"688505"</f>
        <v>688505</v>
      </c>
      <c r="C2017" t="s">
        <v>4076</v>
      </c>
      <c r="D2017" t="s">
        <v>113</v>
      </c>
      <c r="F2017">
        <v>150490205</v>
      </c>
      <c r="G2017">
        <v>82618694</v>
      </c>
      <c r="H2017">
        <v>231465249</v>
      </c>
      <c r="I2017">
        <v>143122868</v>
      </c>
      <c r="J2017">
        <v>-14219575</v>
      </c>
      <c r="K2017">
        <v>90856754</v>
      </c>
      <c r="P2017">
        <v>68</v>
      </c>
      <c r="Q2017" t="s">
        <v>4077</v>
      </c>
    </row>
    <row r="2018" spans="1:17" x14ac:dyDescent="0.3">
      <c r="A2018" t="s">
        <v>17</v>
      </c>
      <c r="B2018" t="str">
        <f>"688508"</f>
        <v>688508</v>
      </c>
      <c r="C2018" t="s">
        <v>4078</v>
      </c>
      <c r="D2018" t="s">
        <v>150</v>
      </c>
      <c r="F2018">
        <v>215978489</v>
      </c>
      <c r="G2018">
        <v>-72236202</v>
      </c>
      <c r="H2018">
        <v>40711923</v>
      </c>
      <c r="I2018">
        <v>27377079</v>
      </c>
      <c r="J2018">
        <v>37521644</v>
      </c>
      <c r="K2018">
        <v>8012193</v>
      </c>
      <c r="P2018">
        <v>165</v>
      </c>
      <c r="Q2018" t="s">
        <v>4079</v>
      </c>
    </row>
    <row r="2019" spans="1:17" x14ac:dyDescent="0.3">
      <c r="A2019" t="s">
        <v>17</v>
      </c>
      <c r="B2019" t="str">
        <f>"688509"</f>
        <v>688509</v>
      </c>
      <c r="C2019" t="s">
        <v>4080</v>
      </c>
      <c r="D2019" t="s">
        <v>212</v>
      </c>
      <c r="F2019">
        <v>6055793</v>
      </c>
      <c r="G2019">
        <v>-5989941</v>
      </c>
      <c r="H2019">
        <v>-287177482</v>
      </c>
      <c r="I2019">
        <v>-221050143</v>
      </c>
      <c r="J2019">
        <v>29084400</v>
      </c>
      <c r="P2019">
        <v>17</v>
      </c>
      <c r="Q2019" t="s">
        <v>4081</v>
      </c>
    </row>
    <row r="2020" spans="1:17" x14ac:dyDescent="0.3">
      <c r="A2020" t="s">
        <v>17</v>
      </c>
      <c r="B2020" t="str">
        <f>"688510"</f>
        <v>688510</v>
      </c>
      <c r="C2020" t="s">
        <v>4082</v>
      </c>
      <c r="D2020" t="s">
        <v>92</v>
      </c>
      <c r="F2020">
        <v>-71176117</v>
      </c>
      <c r="G2020">
        <v>-47899181</v>
      </c>
      <c r="H2020">
        <v>-60721387</v>
      </c>
      <c r="I2020">
        <v>-74208141</v>
      </c>
      <c r="J2020">
        <v>-28533927</v>
      </c>
      <c r="K2020">
        <v>-69245452</v>
      </c>
      <c r="P2020">
        <v>65</v>
      </c>
      <c r="Q2020" t="s">
        <v>4083</v>
      </c>
    </row>
    <row r="2021" spans="1:17" x14ac:dyDescent="0.3">
      <c r="A2021" t="s">
        <v>17</v>
      </c>
      <c r="B2021" t="str">
        <f>"688511"</f>
        <v>688511</v>
      </c>
      <c r="C2021" t="s">
        <v>4084</v>
      </c>
      <c r="D2021" t="s">
        <v>92</v>
      </c>
      <c r="F2021">
        <v>41548918</v>
      </c>
      <c r="G2021">
        <v>21639520</v>
      </c>
      <c r="H2021">
        <v>15440446</v>
      </c>
      <c r="I2021">
        <v>-13126122</v>
      </c>
      <c r="J2021">
        <v>-9272716</v>
      </c>
      <c r="P2021">
        <v>23</v>
      </c>
      <c r="Q2021" t="s">
        <v>4085</v>
      </c>
    </row>
    <row r="2022" spans="1:17" x14ac:dyDescent="0.3">
      <c r="A2022" t="s">
        <v>17</v>
      </c>
      <c r="B2022" t="str">
        <f>"688513"</f>
        <v>688513</v>
      </c>
      <c r="C2022" t="s">
        <v>4086</v>
      </c>
      <c r="D2022" t="s">
        <v>113</v>
      </c>
      <c r="F2022">
        <v>-108693539</v>
      </c>
      <c r="G2022">
        <v>-42185675</v>
      </c>
      <c r="H2022">
        <v>46466521</v>
      </c>
      <c r="I2022">
        <v>90154370</v>
      </c>
      <c r="J2022">
        <v>62717656</v>
      </c>
      <c r="K2022">
        <v>88266762</v>
      </c>
      <c r="P2022">
        <v>59</v>
      </c>
      <c r="Q2022" t="s">
        <v>4087</v>
      </c>
    </row>
    <row r="2023" spans="1:17" x14ac:dyDescent="0.3">
      <c r="A2023" t="s">
        <v>17</v>
      </c>
      <c r="B2023" t="str">
        <f>"688516"</f>
        <v>688516</v>
      </c>
      <c r="C2023" t="s">
        <v>4088</v>
      </c>
      <c r="D2023" t="s">
        <v>188</v>
      </c>
      <c r="F2023">
        <v>123773766</v>
      </c>
      <c r="G2023">
        <v>30793704</v>
      </c>
      <c r="H2023">
        <v>15283025</v>
      </c>
      <c r="I2023">
        <v>-59032607</v>
      </c>
      <c r="J2023">
        <v>-153053671</v>
      </c>
      <c r="K2023">
        <v>27297152</v>
      </c>
      <c r="P2023">
        <v>152</v>
      </c>
      <c r="Q2023" t="s">
        <v>4089</v>
      </c>
    </row>
    <row r="2024" spans="1:17" x14ac:dyDescent="0.3">
      <c r="A2024" t="s">
        <v>17</v>
      </c>
      <c r="B2024" t="str">
        <f>"688517"</f>
        <v>688517</v>
      </c>
      <c r="C2024" t="s">
        <v>4090</v>
      </c>
      <c r="D2024" t="s">
        <v>188</v>
      </c>
      <c r="F2024">
        <v>12982493</v>
      </c>
      <c r="G2024">
        <v>-24181663</v>
      </c>
      <c r="H2024">
        <v>69393965</v>
      </c>
      <c r="I2024">
        <v>12112168</v>
      </c>
      <c r="J2024">
        <v>20171813</v>
      </c>
      <c r="P2024">
        <v>19</v>
      </c>
      <c r="Q2024" t="s">
        <v>4091</v>
      </c>
    </row>
    <row r="2025" spans="1:17" x14ac:dyDescent="0.3">
      <c r="A2025" t="s">
        <v>17</v>
      </c>
      <c r="B2025" t="str">
        <f>"688518"</f>
        <v>688518</v>
      </c>
      <c r="C2025" t="s">
        <v>4092</v>
      </c>
      <c r="D2025" t="s">
        <v>78</v>
      </c>
      <c r="F2025">
        <v>-208006495</v>
      </c>
      <c r="G2025">
        <v>171040422</v>
      </c>
      <c r="H2025">
        <v>72511129</v>
      </c>
      <c r="I2025">
        <v>-191458262</v>
      </c>
      <c r="J2025">
        <v>-100348930</v>
      </c>
      <c r="K2025">
        <v>-69125870</v>
      </c>
      <c r="P2025">
        <v>65</v>
      </c>
      <c r="Q2025" t="s">
        <v>4093</v>
      </c>
    </row>
    <row r="2026" spans="1:17" x14ac:dyDescent="0.3">
      <c r="A2026" t="s">
        <v>17</v>
      </c>
      <c r="B2026" t="str">
        <f>"688519"</f>
        <v>688519</v>
      </c>
      <c r="C2026" t="s">
        <v>4094</v>
      </c>
      <c r="D2026" t="s">
        <v>150</v>
      </c>
      <c r="F2026">
        <v>-461792997</v>
      </c>
      <c r="G2026">
        <v>-244884761</v>
      </c>
      <c r="H2026">
        <v>-28490279</v>
      </c>
      <c r="I2026">
        <v>83016176</v>
      </c>
      <c r="J2026">
        <v>-354881</v>
      </c>
      <c r="P2026">
        <v>80</v>
      </c>
      <c r="Q2026" t="s">
        <v>4095</v>
      </c>
    </row>
    <row r="2027" spans="1:17" x14ac:dyDescent="0.3">
      <c r="A2027" t="s">
        <v>17</v>
      </c>
      <c r="B2027" t="str">
        <f>"688520"</f>
        <v>688520</v>
      </c>
      <c r="C2027" t="s">
        <v>4096</v>
      </c>
      <c r="D2027" t="s">
        <v>113</v>
      </c>
      <c r="F2027">
        <v>-1056679458</v>
      </c>
      <c r="G2027">
        <v>-654668002</v>
      </c>
      <c r="H2027">
        <v>-610208298</v>
      </c>
      <c r="I2027">
        <v>-173601257</v>
      </c>
      <c r="J2027">
        <v>-151406957</v>
      </c>
      <c r="K2027">
        <v>-177474292</v>
      </c>
      <c r="P2027">
        <v>90</v>
      </c>
      <c r="Q2027" t="s">
        <v>4097</v>
      </c>
    </row>
    <row r="2028" spans="1:17" x14ac:dyDescent="0.3">
      <c r="A2028" t="s">
        <v>17</v>
      </c>
      <c r="B2028" t="str">
        <f>"688521"</f>
        <v>688521</v>
      </c>
      <c r="C2028" t="s">
        <v>4098</v>
      </c>
      <c r="D2028" t="s">
        <v>150</v>
      </c>
      <c r="F2028">
        <v>19191024</v>
      </c>
      <c r="G2028">
        <v>-266712401</v>
      </c>
      <c r="H2028">
        <v>-103996076</v>
      </c>
      <c r="I2028">
        <v>-710232836</v>
      </c>
      <c r="J2028">
        <v>629350150</v>
      </c>
      <c r="K2028">
        <v>-79574045</v>
      </c>
      <c r="P2028">
        <v>140</v>
      </c>
      <c r="Q2028" t="s">
        <v>4099</v>
      </c>
    </row>
    <row r="2029" spans="1:17" x14ac:dyDescent="0.3">
      <c r="A2029" t="s">
        <v>17</v>
      </c>
      <c r="B2029" t="str">
        <f>"688526"</f>
        <v>688526</v>
      </c>
      <c r="C2029" t="s">
        <v>4100</v>
      </c>
      <c r="D2029" t="s">
        <v>205</v>
      </c>
      <c r="F2029">
        <v>156824418</v>
      </c>
      <c r="G2029">
        <v>288570903</v>
      </c>
      <c r="H2029">
        <v>17152731</v>
      </c>
      <c r="I2029">
        <v>320413263</v>
      </c>
      <c r="J2029">
        <v>208497967</v>
      </c>
      <c r="K2029">
        <v>191566421</v>
      </c>
      <c r="P2029">
        <v>147</v>
      </c>
      <c r="Q2029" t="s">
        <v>4101</v>
      </c>
    </row>
    <row r="2030" spans="1:17" x14ac:dyDescent="0.3">
      <c r="A2030" t="s">
        <v>17</v>
      </c>
      <c r="B2030" t="str">
        <f>"688528"</f>
        <v>688528</v>
      </c>
      <c r="C2030" t="s">
        <v>4102</v>
      </c>
      <c r="D2030" t="s">
        <v>78</v>
      </c>
      <c r="F2030">
        <v>-103250601</v>
      </c>
      <c r="G2030">
        <v>-68224212</v>
      </c>
      <c r="H2030">
        <v>18917801</v>
      </c>
      <c r="I2030">
        <v>-27202269</v>
      </c>
      <c r="J2030">
        <v>11483656</v>
      </c>
      <c r="K2030">
        <v>24124410</v>
      </c>
      <c r="P2030">
        <v>42</v>
      </c>
      <c r="Q2030" t="s">
        <v>4103</v>
      </c>
    </row>
    <row r="2031" spans="1:17" x14ac:dyDescent="0.3">
      <c r="A2031" t="s">
        <v>17</v>
      </c>
      <c r="B2031" t="str">
        <f>"688529"</f>
        <v>688529</v>
      </c>
      <c r="C2031" t="s">
        <v>4104</v>
      </c>
      <c r="D2031" t="s">
        <v>78</v>
      </c>
      <c r="F2031">
        <v>-208179907</v>
      </c>
      <c r="G2031">
        <v>4169402</v>
      </c>
      <c r="H2031">
        <v>-27501725</v>
      </c>
      <c r="I2031">
        <v>-133689026</v>
      </c>
      <c r="J2031">
        <v>66653406</v>
      </c>
      <c r="P2031">
        <v>34</v>
      </c>
      <c r="Q2031" t="s">
        <v>4105</v>
      </c>
    </row>
    <row r="2032" spans="1:17" x14ac:dyDescent="0.3">
      <c r="A2032" t="s">
        <v>17</v>
      </c>
      <c r="B2032" t="str">
        <f>"688533"</f>
        <v>688533</v>
      </c>
      <c r="C2032" t="s">
        <v>4106</v>
      </c>
      <c r="D2032" t="s">
        <v>27</v>
      </c>
      <c r="F2032">
        <v>-94589663</v>
      </c>
      <c r="G2032">
        <v>45024001</v>
      </c>
      <c r="H2032">
        <v>30425983</v>
      </c>
      <c r="I2032">
        <v>-47441032</v>
      </c>
      <c r="J2032">
        <v>199247172</v>
      </c>
      <c r="P2032">
        <v>39</v>
      </c>
      <c r="Q2032" t="s">
        <v>4107</v>
      </c>
    </row>
    <row r="2033" spans="1:17" x14ac:dyDescent="0.3">
      <c r="A2033" t="s">
        <v>17</v>
      </c>
      <c r="B2033" t="str">
        <f>"688536"</f>
        <v>688536</v>
      </c>
      <c r="C2033" t="s">
        <v>4108</v>
      </c>
      <c r="D2033" t="s">
        <v>150</v>
      </c>
      <c r="F2033">
        <v>188732880</v>
      </c>
      <c r="G2033">
        <v>201649001</v>
      </c>
      <c r="H2033">
        <v>-15019469</v>
      </c>
      <c r="I2033">
        <v>-7860937</v>
      </c>
      <c r="J2033">
        <v>16348780</v>
      </c>
      <c r="P2033">
        <v>200</v>
      </c>
      <c r="Q2033" t="s">
        <v>4109</v>
      </c>
    </row>
    <row r="2034" spans="1:17" x14ac:dyDescent="0.3">
      <c r="A2034" t="s">
        <v>17</v>
      </c>
      <c r="B2034" t="str">
        <f>"688538"</f>
        <v>688538</v>
      </c>
      <c r="C2034" t="s">
        <v>4110</v>
      </c>
      <c r="D2034" t="s">
        <v>150</v>
      </c>
      <c r="F2034">
        <v>-1640782805</v>
      </c>
      <c r="G2034">
        <v>-4260592766</v>
      </c>
      <c r="H2034">
        <v>-5191748606</v>
      </c>
      <c r="I2034">
        <v>-8463741367</v>
      </c>
      <c r="J2034">
        <v>-3533827053</v>
      </c>
      <c r="P2034">
        <v>37</v>
      </c>
      <c r="Q2034" t="s">
        <v>4111</v>
      </c>
    </row>
    <row r="2035" spans="1:17" x14ac:dyDescent="0.3">
      <c r="A2035" t="s">
        <v>17</v>
      </c>
      <c r="B2035" t="str">
        <f>"688550"</f>
        <v>688550</v>
      </c>
      <c r="C2035" t="s">
        <v>4112</v>
      </c>
      <c r="D2035" t="s">
        <v>150</v>
      </c>
      <c r="F2035">
        <v>-226490938</v>
      </c>
      <c r="G2035">
        <v>52902542</v>
      </c>
      <c r="H2035">
        <v>65036771</v>
      </c>
      <c r="I2035">
        <v>16199573</v>
      </c>
      <c r="J2035">
        <v>-17915654</v>
      </c>
      <c r="P2035">
        <v>54</v>
      </c>
      <c r="Q2035" t="s">
        <v>4113</v>
      </c>
    </row>
    <row r="2036" spans="1:17" x14ac:dyDescent="0.3">
      <c r="A2036" t="s">
        <v>17</v>
      </c>
      <c r="B2036" t="str">
        <f>"688551"</f>
        <v>688551</v>
      </c>
      <c r="C2036" t="s">
        <v>4114</v>
      </c>
      <c r="D2036" t="s">
        <v>188</v>
      </c>
      <c r="F2036">
        <v>-31834407</v>
      </c>
      <c r="G2036">
        <v>26966952</v>
      </c>
      <c r="H2036">
        <v>26669953</v>
      </c>
      <c r="I2036">
        <v>3153438</v>
      </c>
      <c r="J2036">
        <v>12316552</v>
      </c>
      <c r="P2036">
        <v>40</v>
      </c>
      <c r="Q2036" t="s">
        <v>4115</v>
      </c>
    </row>
    <row r="2037" spans="1:17" x14ac:dyDescent="0.3">
      <c r="A2037" t="s">
        <v>17</v>
      </c>
      <c r="B2037" t="str">
        <f>"688553"</f>
        <v>688553</v>
      </c>
      <c r="C2037" t="s">
        <v>4116</v>
      </c>
      <c r="D2037" t="s">
        <v>113</v>
      </c>
      <c r="F2037">
        <v>12911889</v>
      </c>
      <c r="G2037">
        <v>229708172</v>
      </c>
      <c r="H2037">
        <v>216217866</v>
      </c>
      <c r="I2037">
        <v>106051476</v>
      </c>
      <c r="J2037">
        <v>-15112562</v>
      </c>
      <c r="P2037">
        <v>30</v>
      </c>
      <c r="Q2037" t="s">
        <v>4117</v>
      </c>
    </row>
    <row r="2038" spans="1:17" x14ac:dyDescent="0.3">
      <c r="A2038" t="s">
        <v>17</v>
      </c>
      <c r="B2038" t="str">
        <f>"688555"</f>
        <v>688555</v>
      </c>
      <c r="C2038" t="s">
        <v>4118</v>
      </c>
      <c r="D2038" t="s">
        <v>212</v>
      </c>
      <c r="F2038">
        <v>-356088567</v>
      </c>
      <c r="G2038">
        <v>-94399167</v>
      </c>
      <c r="H2038">
        <v>66983867</v>
      </c>
      <c r="I2038">
        <v>31991559</v>
      </c>
      <c r="J2038">
        <v>36541260</v>
      </c>
      <c r="K2038">
        <v>9112199</v>
      </c>
      <c r="P2038">
        <v>55</v>
      </c>
      <c r="Q2038" t="s">
        <v>4119</v>
      </c>
    </row>
    <row r="2039" spans="1:17" x14ac:dyDescent="0.3">
      <c r="A2039" t="s">
        <v>17</v>
      </c>
      <c r="B2039" t="str">
        <f>"688556"</f>
        <v>688556</v>
      </c>
      <c r="C2039" t="s">
        <v>4120</v>
      </c>
      <c r="D2039" t="s">
        <v>188</v>
      </c>
      <c r="F2039">
        <v>-6656735</v>
      </c>
      <c r="G2039">
        <v>-94477899</v>
      </c>
      <c r="H2039">
        <v>-49460772</v>
      </c>
      <c r="I2039">
        <v>-64401446</v>
      </c>
      <c r="J2039">
        <v>-26809144</v>
      </c>
      <c r="K2039">
        <v>-80062023</v>
      </c>
      <c r="P2039">
        <v>69</v>
      </c>
      <c r="Q2039" t="s">
        <v>4121</v>
      </c>
    </row>
    <row r="2040" spans="1:17" x14ac:dyDescent="0.3">
      <c r="A2040" t="s">
        <v>17</v>
      </c>
      <c r="B2040" t="str">
        <f>"688557"</f>
        <v>688557</v>
      </c>
      <c r="C2040" t="s">
        <v>4122</v>
      </c>
      <c r="D2040" t="s">
        <v>78</v>
      </c>
      <c r="F2040">
        <v>-69718872</v>
      </c>
      <c r="G2040">
        <v>-7767168</v>
      </c>
      <c r="H2040">
        <v>68918346</v>
      </c>
      <c r="I2040">
        <v>-58882738</v>
      </c>
      <c r="J2040">
        <v>-99929602</v>
      </c>
      <c r="P2040">
        <v>48</v>
      </c>
      <c r="Q2040" t="s">
        <v>4123</v>
      </c>
    </row>
    <row r="2041" spans="1:17" x14ac:dyDescent="0.3">
      <c r="A2041" t="s">
        <v>17</v>
      </c>
      <c r="B2041" t="str">
        <f>"688558"</f>
        <v>688558</v>
      </c>
      <c r="C2041" t="s">
        <v>4124</v>
      </c>
      <c r="D2041" t="s">
        <v>78</v>
      </c>
      <c r="F2041">
        <v>62190840</v>
      </c>
      <c r="G2041">
        <v>63155009</v>
      </c>
      <c r="H2041">
        <v>85775611</v>
      </c>
      <c r="I2041">
        <v>19638169</v>
      </c>
      <c r="J2041">
        <v>37996181</v>
      </c>
      <c r="K2041">
        <v>52555041</v>
      </c>
      <c r="P2041">
        <v>96</v>
      </c>
      <c r="Q2041" t="s">
        <v>4125</v>
      </c>
    </row>
    <row r="2042" spans="1:17" x14ac:dyDescent="0.3">
      <c r="A2042" t="s">
        <v>17</v>
      </c>
      <c r="B2042" t="str">
        <f>"688559"</f>
        <v>688559</v>
      </c>
      <c r="C2042" t="s">
        <v>4126</v>
      </c>
      <c r="D2042" t="s">
        <v>78</v>
      </c>
      <c r="F2042">
        <v>150288616</v>
      </c>
      <c r="G2042">
        <v>-86635484</v>
      </c>
      <c r="H2042">
        <v>-116466888</v>
      </c>
      <c r="I2042">
        <v>-290936595</v>
      </c>
      <c r="J2042">
        <v>-189501316</v>
      </c>
      <c r="K2042">
        <v>-106056501</v>
      </c>
      <c r="P2042">
        <v>68</v>
      </c>
      <c r="Q2042" t="s">
        <v>4127</v>
      </c>
    </row>
    <row r="2043" spans="1:17" x14ac:dyDescent="0.3">
      <c r="A2043" t="s">
        <v>17</v>
      </c>
      <c r="B2043" t="str">
        <f>"688560"</f>
        <v>688560</v>
      </c>
      <c r="C2043" t="s">
        <v>4128</v>
      </c>
      <c r="D2043" t="s">
        <v>188</v>
      </c>
      <c r="F2043">
        <v>-217482365</v>
      </c>
      <c r="G2043">
        <v>-15792234</v>
      </c>
      <c r="H2043">
        <v>54879884</v>
      </c>
      <c r="I2043">
        <v>16008080</v>
      </c>
      <c r="J2043">
        <v>61012356</v>
      </c>
      <c r="K2043">
        <v>-43435497</v>
      </c>
      <c r="P2043">
        <v>39</v>
      </c>
      <c r="Q2043" t="s">
        <v>4129</v>
      </c>
    </row>
    <row r="2044" spans="1:17" x14ac:dyDescent="0.3">
      <c r="A2044" t="s">
        <v>17</v>
      </c>
      <c r="B2044" t="str">
        <f>"688561"</f>
        <v>688561</v>
      </c>
      <c r="C2044" t="s">
        <v>4130</v>
      </c>
      <c r="D2044" t="s">
        <v>212</v>
      </c>
      <c r="F2044">
        <v>-1550885733</v>
      </c>
      <c r="G2044">
        <v>-982627686</v>
      </c>
      <c r="H2044">
        <v>-1396583905</v>
      </c>
      <c r="I2044">
        <v>-1056166090</v>
      </c>
      <c r="J2044">
        <v>-578325662</v>
      </c>
      <c r="P2044">
        <v>192</v>
      </c>
      <c r="Q2044" t="s">
        <v>4131</v>
      </c>
    </row>
    <row r="2045" spans="1:17" x14ac:dyDescent="0.3">
      <c r="A2045" t="s">
        <v>17</v>
      </c>
      <c r="B2045" t="str">
        <f>"688565"</f>
        <v>688565</v>
      </c>
      <c r="C2045" t="s">
        <v>4132</v>
      </c>
      <c r="D2045" t="s">
        <v>33</v>
      </c>
      <c r="F2045">
        <v>-96769211</v>
      </c>
      <c r="G2045">
        <v>2237113</v>
      </c>
      <c r="H2045">
        <v>4379649</v>
      </c>
      <c r="I2045">
        <v>-68612913</v>
      </c>
      <c r="J2045">
        <v>797766</v>
      </c>
      <c r="P2045">
        <v>38</v>
      </c>
      <c r="Q2045" t="s">
        <v>4133</v>
      </c>
    </row>
    <row r="2046" spans="1:17" x14ac:dyDescent="0.3">
      <c r="A2046" t="s">
        <v>17</v>
      </c>
      <c r="B2046" t="str">
        <f>"688566"</f>
        <v>688566</v>
      </c>
      <c r="C2046" t="s">
        <v>4134</v>
      </c>
      <c r="D2046" t="s">
        <v>113</v>
      </c>
      <c r="F2046">
        <v>66770685</v>
      </c>
      <c r="G2046">
        <v>93682265</v>
      </c>
      <c r="H2046">
        <v>85235643</v>
      </c>
      <c r="I2046">
        <v>89772528</v>
      </c>
      <c r="J2046">
        <v>92880277</v>
      </c>
      <c r="K2046">
        <v>-7397340</v>
      </c>
      <c r="P2046">
        <v>69</v>
      </c>
      <c r="Q2046" t="s">
        <v>4135</v>
      </c>
    </row>
    <row r="2047" spans="1:17" x14ac:dyDescent="0.3">
      <c r="A2047" t="s">
        <v>17</v>
      </c>
      <c r="B2047" t="str">
        <f>"688567"</f>
        <v>688567</v>
      </c>
      <c r="C2047" t="s">
        <v>4136</v>
      </c>
      <c r="D2047" t="s">
        <v>188</v>
      </c>
      <c r="F2047">
        <v>-2098000066</v>
      </c>
      <c r="G2047">
        <v>-3080016689</v>
      </c>
      <c r="H2047">
        <v>-1331952190</v>
      </c>
      <c r="I2047">
        <v>-843793709</v>
      </c>
      <c r="J2047">
        <v>-341630381</v>
      </c>
      <c r="K2047">
        <v>-379990263</v>
      </c>
      <c r="P2047">
        <v>107</v>
      </c>
      <c r="Q2047" t="s">
        <v>4137</v>
      </c>
    </row>
    <row r="2048" spans="1:17" x14ac:dyDescent="0.3">
      <c r="A2048" t="s">
        <v>17</v>
      </c>
      <c r="B2048" t="str">
        <f>"688568"</f>
        <v>688568</v>
      </c>
      <c r="C2048" t="s">
        <v>4138</v>
      </c>
      <c r="D2048" t="s">
        <v>212</v>
      </c>
      <c r="F2048">
        <v>101105833</v>
      </c>
      <c r="G2048">
        <v>64035076</v>
      </c>
      <c r="H2048">
        <v>-13849983</v>
      </c>
      <c r="I2048">
        <v>-1708252</v>
      </c>
      <c r="J2048">
        <v>125701</v>
      </c>
      <c r="K2048">
        <v>-13059623</v>
      </c>
      <c r="P2048">
        <v>98</v>
      </c>
      <c r="Q2048" t="s">
        <v>4139</v>
      </c>
    </row>
    <row r="2049" spans="1:17" x14ac:dyDescent="0.3">
      <c r="A2049" t="s">
        <v>17</v>
      </c>
      <c r="B2049" t="str">
        <f>"688569"</f>
        <v>688569</v>
      </c>
      <c r="C2049" t="s">
        <v>4140</v>
      </c>
      <c r="D2049" t="s">
        <v>78</v>
      </c>
      <c r="F2049">
        <v>69075469</v>
      </c>
      <c r="G2049">
        <v>161906186</v>
      </c>
      <c r="H2049">
        <v>-82862023</v>
      </c>
      <c r="I2049">
        <v>40906309</v>
      </c>
      <c r="J2049">
        <v>-2619698</v>
      </c>
      <c r="K2049">
        <v>-131833704</v>
      </c>
      <c r="P2049">
        <v>31</v>
      </c>
      <c r="Q2049" t="s">
        <v>4141</v>
      </c>
    </row>
    <row r="2050" spans="1:17" x14ac:dyDescent="0.3">
      <c r="A2050" t="s">
        <v>17</v>
      </c>
      <c r="B2050" t="str">
        <f>"688571"</f>
        <v>688571</v>
      </c>
      <c r="C2050" t="s">
        <v>4142</v>
      </c>
      <c r="D2050" t="s">
        <v>133</v>
      </c>
      <c r="F2050">
        <v>99892202</v>
      </c>
      <c r="G2050">
        <v>86521933</v>
      </c>
      <c r="H2050">
        <v>41035957</v>
      </c>
      <c r="I2050">
        <v>22195635</v>
      </c>
      <c r="J2050">
        <v>58549519</v>
      </c>
      <c r="P2050">
        <v>29</v>
      </c>
      <c r="Q2050" t="s">
        <v>4143</v>
      </c>
    </row>
    <row r="2051" spans="1:17" x14ac:dyDescent="0.3">
      <c r="A2051" t="s">
        <v>17</v>
      </c>
      <c r="B2051" t="str">
        <f>"688575"</f>
        <v>688575</v>
      </c>
      <c r="C2051" t="s">
        <v>4144</v>
      </c>
      <c r="D2051" t="s">
        <v>113</v>
      </c>
      <c r="F2051">
        <v>-113043423</v>
      </c>
      <c r="G2051">
        <v>92972022</v>
      </c>
      <c r="H2051">
        <v>-59702487</v>
      </c>
      <c r="I2051">
        <v>-156298049</v>
      </c>
      <c r="J2051">
        <v>-52493133</v>
      </c>
      <c r="P2051">
        <v>48</v>
      </c>
      <c r="Q2051" t="s">
        <v>4145</v>
      </c>
    </row>
    <row r="2052" spans="1:17" x14ac:dyDescent="0.3">
      <c r="A2052" t="s">
        <v>17</v>
      </c>
      <c r="B2052" t="str">
        <f>"688577"</f>
        <v>688577</v>
      </c>
      <c r="C2052" t="s">
        <v>4146</v>
      </c>
      <c r="D2052" t="s">
        <v>78</v>
      </c>
      <c r="F2052">
        <v>-129690083</v>
      </c>
      <c r="G2052">
        <v>-16531924</v>
      </c>
      <c r="H2052">
        <v>26369464</v>
      </c>
      <c r="I2052">
        <v>-3496606</v>
      </c>
      <c r="J2052">
        <v>-34855083</v>
      </c>
      <c r="K2052">
        <v>17005542</v>
      </c>
      <c r="P2052">
        <v>56</v>
      </c>
      <c r="Q2052" t="s">
        <v>4147</v>
      </c>
    </row>
    <row r="2053" spans="1:17" x14ac:dyDescent="0.3">
      <c r="A2053" t="s">
        <v>17</v>
      </c>
      <c r="B2053" t="str">
        <f>"688578"</f>
        <v>688578</v>
      </c>
      <c r="C2053" t="s">
        <v>4148</v>
      </c>
      <c r="D2053" t="s">
        <v>113</v>
      </c>
      <c r="F2053">
        <v>-162954396</v>
      </c>
      <c r="G2053">
        <v>-285199617</v>
      </c>
      <c r="H2053">
        <v>-348740236</v>
      </c>
      <c r="I2053">
        <v>-133239714</v>
      </c>
      <c r="J2053">
        <v>13116822</v>
      </c>
      <c r="P2053">
        <v>47</v>
      </c>
      <c r="Q2053" t="s">
        <v>4149</v>
      </c>
    </row>
    <row r="2054" spans="1:17" x14ac:dyDescent="0.3">
      <c r="A2054" t="s">
        <v>17</v>
      </c>
      <c r="B2054" t="str">
        <f>"688579"</f>
        <v>688579</v>
      </c>
      <c r="C2054" t="s">
        <v>4150</v>
      </c>
      <c r="D2054" t="s">
        <v>212</v>
      </c>
      <c r="F2054">
        <v>-38418991</v>
      </c>
      <c r="G2054">
        <v>-51116814</v>
      </c>
      <c r="H2054">
        <v>-166765759</v>
      </c>
      <c r="I2054">
        <v>-42452625</v>
      </c>
      <c r="J2054">
        <v>71092878</v>
      </c>
      <c r="K2054">
        <v>3583898</v>
      </c>
      <c r="P2054">
        <v>34</v>
      </c>
      <c r="Q2054" t="s">
        <v>4151</v>
      </c>
    </row>
    <row r="2055" spans="1:17" x14ac:dyDescent="0.3">
      <c r="A2055" t="s">
        <v>17</v>
      </c>
      <c r="B2055" t="str">
        <f>"688580"</f>
        <v>688580</v>
      </c>
      <c r="C2055" t="s">
        <v>4152</v>
      </c>
      <c r="D2055" t="s">
        <v>113</v>
      </c>
      <c r="F2055">
        <v>70022521</v>
      </c>
      <c r="G2055">
        <v>109189210</v>
      </c>
      <c r="H2055">
        <v>120243926</v>
      </c>
      <c r="I2055">
        <v>44942106</v>
      </c>
      <c r="J2055">
        <v>37802369</v>
      </c>
      <c r="K2055">
        <v>13621555</v>
      </c>
      <c r="P2055">
        <v>247</v>
      </c>
      <c r="Q2055" t="s">
        <v>4153</v>
      </c>
    </row>
    <row r="2056" spans="1:17" x14ac:dyDescent="0.3">
      <c r="A2056" t="s">
        <v>17</v>
      </c>
      <c r="B2056" t="str">
        <f>"688585"</f>
        <v>688585</v>
      </c>
      <c r="C2056" t="s">
        <v>4154</v>
      </c>
      <c r="D2056" t="s">
        <v>133</v>
      </c>
      <c r="F2056">
        <v>-117183806</v>
      </c>
      <c r="G2056">
        <v>-89607909</v>
      </c>
      <c r="H2056">
        <v>28661771</v>
      </c>
      <c r="I2056">
        <v>-190398263</v>
      </c>
      <c r="J2056">
        <v>172004087</v>
      </c>
      <c r="K2056">
        <v>282723274</v>
      </c>
      <c r="P2056">
        <v>26</v>
      </c>
      <c r="Q2056" t="s">
        <v>4155</v>
      </c>
    </row>
    <row r="2057" spans="1:17" x14ac:dyDescent="0.3">
      <c r="A2057" t="s">
        <v>17</v>
      </c>
      <c r="B2057" t="str">
        <f>"688586"</f>
        <v>688586</v>
      </c>
      <c r="C2057" t="s">
        <v>4156</v>
      </c>
      <c r="D2057" t="s">
        <v>92</v>
      </c>
      <c r="F2057">
        <v>278464965</v>
      </c>
      <c r="G2057">
        <v>169241341</v>
      </c>
      <c r="H2057">
        <v>53593120</v>
      </c>
      <c r="I2057">
        <v>-60196237</v>
      </c>
      <c r="J2057">
        <v>17559010</v>
      </c>
      <c r="K2057">
        <v>-60656988</v>
      </c>
      <c r="P2057">
        <v>71</v>
      </c>
      <c r="Q2057" t="s">
        <v>4157</v>
      </c>
    </row>
    <row r="2058" spans="1:17" x14ac:dyDescent="0.3">
      <c r="A2058" t="s">
        <v>17</v>
      </c>
      <c r="B2058" t="str">
        <f>"688588"</f>
        <v>688588</v>
      </c>
      <c r="C2058" t="s">
        <v>4158</v>
      </c>
      <c r="D2058" t="s">
        <v>212</v>
      </c>
      <c r="F2058">
        <v>116272341</v>
      </c>
      <c r="G2058">
        <v>159598887</v>
      </c>
      <c r="H2058">
        <v>121935549</v>
      </c>
      <c r="I2058">
        <v>31638569</v>
      </c>
      <c r="J2058">
        <v>39742955</v>
      </c>
      <c r="K2058">
        <v>-9218166</v>
      </c>
      <c r="P2058">
        <v>80</v>
      </c>
      <c r="Q2058" t="s">
        <v>4159</v>
      </c>
    </row>
    <row r="2059" spans="1:17" x14ac:dyDescent="0.3">
      <c r="A2059" t="s">
        <v>17</v>
      </c>
      <c r="B2059" t="str">
        <f>"688589"</f>
        <v>688589</v>
      </c>
      <c r="C2059" t="s">
        <v>4160</v>
      </c>
      <c r="D2059" t="s">
        <v>150</v>
      </c>
      <c r="F2059">
        <v>17528075</v>
      </c>
      <c r="G2059">
        <v>-14266337</v>
      </c>
      <c r="H2059">
        <v>20799754</v>
      </c>
      <c r="I2059">
        <v>-14568634</v>
      </c>
      <c r="J2059">
        <v>-9361866</v>
      </c>
      <c r="K2059">
        <v>-14708878</v>
      </c>
      <c r="P2059">
        <v>74</v>
      </c>
      <c r="Q2059" t="s">
        <v>4161</v>
      </c>
    </row>
    <row r="2060" spans="1:17" x14ac:dyDescent="0.3">
      <c r="A2060" t="s">
        <v>17</v>
      </c>
      <c r="B2060" t="str">
        <f>"688590"</f>
        <v>688590</v>
      </c>
      <c r="C2060" t="s">
        <v>4162</v>
      </c>
      <c r="D2060" t="s">
        <v>212</v>
      </c>
      <c r="F2060">
        <v>-48924750</v>
      </c>
      <c r="G2060">
        <v>-12930874</v>
      </c>
      <c r="H2060">
        <v>-40814950</v>
      </c>
      <c r="I2060">
        <v>-8866081</v>
      </c>
      <c r="J2060">
        <v>-72598222</v>
      </c>
      <c r="K2060">
        <v>-27076282</v>
      </c>
      <c r="P2060">
        <v>29</v>
      </c>
      <c r="Q2060" t="s">
        <v>4163</v>
      </c>
    </row>
    <row r="2061" spans="1:17" x14ac:dyDescent="0.3">
      <c r="A2061" t="s">
        <v>17</v>
      </c>
      <c r="B2061" t="str">
        <f>"688595"</f>
        <v>688595</v>
      </c>
      <c r="C2061" t="s">
        <v>4164</v>
      </c>
      <c r="D2061" t="s">
        <v>150</v>
      </c>
      <c r="F2061">
        <v>-8982314</v>
      </c>
      <c r="G2061">
        <v>-37058614</v>
      </c>
      <c r="H2061">
        <v>-49090769</v>
      </c>
      <c r="I2061">
        <v>-24027143</v>
      </c>
      <c r="J2061">
        <v>12511149</v>
      </c>
      <c r="K2061">
        <v>-5957901</v>
      </c>
      <c r="P2061">
        <v>128</v>
      </c>
      <c r="Q2061" t="s">
        <v>4165</v>
      </c>
    </row>
    <row r="2062" spans="1:17" x14ac:dyDescent="0.3">
      <c r="A2062" t="s">
        <v>17</v>
      </c>
      <c r="B2062" t="str">
        <f>"688596"</f>
        <v>688596</v>
      </c>
      <c r="C2062" t="s">
        <v>4166</v>
      </c>
      <c r="D2062" t="s">
        <v>78</v>
      </c>
      <c r="F2062">
        <v>-205602948</v>
      </c>
      <c r="G2062">
        <v>-84754825</v>
      </c>
      <c r="H2062">
        <v>48433163</v>
      </c>
      <c r="I2062">
        <v>90208889</v>
      </c>
      <c r="J2062">
        <v>-113496663</v>
      </c>
      <c r="P2062">
        <v>60</v>
      </c>
      <c r="Q2062" t="s">
        <v>4167</v>
      </c>
    </row>
    <row r="2063" spans="1:17" x14ac:dyDescent="0.3">
      <c r="A2063" t="s">
        <v>17</v>
      </c>
      <c r="B2063" t="str">
        <f>"688597"</f>
        <v>688597</v>
      </c>
      <c r="C2063" t="s">
        <v>4168</v>
      </c>
      <c r="D2063" t="s">
        <v>188</v>
      </c>
      <c r="F2063">
        <v>39057508</v>
      </c>
      <c r="G2063">
        <v>-28044543</v>
      </c>
      <c r="H2063">
        <v>92691635</v>
      </c>
      <c r="I2063">
        <v>-9402553</v>
      </c>
      <c r="J2063">
        <v>142857006</v>
      </c>
      <c r="P2063">
        <v>17</v>
      </c>
      <c r="Q2063" t="s">
        <v>4169</v>
      </c>
    </row>
    <row r="2064" spans="1:17" x14ac:dyDescent="0.3">
      <c r="A2064" t="s">
        <v>17</v>
      </c>
      <c r="B2064" t="str">
        <f>"688598"</f>
        <v>688598</v>
      </c>
      <c r="C2064" t="s">
        <v>4170</v>
      </c>
      <c r="D2064" t="s">
        <v>188</v>
      </c>
      <c r="F2064">
        <v>-573437004</v>
      </c>
      <c r="G2064">
        <v>-184078438</v>
      </c>
      <c r="H2064">
        <v>-17265707</v>
      </c>
      <c r="I2064">
        <v>14311143</v>
      </c>
      <c r="J2064">
        <v>1376042</v>
      </c>
      <c r="K2064">
        <v>24682752</v>
      </c>
      <c r="P2064">
        <v>262</v>
      </c>
      <c r="Q2064" t="s">
        <v>4171</v>
      </c>
    </row>
    <row r="2065" spans="1:17" x14ac:dyDescent="0.3">
      <c r="A2065" t="s">
        <v>17</v>
      </c>
      <c r="B2065" t="str">
        <f>"688599"</f>
        <v>688599</v>
      </c>
      <c r="C2065" t="s">
        <v>4172</v>
      </c>
      <c r="D2065" t="s">
        <v>188</v>
      </c>
      <c r="F2065">
        <v>-5329101326</v>
      </c>
      <c r="G2065">
        <v>-1689241639</v>
      </c>
      <c r="H2065">
        <v>1440375130</v>
      </c>
      <c r="I2065">
        <v>2542577130</v>
      </c>
      <c r="J2065">
        <v>-535723152</v>
      </c>
      <c r="K2065">
        <v>-954400326</v>
      </c>
      <c r="P2065">
        <v>371</v>
      </c>
      <c r="Q2065" t="s">
        <v>4173</v>
      </c>
    </row>
    <row r="2066" spans="1:17" x14ac:dyDescent="0.3">
      <c r="A2066" t="s">
        <v>17</v>
      </c>
      <c r="B2066" t="str">
        <f>"688600"</f>
        <v>688600</v>
      </c>
      <c r="C2066" t="s">
        <v>4174</v>
      </c>
      <c r="D2066" t="s">
        <v>33</v>
      </c>
      <c r="F2066">
        <v>-83601536</v>
      </c>
      <c r="G2066">
        <v>38000988</v>
      </c>
      <c r="H2066">
        <v>16773546</v>
      </c>
      <c r="I2066">
        <v>24590891</v>
      </c>
      <c r="J2066">
        <v>11102400</v>
      </c>
      <c r="K2066">
        <v>36910528</v>
      </c>
      <c r="P2066">
        <v>62</v>
      </c>
      <c r="Q2066" t="s">
        <v>4175</v>
      </c>
    </row>
    <row r="2067" spans="1:17" x14ac:dyDescent="0.3">
      <c r="A2067" t="s">
        <v>17</v>
      </c>
      <c r="B2067" t="str">
        <f>"688601"</f>
        <v>688601</v>
      </c>
      <c r="C2067" t="s">
        <v>4176</v>
      </c>
      <c r="D2067" t="s">
        <v>150</v>
      </c>
      <c r="F2067">
        <v>70394859</v>
      </c>
      <c r="G2067">
        <v>49536910</v>
      </c>
      <c r="H2067">
        <v>1335380</v>
      </c>
      <c r="I2067">
        <v>41502873</v>
      </c>
      <c r="J2067">
        <v>3474351</v>
      </c>
      <c r="P2067">
        <v>58</v>
      </c>
      <c r="Q2067" t="s">
        <v>4177</v>
      </c>
    </row>
    <row r="2068" spans="1:17" x14ac:dyDescent="0.3">
      <c r="A2068" t="s">
        <v>17</v>
      </c>
      <c r="B2068" t="str">
        <f>"688606"</f>
        <v>688606</v>
      </c>
      <c r="C2068" t="s">
        <v>4178</v>
      </c>
      <c r="D2068" t="s">
        <v>113</v>
      </c>
      <c r="F2068">
        <v>783766504</v>
      </c>
      <c r="G2068">
        <v>585609037</v>
      </c>
      <c r="H2068">
        <v>76857806</v>
      </c>
      <c r="I2068">
        <v>-16060802</v>
      </c>
      <c r="J2068">
        <v>-32124178</v>
      </c>
      <c r="P2068">
        <v>104</v>
      </c>
      <c r="Q2068" t="s">
        <v>4179</v>
      </c>
    </row>
    <row r="2069" spans="1:17" x14ac:dyDescent="0.3">
      <c r="A2069" t="s">
        <v>17</v>
      </c>
      <c r="B2069" t="str">
        <f>"688607"</f>
        <v>688607</v>
      </c>
      <c r="C2069" t="s">
        <v>4180</v>
      </c>
      <c r="D2069" t="s">
        <v>113</v>
      </c>
      <c r="F2069">
        <v>17462704</v>
      </c>
      <c r="G2069">
        <v>64283628</v>
      </c>
      <c r="H2069">
        <v>17216245</v>
      </c>
      <c r="I2069">
        <v>30494893</v>
      </c>
      <c r="J2069">
        <v>27128022</v>
      </c>
      <c r="P2069">
        <v>55</v>
      </c>
      <c r="Q2069" t="s">
        <v>4181</v>
      </c>
    </row>
    <row r="2070" spans="1:17" x14ac:dyDescent="0.3">
      <c r="A2070" t="s">
        <v>17</v>
      </c>
      <c r="B2070" t="str">
        <f>"688608"</f>
        <v>688608</v>
      </c>
      <c r="C2070" t="s">
        <v>4182</v>
      </c>
      <c r="D2070" t="s">
        <v>150</v>
      </c>
      <c r="F2070">
        <v>-182330913</v>
      </c>
      <c r="G2070">
        <v>254520077</v>
      </c>
      <c r="H2070">
        <v>26722257</v>
      </c>
      <c r="I2070">
        <v>-30780688</v>
      </c>
      <c r="J2070">
        <v>-45382323</v>
      </c>
      <c r="P2070">
        <v>122</v>
      </c>
      <c r="Q2070" t="s">
        <v>4183</v>
      </c>
    </row>
    <row r="2071" spans="1:17" x14ac:dyDescent="0.3">
      <c r="A2071" t="s">
        <v>17</v>
      </c>
      <c r="B2071" t="str">
        <f>"688609"</f>
        <v>688609</v>
      </c>
      <c r="C2071" t="s">
        <v>4184</v>
      </c>
      <c r="D2071" t="s">
        <v>126</v>
      </c>
      <c r="F2071">
        <v>-292649903</v>
      </c>
      <c r="G2071">
        <v>79143433</v>
      </c>
      <c r="H2071">
        <v>-33184991</v>
      </c>
      <c r="I2071">
        <v>29668433</v>
      </c>
      <c r="J2071">
        <v>-135298380</v>
      </c>
      <c r="P2071">
        <v>31</v>
      </c>
      <c r="Q2071" t="s">
        <v>4185</v>
      </c>
    </row>
    <row r="2072" spans="1:17" x14ac:dyDescent="0.3">
      <c r="A2072" t="s">
        <v>17</v>
      </c>
      <c r="B2072" t="str">
        <f>"688611"</f>
        <v>688611</v>
      </c>
      <c r="C2072" t="s">
        <v>4186</v>
      </c>
      <c r="D2072" t="s">
        <v>188</v>
      </c>
      <c r="F2072">
        <v>-39303137</v>
      </c>
      <c r="G2072">
        <v>65760075</v>
      </c>
      <c r="H2072">
        <v>63093831</v>
      </c>
      <c r="I2072">
        <v>114086204</v>
      </c>
      <c r="J2072">
        <v>-2796071</v>
      </c>
      <c r="P2072">
        <v>38</v>
      </c>
      <c r="Q2072" t="s">
        <v>4187</v>
      </c>
    </row>
    <row r="2073" spans="1:17" x14ac:dyDescent="0.3">
      <c r="A2073" t="s">
        <v>17</v>
      </c>
      <c r="B2073" t="str">
        <f>"688613"</f>
        <v>688613</v>
      </c>
      <c r="C2073" t="s">
        <v>4188</v>
      </c>
      <c r="D2073" t="s">
        <v>113</v>
      </c>
      <c r="F2073">
        <v>68540239</v>
      </c>
      <c r="G2073">
        <v>28473419</v>
      </c>
      <c r="H2073">
        <v>11304618</v>
      </c>
      <c r="I2073">
        <v>-19793582</v>
      </c>
      <c r="J2073">
        <v>2543117</v>
      </c>
      <c r="P2073">
        <v>51</v>
      </c>
      <c r="Q2073" t="s">
        <v>4189</v>
      </c>
    </row>
    <row r="2074" spans="1:17" x14ac:dyDescent="0.3">
      <c r="A2074" t="s">
        <v>17</v>
      </c>
      <c r="B2074" t="str">
        <f>"688616"</f>
        <v>688616</v>
      </c>
      <c r="C2074" t="s">
        <v>4190</v>
      </c>
      <c r="D2074" t="s">
        <v>188</v>
      </c>
      <c r="F2074">
        <v>-5709927</v>
      </c>
      <c r="G2074">
        <v>55594539</v>
      </c>
      <c r="H2074">
        <v>34956898</v>
      </c>
      <c r="I2074">
        <v>-47454956</v>
      </c>
      <c r="J2074">
        <v>59798442</v>
      </c>
      <c r="P2074">
        <v>23</v>
      </c>
      <c r="Q2074" t="s">
        <v>4191</v>
      </c>
    </row>
    <row r="2075" spans="1:17" x14ac:dyDescent="0.3">
      <c r="A2075" t="s">
        <v>17</v>
      </c>
      <c r="B2075" t="str">
        <f>"688617"</f>
        <v>688617</v>
      </c>
      <c r="C2075" t="s">
        <v>4192</v>
      </c>
      <c r="D2075" t="s">
        <v>113</v>
      </c>
      <c r="F2075">
        <v>14046735</v>
      </c>
      <c r="G2075">
        <v>104051705</v>
      </c>
      <c r="H2075">
        <v>-11832536</v>
      </c>
      <c r="I2075">
        <v>-13177657</v>
      </c>
      <c r="J2075">
        <v>-12277988</v>
      </c>
      <c r="P2075">
        <v>137</v>
      </c>
      <c r="Q2075" t="s">
        <v>4193</v>
      </c>
    </row>
    <row r="2076" spans="1:17" x14ac:dyDescent="0.3">
      <c r="A2076" t="s">
        <v>17</v>
      </c>
      <c r="B2076" t="str">
        <f>"688618"</f>
        <v>688618</v>
      </c>
      <c r="C2076" t="s">
        <v>4194</v>
      </c>
      <c r="D2076" t="s">
        <v>100</v>
      </c>
      <c r="F2076">
        <v>-63777046</v>
      </c>
      <c r="G2076">
        <v>12139750</v>
      </c>
      <c r="H2076">
        <v>23821028</v>
      </c>
      <c r="I2076">
        <v>17825652</v>
      </c>
      <c r="J2076">
        <v>25492018</v>
      </c>
      <c r="P2076">
        <v>41</v>
      </c>
      <c r="Q2076" t="s">
        <v>4195</v>
      </c>
    </row>
    <row r="2077" spans="1:17" x14ac:dyDescent="0.3">
      <c r="A2077" t="s">
        <v>17</v>
      </c>
      <c r="B2077" t="str">
        <f>"688619"</f>
        <v>688619</v>
      </c>
      <c r="C2077" t="s">
        <v>4196</v>
      </c>
      <c r="D2077" t="s">
        <v>212</v>
      </c>
      <c r="F2077">
        <v>-119661513</v>
      </c>
      <c r="G2077">
        <v>60601177</v>
      </c>
      <c r="H2077">
        <v>-106546742</v>
      </c>
      <c r="I2077">
        <v>-172165342</v>
      </c>
      <c r="J2077">
        <v>28044900</v>
      </c>
      <c r="P2077">
        <v>31</v>
      </c>
      <c r="Q2077" t="s">
        <v>4197</v>
      </c>
    </row>
    <row r="2078" spans="1:17" x14ac:dyDescent="0.3">
      <c r="A2078" t="s">
        <v>17</v>
      </c>
      <c r="B2078" t="str">
        <f>"688621"</f>
        <v>688621</v>
      </c>
      <c r="C2078" t="s">
        <v>4198</v>
      </c>
      <c r="D2078" t="s">
        <v>113</v>
      </c>
      <c r="F2078">
        <v>3295309</v>
      </c>
      <c r="G2078">
        <v>35961334</v>
      </c>
      <c r="H2078">
        <v>31301693</v>
      </c>
      <c r="I2078">
        <v>27698010</v>
      </c>
      <c r="J2078">
        <v>-12944211</v>
      </c>
      <c r="P2078">
        <v>63</v>
      </c>
      <c r="Q2078" t="s">
        <v>4199</v>
      </c>
    </row>
    <row r="2079" spans="1:17" x14ac:dyDescent="0.3">
      <c r="A2079" t="s">
        <v>17</v>
      </c>
      <c r="B2079" t="str">
        <f>"688622"</f>
        <v>688622</v>
      </c>
      <c r="C2079" t="s">
        <v>4200</v>
      </c>
      <c r="D2079" t="s">
        <v>78</v>
      </c>
      <c r="F2079">
        <v>-116823639</v>
      </c>
      <c r="G2079">
        <v>-4348617</v>
      </c>
      <c r="H2079">
        <v>30517645</v>
      </c>
      <c r="I2079">
        <v>-6510158</v>
      </c>
      <c r="J2079">
        <v>-16944742</v>
      </c>
      <c r="K2079">
        <v>13042783</v>
      </c>
      <c r="P2079">
        <v>29</v>
      </c>
      <c r="Q2079" t="s">
        <v>4201</v>
      </c>
    </row>
    <row r="2080" spans="1:17" x14ac:dyDescent="0.3">
      <c r="A2080" t="s">
        <v>17</v>
      </c>
      <c r="B2080" t="str">
        <f>"688625"</f>
        <v>688625</v>
      </c>
      <c r="C2080" t="s">
        <v>4202</v>
      </c>
      <c r="D2080" t="s">
        <v>133</v>
      </c>
      <c r="F2080">
        <v>220738654</v>
      </c>
      <c r="G2080">
        <v>79965068</v>
      </c>
      <c r="H2080">
        <v>58770785</v>
      </c>
      <c r="I2080">
        <v>-11014563</v>
      </c>
      <c r="J2080">
        <v>-39814263</v>
      </c>
      <c r="P2080">
        <v>63</v>
      </c>
      <c r="Q2080" t="s">
        <v>4203</v>
      </c>
    </row>
    <row r="2081" spans="1:17" x14ac:dyDescent="0.3">
      <c r="A2081" t="s">
        <v>17</v>
      </c>
      <c r="B2081" t="str">
        <f>"688626"</f>
        <v>688626</v>
      </c>
      <c r="C2081" t="s">
        <v>4204</v>
      </c>
      <c r="D2081" t="s">
        <v>113</v>
      </c>
      <c r="F2081">
        <v>32010984</v>
      </c>
      <c r="G2081">
        <v>76719119</v>
      </c>
      <c r="H2081">
        <v>134881751</v>
      </c>
      <c r="I2081">
        <v>67223352</v>
      </c>
      <c r="J2081">
        <v>44499720</v>
      </c>
      <c r="P2081">
        <v>82</v>
      </c>
      <c r="Q2081" t="s">
        <v>4205</v>
      </c>
    </row>
    <row r="2082" spans="1:17" x14ac:dyDescent="0.3">
      <c r="A2082" t="s">
        <v>17</v>
      </c>
      <c r="B2082" t="str">
        <f>"688628"</f>
        <v>688628</v>
      </c>
      <c r="C2082" t="s">
        <v>4206</v>
      </c>
      <c r="D2082" t="s">
        <v>78</v>
      </c>
      <c r="F2082">
        <v>-182522448</v>
      </c>
      <c r="G2082">
        <v>164023653</v>
      </c>
      <c r="H2082">
        <v>47715887</v>
      </c>
      <c r="I2082">
        <v>-33671748</v>
      </c>
      <c r="J2082">
        <v>-23077032</v>
      </c>
      <c r="P2082">
        <v>35</v>
      </c>
      <c r="Q2082" t="s">
        <v>4207</v>
      </c>
    </row>
    <row r="2083" spans="1:17" x14ac:dyDescent="0.3">
      <c r="A2083" t="s">
        <v>17</v>
      </c>
      <c r="B2083" t="str">
        <f>"688630"</f>
        <v>688630</v>
      </c>
      <c r="C2083" t="s">
        <v>4208</v>
      </c>
      <c r="D2083" t="s">
        <v>78</v>
      </c>
      <c r="F2083">
        <v>-102059691</v>
      </c>
      <c r="G2083">
        <v>-83096034</v>
      </c>
      <c r="H2083">
        <v>-22866913</v>
      </c>
      <c r="I2083">
        <v>-4292870</v>
      </c>
      <c r="J2083">
        <v>-37616560</v>
      </c>
      <c r="P2083">
        <v>63</v>
      </c>
      <c r="Q2083" t="s">
        <v>4209</v>
      </c>
    </row>
    <row r="2084" spans="1:17" x14ac:dyDescent="0.3">
      <c r="A2084" t="s">
        <v>17</v>
      </c>
      <c r="B2084" t="str">
        <f>"688633"</f>
        <v>688633</v>
      </c>
      <c r="C2084" t="s">
        <v>4210</v>
      </c>
      <c r="D2084" t="s">
        <v>78</v>
      </c>
      <c r="F2084">
        <v>-66041058</v>
      </c>
      <c r="G2084">
        <v>128135024</v>
      </c>
      <c r="H2084">
        <v>53942742</v>
      </c>
      <c r="I2084">
        <v>32801916</v>
      </c>
      <c r="J2084">
        <v>9387324</v>
      </c>
      <c r="P2084">
        <v>38</v>
      </c>
      <c r="Q2084" t="s">
        <v>4211</v>
      </c>
    </row>
    <row r="2085" spans="1:17" x14ac:dyDescent="0.3">
      <c r="A2085" t="s">
        <v>17</v>
      </c>
      <c r="B2085" t="str">
        <f>"688636"</f>
        <v>688636</v>
      </c>
      <c r="C2085" t="s">
        <v>4212</v>
      </c>
      <c r="D2085" t="s">
        <v>92</v>
      </c>
      <c r="F2085">
        <v>-92607030</v>
      </c>
      <c r="G2085">
        <v>21062390</v>
      </c>
      <c r="H2085">
        <v>21165588</v>
      </c>
      <c r="I2085">
        <v>30176331</v>
      </c>
      <c r="J2085">
        <v>-8212570</v>
      </c>
      <c r="P2085">
        <v>32</v>
      </c>
      <c r="Q2085" t="s">
        <v>4213</v>
      </c>
    </row>
    <row r="2086" spans="1:17" x14ac:dyDescent="0.3">
      <c r="A2086" t="s">
        <v>17</v>
      </c>
      <c r="B2086" t="str">
        <f>"688639"</f>
        <v>688639</v>
      </c>
      <c r="C2086" t="s">
        <v>4214</v>
      </c>
      <c r="D2086" t="s">
        <v>133</v>
      </c>
      <c r="F2086">
        <v>-83585022</v>
      </c>
      <c r="G2086">
        <v>37817543</v>
      </c>
      <c r="H2086">
        <v>101128521</v>
      </c>
      <c r="I2086">
        <v>25924025</v>
      </c>
      <c r="J2086">
        <v>58071903</v>
      </c>
      <c r="P2086">
        <v>58</v>
      </c>
      <c r="Q2086" t="s">
        <v>4215</v>
      </c>
    </row>
    <row r="2087" spans="1:17" x14ac:dyDescent="0.3">
      <c r="A2087" t="s">
        <v>17</v>
      </c>
      <c r="B2087" t="str">
        <f>"688655"</f>
        <v>688655</v>
      </c>
      <c r="C2087" t="s">
        <v>4216</v>
      </c>
      <c r="D2087" t="s">
        <v>150</v>
      </c>
      <c r="F2087">
        <v>13659529</v>
      </c>
      <c r="G2087">
        <v>46416289</v>
      </c>
      <c r="H2087">
        <v>-18819109</v>
      </c>
      <c r="I2087">
        <v>-9314721</v>
      </c>
      <c r="J2087">
        <v>-77232538</v>
      </c>
      <c r="P2087">
        <v>21</v>
      </c>
      <c r="Q2087" t="s">
        <v>4217</v>
      </c>
    </row>
    <row r="2088" spans="1:17" x14ac:dyDescent="0.3">
      <c r="A2088" t="s">
        <v>17</v>
      </c>
      <c r="B2088" t="str">
        <f>"688656"</f>
        <v>688656</v>
      </c>
      <c r="C2088" t="s">
        <v>4218</v>
      </c>
      <c r="D2088" t="s">
        <v>113</v>
      </c>
      <c r="F2088">
        <v>-61718865</v>
      </c>
      <c r="G2088">
        <v>2610919</v>
      </c>
      <c r="H2088">
        <v>34823256</v>
      </c>
      <c r="I2088">
        <v>21121133</v>
      </c>
      <c r="J2088">
        <v>4150009</v>
      </c>
      <c r="K2088">
        <v>-9011350</v>
      </c>
      <c r="P2088">
        <v>60</v>
      </c>
      <c r="Q2088" t="s">
        <v>4219</v>
      </c>
    </row>
    <row r="2089" spans="1:17" x14ac:dyDescent="0.3">
      <c r="A2089" t="s">
        <v>17</v>
      </c>
      <c r="B2089" t="str">
        <f>"688658"</f>
        <v>688658</v>
      </c>
      <c r="C2089" t="s">
        <v>4220</v>
      </c>
      <c r="D2089" t="s">
        <v>113</v>
      </c>
      <c r="F2089">
        <v>314823484</v>
      </c>
      <c r="G2089">
        <v>570940382</v>
      </c>
      <c r="H2089">
        <v>176926696</v>
      </c>
      <c r="I2089">
        <v>268809903</v>
      </c>
      <c r="J2089">
        <v>109523230</v>
      </c>
      <c r="P2089">
        <v>76</v>
      </c>
      <c r="Q2089" t="s">
        <v>4221</v>
      </c>
    </row>
    <row r="2090" spans="1:17" x14ac:dyDescent="0.3">
      <c r="A2090" t="s">
        <v>17</v>
      </c>
      <c r="B2090" t="str">
        <f>"688659"</f>
        <v>688659</v>
      </c>
      <c r="C2090" t="s">
        <v>4222</v>
      </c>
      <c r="D2090" t="s">
        <v>133</v>
      </c>
      <c r="F2090">
        <v>-6552677</v>
      </c>
      <c r="G2090">
        <v>-7022795</v>
      </c>
      <c r="H2090">
        <v>63293281</v>
      </c>
      <c r="I2090">
        <v>-17774420</v>
      </c>
      <c r="J2090">
        <v>-42279781</v>
      </c>
      <c r="P2090">
        <v>40</v>
      </c>
      <c r="Q2090" t="s">
        <v>4223</v>
      </c>
    </row>
    <row r="2091" spans="1:17" x14ac:dyDescent="0.3">
      <c r="A2091" t="s">
        <v>17</v>
      </c>
      <c r="B2091" t="str">
        <f>"688660"</f>
        <v>688660</v>
      </c>
      <c r="C2091" t="s">
        <v>4224</v>
      </c>
      <c r="D2091" t="s">
        <v>188</v>
      </c>
      <c r="F2091">
        <v>-114715201</v>
      </c>
      <c r="G2091">
        <v>579034758</v>
      </c>
      <c r="H2091">
        <v>2110640356</v>
      </c>
      <c r="I2091">
        <v>-48601344</v>
      </c>
      <c r="J2091">
        <v>-577075958</v>
      </c>
      <c r="P2091">
        <v>54</v>
      </c>
      <c r="Q2091" t="s">
        <v>4225</v>
      </c>
    </row>
    <row r="2092" spans="1:17" x14ac:dyDescent="0.3">
      <c r="A2092" t="s">
        <v>17</v>
      </c>
      <c r="B2092" t="str">
        <f>"688661"</f>
        <v>688661</v>
      </c>
      <c r="C2092" t="s">
        <v>4226</v>
      </c>
      <c r="D2092" t="s">
        <v>150</v>
      </c>
      <c r="F2092">
        <v>-64906497</v>
      </c>
      <c r="G2092">
        <v>28695022</v>
      </c>
      <c r="H2092">
        <v>25380225</v>
      </c>
      <c r="I2092">
        <v>5629504</v>
      </c>
      <c r="J2092">
        <v>9831549</v>
      </c>
      <c r="P2092">
        <v>65</v>
      </c>
      <c r="Q2092" t="s">
        <v>4227</v>
      </c>
    </row>
    <row r="2093" spans="1:17" x14ac:dyDescent="0.3">
      <c r="A2093" t="s">
        <v>17</v>
      </c>
      <c r="B2093" t="str">
        <f>"688662"</f>
        <v>688662</v>
      </c>
      <c r="C2093" t="s">
        <v>4228</v>
      </c>
      <c r="D2093" t="s">
        <v>150</v>
      </c>
      <c r="F2093">
        <v>20398034</v>
      </c>
      <c r="G2093">
        <v>40761056</v>
      </c>
      <c r="H2093">
        <v>85197736</v>
      </c>
      <c r="I2093">
        <v>-27520378</v>
      </c>
      <c r="J2093">
        <v>15888147</v>
      </c>
      <c r="P2093">
        <v>24</v>
      </c>
      <c r="Q2093" t="s">
        <v>4229</v>
      </c>
    </row>
    <row r="2094" spans="1:17" x14ac:dyDescent="0.3">
      <c r="A2094" t="s">
        <v>17</v>
      </c>
      <c r="B2094" t="str">
        <f>"688663"</f>
        <v>688663</v>
      </c>
      <c r="C2094" t="s">
        <v>4230</v>
      </c>
      <c r="D2094" t="s">
        <v>188</v>
      </c>
      <c r="F2094">
        <v>18841009</v>
      </c>
      <c r="G2094">
        <v>102141235</v>
      </c>
      <c r="H2094">
        <v>54826993</v>
      </c>
      <c r="I2094">
        <v>23888473</v>
      </c>
      <c r="J2094">
        <v>28420477</v>
      </c>
      <c r="P2094">
        <v>32</v>
      </c>
      <c r="Q2094" t="s">
        <v>4231</v>
      </c>
    </row>
    <row r="2095" spans="1:17" x14ac:dyDescent="0.3">
      <c r="A2095" t="s">
        <v>17</v>
      </c>
      <c r="B2095" t="str">
        <f>"688665"</f>
        <v>688665</v>
      </c>
      <c r="C2095" t="s">
        <v>4232</v>
      </c>
      <c r="D2095" t="s">
        <v>78</v>
      </c>
      <c r="F2095">
        <v>-14345671</v>
      </c>
      <c r="G2095">
        <v>56006062</v>
      </c>
      <c r="H2095">
        <v>35418135</v>
      </c>
      <c r="I2095">
        <v>-208750</v>
      </c>
      <c r="J2095">
        <v>-3748782</v>
      </c>
      <c r="P2095">
        <v>63</v>
      </c>
      <c r="Q2095" t="s">
        <v>4233</v>
      </c>
    </row>
    <row r="2096" spans="1:17" x14ac:dyDescent="0.3">
      <c r="A2096" t="s">
        <v>17</v>
      </c>
      <c r="B2096" t="str">
        <f>"688667"</f>
        <v>688667</v>
      </c>
      <c r="C2096" t="s">
        <v>4234</v>
      </c>
      <c r="D2096" t="s">
        <v>27</v>
      </c>
      <c r="F2096">
        <v>-14976136</v>
      </c>
      <c r="G2096">
        <v>-13171836</v>
      </c>
      <c r="H2096">
        <v>-30672668</v>
      </c>
      <c r="I2096">
        <v>-15722634</v>
      </c>
      <c r="J2096">
        <v>-3122679</v>
      </c>
      <c r="P2096">
        <v>66</v>
      </c>
      <c r="Q2096" t="s">
        <v>4235</v>
      </c>
    </row>
    <row r="2097" spans="1:17" x14ac:dyDescent="0.3">
      <c r="A2097" t="s">
        <v>17</v>
      </c>
      <c r="B2097" t="str">
        <f>"688668"</f>
        <v>688668</v>
      </c>
      <c r="C2097" t="s">
        <v>4236</v>
      </c>
      <c r="D2097" t="s">
        <v>100</v>
      </c>
      <c r="F2097">
        <v>-101022000</v>
      </c>
      <c r="G2097">
        <v>-59668231</v>
      </c>
      <c r="H2097">
        <v>27169808</v>
      </c>
      <c r="I2097">
        <v>-45106889</v>
      </c>
      <c r="J2097">
        <v>-25313098</v>
      </c>
      <c r="P2097">
        <v>44</v>
      </c>
      <c r="Q2097" t="s">
        <v>4237</v>
      </c>
    </row>
    <row r="2098" spans="1:17" x14ac:dyDescent="0.3">
      <c r="A2098" t="s">
        <v>17</v>
      </c>
      <c r="B2098" t="str">
        <f>"688669"</f>
        <v>688669</v>
      </c>
      <c r="C2098" t="s">
        <v>4238</v>
      </c>
      <c r="D2098" t="s">
        <v>133</v>
      </c>
      <c r="F2098">
        <v>-375735362</v>
      </c>
      <c r="G2098">
        <v>-141841043</v>
      </c>
      <c r="H2098">
        <v>4804572</v>
      </c>
      <c r="I2098">
        <v>-103268262</v>
      </c>
      <c r="J2098">
        <v>-46605028</v>
      </c>
      <c r="P2098">
        <v>36</v>
      </c>
      <c r="Q2098" t="s">
        <v>4239</v>
      </c>
    </row>
    <row r="2099" spans="1:17" x14ac:dyDescent="0.3">
      <c r="A2099" t="s">
        <v>17</v>
      </c>
      <c r="B2099" t="str">
        <f>"688670"</f>
        <v>688670</v>
      </c>
      <c r="C2099" t="s">
        <v>4240</v>
      </c>
      <c r="D2099" t="s">
        <v>113</v>
      </c>
      <c r="F2099">
        <v>-282413428</v>
      </c>
      <c r="G2099">
        <v>68661356</v>
      </c>
      <c r="H2099">
        <v>-75171631</v>
      </c>
      <c r="I2099">
        <v>-41698131</v>
      </c>
      <c r="J2099">
        <v>-67123908</v>
      </c>
      <c r="P2099">
        <v>19</v>
      </c>
      <c r="Q2099" t="s">
        <v>4241</v>
      </c>
    </row>
    <row r="2100" spans="1:17" x14ac:dyDescent="0.3">
      <c r="A2100" t="s">
        <v>17</v>
      </c>
      <c r="B2100" t="str">
        <f>"688676"</f>
        <v>688676</v>
      </c>
      <c r="C2100" t="s">
        <v>4242</v>
      </c>
      <c r="D2100" t="s">
        <v>188</v>
      </c>
      <c r="F2100">
        <v>21541567</v>
      </c>
      <c r="G2100">
        <v>-36811400</v>
      </c>
      <c r="H2100">
        <v>169992479</v>
      </c>
      <c r="I2100">
        <v>210483508</v>
      </c>
      <c r="J2100">
        <v>75999732</v>
      </c>
      <c r="P2100">
        <v>43</v>
      </c>
      <c r="Q2100" t="s">
        <v>4243</v>
      </c>
    </row>
    <row r="2101" spans="1:17" x14ac:dyDescent="0.3">
      <c r="A2101" t="s">
        <v>17</v>
      </c>
      <c r="B2101" t="str">
        <f>"688677"</f>
        <v>688677</v>
      </c>
      <c r="C2101" t="s">
        <v>4244</v>
      </c>
      <c r="D2101" t="s">
        <v>113</v>
      </c>
      <c r="F2101">
        <v>3916155</v>
      </c>
      <c r="G2101">
        <v>46756956</v>
      </c>
      <c r="H2101">
        <v>43018829</v>
      </c>
      <c r="I2101">
        <v>14285097</v>
      </c>
      <c r="J2101">
        <v>58794075</v>
      </c>
      <c r="P2101">
        <v>94</v>
      </c>
      <c r="Q2101" t="s">
        <v>4245</v>
      </c>
    </row>
    <row r="2102" spans="1:17" x14ac:dyDescent="0.3">
      <c r="A2102" t="s">
        <v>17</v>
      </c>
      <c r="B2102" t="str">
        <f>"688678"</f>
        <v>688678</v>
      </c>
      <c r="C2102" t="s">
        <v>4246</v>
      </c>
      <c r="D2102" t="s">
        <v>150</v>
      </c>
      <c r="F2102">
        <v>-205571713</v>
      </c>
      <c r="G2102">
        <v>-35476909</v>
      </c>
      <c r="H2102">
        <v>-43580809</v>
      </c>
      <c r="I2102">
        <v>-47380467</v>
      </c>
      <c r="J2102">
        <v>5867702</v>
      </c>
      <c r="K2102">
        <v>-3111382</v>
      </c>
      <c r="P2102">
        <v>29</v>
      </c>
      <c r="Q2102" t="s">
        <v>4247</v>
      </c>
    </row>
    <row r="2103" spans="1:17" x14ac:dyDescent="0.3">
      <c r="A2103" t="s">
        <v>17</v>
      </c>
      <c r="B2103" t="str">
        <f>"688679"</f>
        <v>688679</v>
      </c>
      <c r="C2103" t="s">
        <v>4248</v>
      </c>
      <c r="D2103" t="s">
        <v>33</v>
      </c>
      <c r="F2103">
        <v>-237148097</v>
      </c>
      <c r="G2103">
        <v>31217029</v>
      </c>
      <c r="H2103">
        <v>56813323</v>
      </c>
      <c r="I2103">
        <v>-33972484</v>
      </c>
      <c r="J2103">
        <v>-146106099</v>
      </c>
      <c r="K2103">
        <v>-63294345</v>
      </c>
      <c r="P2103">
        <v>31</v>
      </c>
      <c r="Q2103" t="s">
        <v>4249</v>
      </c>
    </row>
    <row r="2104" spans="1:17" x14ac:dyDescent="0.3">
      <c r="A2104" t="s">
        <v>17</v>
      </c>
      <c r="B2104" t="str">
        <f>"688680"</f>
        <v>688680</v>
      </c>
      <c r="C2104" t="s">
        <v>4250</v>
      </c>
      <c r="D2104" t="s">
        <v>188</v>
      </c>
      <c r="F2104">
        <v>-1525461273</v>
      </c>
      <c r="G2104">
        <v>-221870035</v>
      </c>
      <c r="H2104">
        <v>-34954217</v>
      </c>
      <c r="I2104">
        <v>-133439209</v>
      </c>
      <c r="J2104">
        <v>-134698004</v>
      </c>
      <c r="P2104">
        <v>79</v>
      </c>
      <c r="Q2104" t="s">
        <v>4251</v>
      </c>
    </row>
    <row r="2105" spans="1:17" x14ac:dyDescent="0.3">
      <c r="A2105" t="s">
        <v>17</v>
      </c>
      <c r="B2105" t="str">
        <f>"688681"</f>
        <v>688681</v>
      </c>
      <c r="C2105" t="s">
        <v>4252</v>
      </c>
      <c r="D2105" t="s">
        <v>188</v>
      </c>
      <c r="F2105">
        <v>-22571510</v>
      </c>
      <c r="G2105">
        <v>28212589</v>
      </c>
      <c r="H2105">
        <v>34508302</v>
      </c>
      <c r="I2105">
        <v>-17839394</v>
      </c>
      <c r="J2105">
        <v>-765302</v>
      </c>
      <c r="P2105">
        <v>31</v>
      </c>
      <c r="Q2105" t="s">
        <v>4253</v>
      </c>
    </row>
    <row r="2106" spans="1:17" x14ac:dyDescent="0.3">
      <c r="A2106" t="s">
        <v>17</v>
      </c>
      <c r="B2106" t="str">
        <f>"688682"</f>
        <v>688682</v>
      </c>
      <c r="C2106" t="s">
        <v>4254</v>
      </c>
      <c r="D2106" t="s">
        <v>92</v>
      </c>
      <c r="F2106">
        <v>6592471</v>
      </c>
      <c r="G2106">
        <v>28349118</v>
      </c>
      <c r="H2106">
        <v>22405301</v>
      </c>
      <c r="I2106">
        <v>16132930</v>
      </c>
      <c r="J2106">
        <v>17531739</v>
      </c>
      <c r="P2106">
        <v>33</v>
      </c>
      <c r="Q2106" t="s">
        <v>4255</v>
      </c>
    </row>
    <row r="2107" spans="1:17" x14ac:dyDescent="0.3">
      <c r="A2107" t="s">
        <v>17</v>
      </c>
      <c r="B2107" t="str">
        <f>"688683"</f>
        <v>688683</v>
      </c>
      <c r="C2107" t="s">
        <v>4256</v>
      </c>
      <c r="D2107" t="s">
        <v>150</v>
      </c>
      <c r="F2107">
        <v>-46329933</v>
      </c>
      <c r="G2107">
        <v>-22067039</v>
      </c>
      <c r="H2107">
        <v>-7383530</v>
      </c>
      <c r="I2107">
        <v>35833222</v>
      </c>
      <c r="J2107">
        <v>-10654386</v>
      </c>
      <c r="P2107">
        <v>18</v>
      </c>
      <c r="Q2107" t="s">
        <v>4257</v>
      </c>
    </row>
    <row r="2108" spans="1:17" x14ac:dyDescent="0.3">
      <c r="A2108" t="s">
        <v>17</v>
      </c>
      <c r="B2108" t="str">
        <f>"688685"</f>
        <v>688685</v>
      </c>
      <c r="C2108" t="s">
        <v>4258</v>
      </c>
      <c r="D2108" t="s">
        <v>92</v>
      </c>
      <c r="F2108">
        <v>85808278</v>
      </c>
      <c r="G2108">
        <v>-18633704</v>
      </c>
      <c r="H2108">
        <v>-86022092</v>
      </c>
      <c r="I2108">
        <v>-40747022</v>
      </c>
      <c r="J2108">
        <v>-14662987</v>
      </c>
      <c r="P2108">
        <v>21</v>
      </c>
      <c r="Q2108" t="s">
        <v>4259</v>
      </c>
    </row>
    <row r="2109" spans="1:17" x14ac:dyDescent="0.3">
      <c r="A2109" t="s">
        <v>17</v>
      </c>
      <c r="B2109" t="str">
        <f>"688686"</f>
        <v>688686</v>
      </c>
      <c r="C2109" t="s">
        <v>4260</v>
      </c>
      <c r="D2109" t="s">
        <v>78</v>
      </c>
      <c r="F2109">
        <v>39435916</v>
      </c>
      <c r="G2109">
        <v>60560075</v>
      </c>
      <c r="H2109">
        <v>146803875</v>
      </c>
      <c r="I2109">
        <v>66283493</v>
      </c>
      <c r="J2109">
        <v>1256846</v>
      </c>
      <c r="P2109">
        <v>117</v>
      </c>
      <c r="Q2109" t="s">
        <v>4261</v>
      </c>
    </row>
    <row r="2110" spans="1:17" x14ac:dyDescent="0.3">
      <c r="A2110" t="s">
        <v>17</v>
      </c>
      <c r="B2110" t="str">
        <f>"688687"</f>
        <v>688687</v>
      </c>
      <c r="C2110" t="s">
        <v>4262</v>
      </c>
      <c r="D2110" t="s">
        <v>113</v>
      </c>
      <c r="F2110">
        <v>75786311</v>
      </c>
      <c r="G2110">
        <v>89909024</v>
      </c>
      <c r="H2110">
        <v>53916320</v>
      </c>
      <c r="I2110">
        <v>9915396</v>
      </c>
      <c r="J2110">
        <v>-42189215</v>
      </c>
      <c r="P2110">
        <v>41</v>
      </c>
      <c r="Q2110" t="s">
        <v>4263</v>
      </c>
    </row>
    <row r="2111" spans="1:17" x14ac:dyDescent="0.3">
      <c r="A2111" t="s">
        <v>17</v>
      </c>
      <c r="B2111" t="str">
        <f>"688688"</f>
        <v>688688</v>
      </c>
      <c r="C2111" t="s">
        <v>4264</v>
      </c>
      <c r="H2111">
        <v>2360997000</v>
      </c>
      <c r="I2111">
        <v>-21979204000</v>
      </c>
      <c r="J2111">
        <v>14786348000</v>
      </c>
      <c r="P2111">
        <v>42</v>
      </c>
      <c r="Q2111" t="s">
        <v>4265</v>
      </c>
    </row>
    <row r="2112" spans="1:17" x14ac:dyDescent="0.3">
      <c r="A2112" t="s">
        <v>17</v>
      </c>
      <c r="B2112" t="str">
        <f>"688689"</f>
        <v>688689</v>
      </c>
      <c r="C2112" t="s">
        <v>4266</v>
      </c>
      <c r="D2112" t="s">
        <v>150</v>
      </c>
      <c r="F2112">
        <v>-16116747</v>
      </c>
      <c r="G2112">
        <v>42744210</v>
      </c>
      <c r="H2112">
        <v>89056918</v>
      </c>
      <c r="I2112">
        <v>23769806</v>
      </c>
      <c r="J2112">
        <v>26282359</v>
      </c>
      <c r="P2112">
        <v>46</v>
      </c>
      <c r="Q2112" t="s">
        <v>4267</v>
      </c>
    </row>
    <row r="2113" spans="1:17" x14ac:dyDescent="0.3">
      <c r="A2113" t="s">
        <v>17</v>
      </c>
      <c r="B2113" t="str">
        <f>"688690"</f>
        <v>688690</v>
      </c>
      <c r="C2113" t="s">
        <v>4268</v>
      </c>
      <c r="D2113" t="s">
        <v>113</v>
      </c>
      <c r="F2113">
        <v>110367686</v>
      </c>
      <c r="G2113">
        <v>27687987</v>
      </c>
      <c r="H2113">
        <v>-53309530</v>
      </c>
      <c r="I2113">
        <v>-24922950</v>
      </c>
      <c r="J2113">
        <v>1159061</v>
      </c>
      <c r="P2113">
        <v>116</v>
      </c>
      <c r="Q2113" t="s">
        <v>4269</v>
      </c>
    </row>
    <row r="2114" spans="1:17" x14ac:dyDescent="0.3">
      <c r="A2114" t="s">
        <v>17</v>
      </c>
      <c r="B2114" t="str">
        <f>"688696"</f>
        <v>688696</v>
      </c>
      <c r="C2114" t="s">
        <v>4270</v>
      </c>
      <c r="D2114" t="s">
        <v>126</v>
      </c>
      <c r="F2114">
        <v>435797645</v>
      </c>
      <c r="G2114">
        <v>7810768</v>
      </c>
      <c r="H2114">
        <v>251783389</v>
      </c>
      <c r="I2114">
        <v>-169937994</v>
      </c>
      <c r="J2114">
        <v>-30362858</v>
      </c>
      <c r="P2114">
        <v>150</v>
      </c>
      <c r="Q2114" t="s">
        <v>4271</v>
      </c>
    </row>
    <row r="2115" spans="1:17" x14ac:dyDescent="0.3">
      <c r="A2115" t="s">
        <v>17</v>
      </c>
      <c r="B2115" t="str">
        <f>"688697"</f>
        <v>688697</v>
      </c>
      <c r="C2115" t="s">
        <v>4272</v>
      </c>
      <c r="D2115" t="s">
        <v>78</v>
      </c>
      <c r="F2115">
        <v>99481640</v>
      </c>
      <c r="G2115">
        <v>38063604</v>
      </c>
      <c r="H2115">
        <v>204056039</v>
      </c>
      <c r="I2115">
        <v>11380878</v>
      </c>
      <c r="J2115">
        <v>53454259</v>
      </c>
      <c r="P2115">
        <v>16</v>
      </c>
      <c r="Q2115" t="s">
        <v>4273</v>
      </c>
    </row>
    <row r="2116" spans="1:17" x14ac:dyDescent="0.3">
      <c r="A2116" t="s">
        <v>17</v>
      </c>
      <c r="B2116" t="str">
        <f>"688698"</f>
        <v>688698</v>
      </c>
      <c r="C2116" t="s">
        <v>4274</v>
      </c>
      <c r="D2116" t="s">
        <v>78</v>
      </c>
      <c r="F2116">
        <v>-11005057</v>
      </c>
      <c r="G2116">
        <v>41230492</v>
      </c>
      <c r="H2116">
        <v>65339537</v>
      </c>
      <c r="I2116">
        <v>29817158</v>
      </c>
      <c r="J2116">
        <v>-21768157</v>
      </c>
      <c r="P2116">
        <v>75</v>
      </c>
      <c r="Q2116" t="s">
        <v>4275</v>
      </c>
    </row>
    <row r="2117" spans="1:17" x14ac:dyDescent="0.3">
      <c r="A2117" t="s">
        <v>17</v>
      </c>
      <c r="B2117" t="str">
        <f>"688699"</f>
        <v>688699</v>
      </c>
      <c r="C2117" t="s">
        <v>4276</v>
      </c>
      <c r="D2117" t="s">
        <v>150</v>
      </c>
      <c r="F2117">
        <v>275068464</v>
      </c>
      <c r="G2117">
        <v>-57025247</v>
      </c>
      <c r="H2117">
        <v>12494099</v>
      </c>
      <c r="I2117">
        <v>-2753501</v>
      </c>
      <c r="J2117">
        <v>47382568</v>
      </c>
      <c r="K2117">
        <v>15424073</v>
      </c>
      <c r="P2117">
        <v>140</v>
      </c>
      <c r="Q2117" t="s">
        <v>4277</v>
      </c>
    </row>
    <row r="2118" spans="1:17" x14ac:dyDescent="0.3">
      <c r="A2118" t="s">
        <v>17</v>
      </c>
      <c r="B2118" t="str">
        <f>"688700"</f>
        <v>688700</v>
      </c>
      <c r="C2118" t="s">
        <v>4278</v>
      </c>
      <c r="D2118" t="s">
        <v>78</v>
      </c>
      <c r="F2118">
        <v>41755618</v>
      </c>
      <c r="G2118">
        <v>57779592</v>
      </c>
      <c r="H2118">
        <v>48749207</v>
      </c>
      <c r="I2118">
        <v>4896519</v>
      </c>
      <c r="J2118">
        <v>30406172</v>
      </c>
      <c r="P2118">
        <v>34</v>
      </c>
      <c r="Q2118" t="s">
        <v>4279</v>
      </c>
    </row>
    <row r="2119" spans="1:17" x14ac:dyDescent="0.3">
      <c r="A2119" t="s">
        <v>17</v>
      </c>
      <c r="B2119" t="str">
        <f>"688701"</f>
        <v>688701</v>
      </c>
      <c r="C2119" t="s">
        <v>4280</v>
      </c>
      <c r="D2119" t="s">
        <v>33</v>
      </c>
      <c r="F2119">
        <v>-93864840</v>
      </c>
      <c r="G2119">
        <v>15052254</v>
      </c>
      <c r="H2119">
        <v>-53619964</v>
      </c>
      <c r="I2119">
        <v>-9358176</v>
      </c>
      <c r="J2119">
        <v>-3779248</v>
      </c>
      <c r="P2119">
        <v>19</v>
      </c>
      <c r="Q2119" t="s">
        <v>4281</v>
      </c>
    </row>
    <row r="2120" spans="1:17" x14ac:dyDescent="0.3">
      <c r="A2120" t="s">
        <v>17</v>
      </c>
      <c r="B2120" t="str">
        <f>"688707"</f>
        <v>688707</v>
      </c>
      <c r="C2120" t="s">
        <v>4282</v>
      </c>
      <c r="D2120" t="s">
        <v>188</v>
      </c>
      <c r="F2120">
        <v>-202048003</v>
      </c>
      <c r="G2120">
        <v>-348257903</v>
      </c>
      <c r="H2120">
        <v>-369737104</v>
      </c>
      <c r="I2120">
        <v>-707110593</v>
      </c>
      <c r="J2120">
        <v>-325301581</v>
      </c>
      <c r="P2120">
        <v>31</v>
      </c>
      <c r="Q2120" t="s">
        <v>4283</v>
      </c>
    </row>
    <row r="2121" spans="1:17" x14ac:dyDescent="0.3">
      <c r="A2121" t="s">
        <v>17</v>
      </c>
      <c r="B2121" t="str">
        <f>"688711"</f>
        <v>688711</v>
      </c>
      <c r="C2121" t="s">
        <v>4284</v>
      </c>
      <c r="D2121" t="s">
        <v>150</v>
      </c>
      <c r="F2121">
        <v>-121896792</v>
      </c>
      <c r="G2121">
        <v>-31094745</v>
      </c>
      <c r="H2121">
        <v>-10480714</v>
      </c>
      <c r="I2121">
        <v>-9904355</v>
      </c>
      <c r="J2121">
        <v>-775000</v>
      </c>
      <c r="P2121">
        <v>38</v>
      </c>
      <c r="Q2121" t="s">
        <v>4285</v>
      </c>
    </row>
    <row r="2122" spans="1:17" x14ac:dyDescent="0.3">
      <c r="A2122" t="s">
        <v>17</v>
      </c>
      <c r="B2122" t="str">
        <f>"688718"</f>
        <v>688718</v>
      </c>
      <c r="C2122" t="s">
        <v>4286</v>
      </c>
      <c r="D2122" t="s">
        <v>133</v>
      </c>
      <c r="F2122">
        <v>-92384248</v>
      </c>
      <c r="G2122">
        <v>8775472</v>
      </c>
      <c r="H2122">
        <v>-4639061</v>
      </c>
      <c r="I2122">
        <v>54013202</v>
      </c>
      <c r="J2122">
        <v>44796639</v>
      </c>
      <c r="P2122">
        <v>20</v>
      </c>
      <c r="Q2122" t="s">
        <v>4287</v>
      </c>
    </row>
    <row r="2123" spans="1:17" x14ac:dyDescent="0.3">
      <c r="A2123" t="s">
        <v>17</v>
      </c>
      <c r="B2123" t="str">
        <f>"688722"</f>
        <v>688722</v>
      </c>
      <c r="C2123" t="s">
        <v>4288</v>
      </c>
      <c r="D2123" t="s">
        <v>133</v>
      </c>
      <c r="F2123">
        <v>32546245</v>
      </c>
      <c r="G2123">
        <v>50660933</v>
      </c>
      <c r="H2123">
        <v>-57430196</v>
      </c>
      <c r="I2123">
        <v>-6420599</v>
      </c>
      <c r="J2123">
        <v>15762327</v>
      </c>
      <c r="P2123">
        <v>13</v>
      </c>
      <c r="Q2123" t="s">
        <v>4289</v>
      </c>
    </row>
    <row r="2124" spans="1:17" x14ac:dyDescent="0.3">
      <c r="A2124" t="s">
        <v>17</v>
      </c>
      <c r="B2124" t="str">
        <f>"688728"</f>
        <v>688728</v>
      </c>
      <c r="C2124" t="s">
        <v>4290</v>
      </c>
      <c r="D2124" t="s">
        <v>150</v>
      </c>
      <c r="F2124">
        <v>-3376936570</v>
      </c>
      <c r="G2124">
        <v>-709459784</v>
      </c>
      <c r="H2124">
        <v>248375306</v>
      </c>
      <c r="I2124">
        <v>-254204495</v>
      </c>
      <c r="J2124">
        <v>-311069516</v>
      </c>
      <c r="P2124">
        <v>58</v>
      </c>
      <c r="Q2124" t="s">
        <v>4291</v>
      </c>
    </row>
    <row r="2125" spans="1:17" x14ac:dyDescent="0.3">
      <c r="A2125" t="s">
        <v>17</v>
      </c>
      <c r="B2125" t="str">
        <f>"688733"</f>
        <v>688733</v>
      </c>
      <c r="C2125" t="s">
        <v>4292</v>
      </c>
      <c r="D2125" t="s">
        <v>188</v>
      </c>
      <c r="F2125">
        <v>-193490910</v>
      </c>
      <c r="G2125">
        <v>-57308827</v>
      </c>
      <c r="H2125">
        <v>-39684793</v>
      </c>
      <c r="I2125">
        <v>-22626697</v>
      </c>
      <c r="J2125">
        <v>-9917797</v>
      </c>
      <c r="P2125">
        <v>47</v>
      </c>
      <c r="Q2125" t="s">
        <v>4293</v>
      </c>
    </row>
    <row r="2126" spans="1:17" x14ac:dyDescent="0.3">
      <c r="A2126" t="s">
        <v>17</v>
      </c>
      <c r="B2126" t="str">
        <f>"688737"</f>
        <v>688737</v>
      </c>
      <c r="C2126" t="s">
        <v>4294</v>
      </c>
      <c r="D2126" t="s">
        <v>27</v>
      </c>
      <c r="F2126">
        <v>108571647</v>
      </c>
      <c r="G2126">
        <v>-364446584</v>
      </c>
      <c r="H2126">
        <v>3269396</v>
      </c>
      <c r="I2126">
        <v>-66972418</v>
      </c>
      <c r="J2126">
        <v>-4601087</v>
      </c>
      <c r="P2126">
        <v>15</v>
      </c>
      <c r="Q2126" t="s">
        <v>4295</v>
      </c>
    </row>
    <row r="2127" spans="1:17" x14ac:dyDescent="0.3">
      <c r="A2127" t="s">
        <v>17</v>
      </c>
      <c r="B2127" t="str">
        <f>"688739"</f>
        <v>688739</v>
      </c>
      <c r="C2127" t="s">
        <v>4296</v>
      </c>
      <c r="D2127" t="s">
        <v>113</v>
      </c>
      <c r="F2127">
        <v>-1950144</v>
      </c>
      <c r="G2127">
        <v>671560327</v>
      </c>
      <c r="H2127">
        <v>263852795</v>
      </c>
      <c r="I2127">
        <v>531838261</v>
      </c>
      <c r="J2127">
        <v>608093951</v>
      </c>
      <c r="P2127">
        <v>36</v>
      </c>
      <c r="Q2127" t="s">
        <v>4297</v>
      </c>
    </row>
    <row r="2128" spans="1:17" x14ac:dyDescent="0.3">
      <c r="A2128" t="s">
        <v>17</v>
      </c>
      <c r="B2128" t="str">
        <f>"688766"</f>
        <v>688766</v>
      </c>
      <c r="C2128" t="s">
        <v>4298</v>
      </c>
      <c r="D2128" t="s">
        <v>150</v>
      </c>
      <c r="F2128">
        <v>151288639</v>
      </c>
      <c r="G2128">
        <v>-74701569</v>
      </c>
      <c r="H2128">
        <v>22755522</v>
      </c>
      <c r="I2128">
        <v>-27377317</v>
      </c>
      <c r="J2128">
        <v>-13410048</v>
      </c>
      <c r="P2128">
        <v>42</v>
      </c>
      <c r="Q2128" t="s">
        <v>4299</v>
      </c>
    </row>
    <row r="2129" spans="1:17" x14ac:dyDescent="0.3">
      <c r="A2129" t="s">
        <v>17</v>
      </c>
      <c r="B2129" t="str">
        <f>"688767"</f>
        <v>688767</v>
      </c>
      <c r="C2129" t="s">
        <v>4300</v>
      </c>
      <c r="D2129" t="s">
        <v>113</v>
      </c>
      <c r="F2129">
        <v>707924804</v>
      </c>
      <c r="G2129">
        <v>389919502</v>
      </c>
      <c r="H2129">
        <v>-13805237</v>
      </c>
      <c r="I2129">
        <v>8556728</v>
      </c>
      <c r="J2129">
        <v>-19295982</v>
      </c>
      <c r="P2129">
        <v>43</v>
      </c>
      <c r="Q2129" t="s">
        <v>4301</v>
      </c>
    </row>
    <row r="2130" spans="1:17" x14ac:dyDescent="0.3">
      <c r="A2130" t="s">
        <v>17</v>
      </c>
      <c r="B2130" t="str">
        <f>"688768"</f>
        <v>688768</v>
      </c>
      <c r="C2130" t="s">
        <v>4302</v>
      </c>
      <c r="D2130" t="s">
        <v>78</v>
      </c>
      <c r="F2130">
        <v>21276964</v>
      </c>
      <c r="G2130">
        <v>10787606</v>
      </c>
      <c r="H2130">
        <v>5898449</v>
      </c>
      <c r="I2130">
        <v>-22704002</v>
      </c>
      <c r="J2130">
        <v>-15143042</v>
      </c>
      <c r="P2130">
        <v>30</v>
      </c>
      <c r="Q2130" t="s">
        <v>4303</v>
      </c>
    </row>
    <row r="2131" spans="1:17" x14ac:dyDescent="0.3">
      <c r="A2131" t="s">
        <v>17</v>
      </c>
      <c r="B2131" t="str">
        <f>"688772"</f>
        <v>688772</v>
      </c>
      <c r="C2131" t="s">
        <v>4304</v>
      </c>
      <c r="D2131" t="s">
        <v>188</v>
      </c>
      <c r="F2131">
        <v>-1722363230</v>
      </c>
      <c r="G2131">
        <v>225748404</v>
      </c>
      <c r="H2131">
        <v>-416019413</v>
      </c>
      <c r="I2131">
        <v>-754735683</v>
      </c>
      <c r="J2131">
        <v>-446095138</v>
      </c>
      <c r="P2131">
        <v>33</v>
      </c>
      <c r="Q2131" t="s">
        <v>4305</v>
      </c>
    </row>
    <row r="2132" spans="1:17" x14ac:dyDescent="0.3">
      <c r="A2132" t="s">
        <v>17</v>
      </c>
      <c r="B2132" t="str">
        <f>"688776"</f>
        <v>688776</v>
      </c>
      <c r="C2132" t="s">
        <v>4306</v>
      </c>
      <c r="D2132" t="s">
        <v>92</v>
      </c>
      <c r="F2132">
        <v>39747264</v>
      </c>
      <c r="G2132">
        <v>32241395</v>
      </c>
      <c r="H2132">
        <v>45641769</v>
      </c>
      <c r="I2132">
        <v>63437786</v>
      </c>
      <c r="J2132">
        <v>38024699</v>
      </c>
      <c r="P2132">
        <v>23</v>
      </c>
      <c r="Q2132" t="s">
        <v>4307</v>
      </c>
    </row>
    <row r="2133" spans="1:17" x14ac:dyDescent="0.3">
      <c r="A2133" t="s">
        <v>17</v>
      </c>
      <c r="B2133" t="str">
        <f>"688777"</f>
        <v>688777</v>
      </c>
      <c r="C2133" t="s">
        <v>4308</v>
      </c>
      <c r="D2133" t="s">
        <v>78</v>
      </c>
      <c r="F2133">
        <v>23015919</v>
      </c>
      <c r="G2133">
        <v>639458821</v>
      </c>
      <c r="H2133">
        <v>476665740</v>
      </c>
      <c r="I2133">
        <v>444978414</v>
      </c>
      <c r="J2133">
        <v>274435227</v>
      </c>
      <c r="K2133">
        <v>178396770</v>
      </c>
      <c r="P2133">
        <v>180</v>
      </c>
      <c r="Q2133" t="s">
        <v>4309</v>
      </c>
    </row>
    <row r="2134" spans="1:17" x14ac:dyDescent="0.3">
      <c r="A2134" t="s">
        <v>17</v>
      </c>
      <c r="B2134" t="str">
        <f>"688778"</f>
        <v>688778</v>
      </c>
      <c r="C2134" t="s">
        <v>4310</v>
      </c>
      <c r="D2134" t="s">
        <v>188</v>
      </c>
      <c r="F2134">
        <v>-124242836</v>
      </c>
      <c r="G2134">
        <v>64209758</v>
      </c>
      <c r="H2134">
        <v>-413285975</v>
      </c>
      <c r="I2134">
        <v>-501370508</v>
      </c>
      <c r="J2134">
        <v>-973077005</v>
      </c>
      <c r="P2134">
        <v>44</v>
      </c>
      <c r="Q2134" t="s">
        <v>4311</v>
      </c>
    </row>
    <row r="2135" spans="1:17" x14ac:dyDescent="0.3">
      <c r="A2135" t="s">
        <v>17</v>
      </c>
      <c r="B2135" t="str">
        <f>"688779"</f>
        <v>688779</v>
      </c>
      <c r="C2135" t="s">
        <v>4312</v>
      </c>
      <c r="D2135" t="s">
        <v>188</v>
      </c>
      <c r="F2135">
        <v>-1590019994</v>
      </c>
      <c r="G2135">
        <v>-178846586</v>
      </c>
      <c r="H2135">
        <v>-103081680</v>
      </c>
      <c r="I2135">
        <v>-646694804</v>
      </c>
      <c r="J2135">
        <v>-138142492</v>
      </c>
      <c r="P2135">
        <v>53</v>
      </c>
      <c r="Q2135" t="s">
        <v>4313</v>
      </c>
    </row>
    <row r="2136" spans="1:17" x14ac:dyDescent="0.3">
      <c r="A2136" t="s">
        <v>17</v>
      </c>
      <c r="B2136" t="str">
        <f>"688786"</f>
        <v>688786</v>
      </c>
      <c r="C2136" t="s">
        <v>4314</v>
      </c>
      <c r="D2136" t="s">
        <v>234</v>
      </c>
      <c r="F2136">
        <v>48937349</v>
      </c>
      <c r="G2136">
        <v>-56907774</v>
      </c>
      <c r="H2136">
        <v>-42042422</v>
      </c>
      <c r="I2136">
        <v>15061278</v>
      </c>
      <c r="J2136">
        <v>12081241</v>
      </c>
      <c r="P2136">
        <v>31</v>
      </c>
      <c r="Q2136" t="s">
        <v>4315</v>
      </c>
    </row>
    <row r="2137" spans="1:17" x14ac:dyDescent="0.3">
      <c r="A2137" t="s">
        <v>17</v>
      </c>
      <c r="B2137" t="str">
        <f>"688787"</f>
        <v>688787</v>
      </c>
      <c r="C2137" t="s">
        <v>4316</v>
      </c>
      <c r="D2137" t="s">
        <v>212</v>
      </c>
      <c r="F2137">
        <v>-23941056</v>
      </c>
      <c r="G2137">
        <v>49384579</v>
      </c>
      <c r="H2137">
        <v>80285912</v>
      </c>
      <c r="I2137">
        <v>38098176</v>
      </c>
      <c r="J2137">
        <v>32645172</v>
      </c>
      <c r="K2137">
        <v>16141085</v>
      </c>
      <c r="P2137">
        <v>32</v>
      </c>
      <c r="Q2137" t="s">
        <v>4317</v>
      </c>
    </row>
    <row r="2138" spans="1:17" x14ac:dyDescent="0.3">
      <c r="A2138" t="s">
        <v>17</v>
      </c>
      <c r="B2138" t="str">
        <f>"688788"</f>
        <v>688788</v>
      </c>
      <c r="C2138" t="s">
        <v>4318</v>
      </c>
      <c r="D2138" t="s">
        <v>92</v>
      </c>
      <c r="F2138">
        <v>-101925829</v>
      </c>
      <c r="G2138">
        <v>32891269</v>
      </c>
      <c r="H2138">
        <v>-260518025</v>
      </c>
      <c r="I2138">
        <v>-64975475</v>
      </c>
      <c r="J2138">
        <v>-37880806</v>
      </c>
      <c r="P2138">
        <v>57</v>
      </c>
      <c r="Q2138" t="s">
        <v>4319</v>
      </c>
    </row>
    <row r="2139" spans="1:17" x14ac:dyDescent="0.3">
      <c r="A2139" t="s">
        <v>17</v>
      </c>
      <c r="B2139" t="str">
        <f>"688789"</f>
        <v>688789</v>
      </c>
      <c r="C2139" t="s">
        <v>4320</v>
      </c>
      <c r="D2139" t="s">
        <v>78</v>
      </c>
      <c r="F2139">
        <v>-11346952</v>
      </c>
      <c r="G2139">
        <v>88909839</v>
      </c>
      <c r="H2139">
        <v>93312571</v>
      </c>
      <c r="I2139">
        <v>96788335</v>
      </c>
      <c r="J2139">
        <v>71137820</v>
      </c>
      <c r="P2139">
        <v>43</v>
      </c>
      <c r="Q2139" t="s">
        <v>4321</v>
      </c>
    </row>
    <row r="2140" spans="1:17" x14ac:dyDescent="0.3">
      <c r="A2140" t="s">
        <v>17</v>
      </c>
      <c r="B2140" t="str">
        <f>"688793"</f>
        <v>688793</v>
      </c>
      <c r="C2140" t="s">
        <v>4322</v>
      </c>
      <c r="D2140" t="s">
        <v>126</v>
      </c>
      <c r="F2140">
        <v>59531511</v>
      </c>
      <c r="G2140">
        <v>49004937</v>
      </c>
      <c r="H2140">
        <v>16319353</v>
      </c>
      <c r="I2140">
        <v>25495536</v>
      </c>
      <c r="J2140">
        <v>11989214</v>
      </c>
      <c r="P2140">
        <v>48</v>
      </c>
      <c r="Q2140" t="s">
        <v>4323</v>
      </c>
    </row>
    <row r="2141" spans="1:17" x14ac:dyDescent="0.3">
      <c r="A2141" t="s">
        <v>17</v>
      </c>
      <c r="B2141" t="str">
        <f>"688798"</f>
        <v>688798</v>
      </c>
      <c r="C2141" t="s">
        <v>4324</v>
      </c>
      <c r="D2141" t="s">
        <v>150</v>
      </c>
      <c r="F2141">
        <v>-66873037</v>
      </c>
      <c r="G2141">
        <v>63681570</v>
      </c>
      <c r="H2141">
        <v>41894939</v>
      </c>
      <c r="I2141">
        <v>-17020173</v>
      </c>
      <c r="J2141">
        <v>-45338956</v>
      </c>
      <c r="P2141">
        <v>67</v>
      </c>
      <c r="Q2141" t="s">
        <v>4325</v>
      </c>
    </row>
    <row r="2142" spans="1:17" x14ac:dyDescent="0.3">
      <c r="A2142" t="s">
        <v>17</v>
      </c>
      <c r="B2142" t="str">
        <f>"688799"</f>
        <v>688799</v>
      </c>
      <c r="C2142" t="s">
        <v>4326</v>
      </c>
      <c r="D2142" t="s">
        <v>113</v>
      </c>
      <c r="F2142">
        <v>22753793</v>
      </c>
      <c r="G2142">
        <v>50917549</v>
      </c>
      <c r="H2142">
        <v>92381462</v>
      </c>
      <c r="I2142">
        <v>29787554</v>
      </c>
      <c r="J2142">
        <v>18623070</v>
      </c>
      <c r="P2142">
        <v>35</v>
      </c>
      <c r="Q2142" t="s">
        <v>4327</v>
      </c>
    </row>
    <row r="2143" spans="1:17" x14ac:dyDescent="0.3">
      <c r="A2143" t="s">
        <v>17</v>
      </c>
      <c r="B2143" t="str">
        <f>"688800"</f>
        <v>688800</v>
      </c>
      <c r="C2143" t="s">
        <v>4328</v>
      </c>
      <c r="D2143" t="s">
        <v>150</v>
      </c>
      <c r="F2143">
        <v>-20158261</v>
      </c>
      <c r="G2143">
        <v>73417633</v>
      </c>
      <c r="H2143">
        <v>-2298870</v>
      </c>
      <c r="I2143">
        <v>11217667</v>
      </c>
      <c r="J2143">
        <v>-11093304</v>
      </c>
      <c r="P2143">
        <v>51</v>
      </c>
      <c r="Q2143" t="s">
        <v>4329</v>
      </c>
    </row>
    <row r="2144" spans="1:17" x14ac:dyDescent="0.3">
      <c r="A2144" t="s">
        <v>17</v>
      </c>
      <c r="B2144" t="str">
        <f>"688819"</f>
        <v>688819</v>
      </c>
      <c r="C2144" t="s">
        <v>4330</v>
      </c>
      <c r="D2144" t="s">
        <v>188</v>
      </c>
      <c r="F2144">
        <v>1460927246</v>
      </c>
      <c r="G2144">
        <v>1906825407</v>
      </c>
      <c r="H2144">
        <v>921085882</v>
      </c>
      <c r="I2144">
        <v>1501363003</v>
      </c>
      <c r="J2144">
        <v>1802736818</v>
      </c>
      <c r="K2144">
        <v>1394414554</v>
      </c>
      <c r="P2144">
        <v>160</v>
      </c>
      <c r="Q2144" t="s">
        <v>4331</v>
      </c>
    </row>
    <row r="2145" spans="1:17" x14ac:dyDescent="0.3">
      <c r="A2145" t="s">
        <v>17</v>
      </c>
      <c r="B2145" t="str">
        <f>"688981"</f>
        <v>688981</v>
      </c>
      <c r="C2145" t="s">
        <v>4332</v>
      </c>
      <c r="D2145" t="s">
        <v>150</v>
      </c>
      <c r="F2145">
        <v>-5973588000</v>
      </c>
      <c r="G2145">
        <v>-23716548000</v>
      </c>
      <c r="H2145">
        <v>-4057473952</v>
      </c>
      <c r="I2145">
        <v>-3849183214</v>
      </c>
      <c r="J2145">
        <v>-3377157894</v>
      </c>
      <c r="P2145">
        <v>1041</v>
      </c>
      <c r="Q2145" t="s">
        <v>4333</v>
      </c>
    </row>
    <row r="2146" spans="1:17" x14ac:dyDescent="0.3">
      <c r="A2146" t="s">
        <v>17</v>
      </c>
      <c r="B2146" t="str">
        <f>"689009"</f>
        <v>689009</v>
      </c>
      <c r="C2146" t="s">
        <v>4334</v>
      </c>
      <c r="D2146" t="s">
        <v>27</v>
      </c>
      <c r="F2146">
        <v>-400583127</v>
      </c>
      <c r="G2146">
        <v>582810374</v>
      </c>
      <c r="H2146">
        <v>-123771156</v>
      </c>
      <c r="I2146">
        <v>279551818</v>
      </c>
      <c r="J2146">
        <v>145371206</v>
      </c>
      <c r="K2146">
        <v>-62358126</v>
      </c>
      <c r="P2146">
        <v>115</v>
      </c>
      <c r="Q2146" t="s">
        <v>4335</v>
      </c>
    </row>
    <row r="2147" spans="1:17" x14ac:dyDescent="0.3">
      <c r="A2147" t="s">
        <v>17</v>
      </c>
      <c r="B2147" t="str">
        <f>"900901"</f>
        <v>900901</v>
      </c>
      <c r="C2147" t="s">
        <v>4336</v>
      </c>
      <c r="F2147">
        <v>7223628.4051000001</v>
      </c>
      <c r="G2147">
        <v>61347311.719099998</v>
      </c>
      <c r="H2147">
        <v>40463846.376000002</v>
      </c>
      <c r="I2147">
        <v>18496302.157400001</v>
      </c>
      <c r="J2147">
        <v>-18846040.6272</v>
      </c>
      <c r="K2147">
        <v>69085956.527999997</v>
      </c>
      <c r="L2147">
        <v>-10678970.918</v>
      </c>
      <c r="M2147">
        <v>-14987341.902000001</v>
      </c>
      <c r="N2147">
        <v>-11296076.162</v>
      </c>
      <c r="O2147">
        <v>-18499540.567499999</v>
      </c>
      <c r="P2147">
        <v>7</v>
      </c>
      <c r="Q2147" t="s">
        <v>4337</v>
      </c>
    </row>
    <row r="2148" spans="1:17" x14ac:dyDescent="0.3">
      <c r="A2148" t="s">
        <v>17</v>
      </c>
      <c r="B2148" t="str">
        <f>"900902"</f>
        <v>900902</v>
      </c>
      <c r="C2148" t="s">
        <v>4338</v>
      </c>
      <c r="F2148">
        <v>-74251655.503900006</v>
      </c>
      <c r="G2148">
        <v>-237565255.95089999</v>
      </c>
      <c r="H2148">
        <v>-47310685.3292</v>
      </c>
      <c r="I2148">
        <v>-580999757.82980001</v>
      </c>
      <c r="J2148">
        <v>-112977285.888</v>
      </c>
      <c r="K2148">
        <v>-2199714.6239999998</v>
      </c>
      <c r="L2148">
        <v>-197345334.648</v>
      </c>
      <c r="M2148">
        <v>-99986555.510399997</v>
      </c>
      <c r="N2148">
        <v>-49405094.438000001</v>
      </c>
      <c r="O2148">
        <v>662338.39950000006</v>
      </c>
      <c r="P2148">
        <v>10</v>
      </c>
      <c r="Q2148" t="s">
        <v>4339</v>
      </c>
    </row>
    <row r="2149" spans="1:17" x14ac:dyDescent="0.3">
      <c r="A2149" t="s">
        <v>17</v>
      </c>
      <c r="B2149" t="str">
        <f>"900903"</f>
        <v>900903</v>
      </c>
      <c r="C2149" t="s">
        <v>4340</v>
      </c>
      <c r="F2149">
        <v>185205555.21810001</v>
      </c>
      <c r="G2149">
        <v>-117445458.1609</v>
      </c>
      <c r="H2149">
        <v>-106467808.608</v>
      </c>
      <c r="I2149">
        <v>-16156587.297800001</v>
      </c>
      <c r="J2149">
        <v>23744834.304000001</v>
      </c>
      <c r="K2149">
        <v>141729185.23199999</v>
      </c>
      <c r="L2149">
        <v>130770753.95999999</v>
      </c>
      <c r="M2149">
        <v>41737163.124799997</v>
      </c>
      <c r="N2149">
        <v>-9508096.0771999992</v>
      </c>
      <c r="O2149">
        <v>-109544819.52</v>
      </c>
      <c r="P2149">
        <v>32</v>
      </c>
      <c r="Q2149" t="s">
        <v>4341</v>
      </c>
    </row>
    <row r="2150" spans="1:17" x14ac:dyDescent="0.3">
      <c r="A2150" t="s">
        <v>17</v>
      </c>
      <c r="B2150" t="str">
        <f>"900904"</f>
        <v>900904</v>
      </c>
      <c r="C2150" t="s">
        <v>4342</v>
      </c>
      <c r="F2150">
        <v>15437655.2357</v>
      </c>
      <c r="G2150">
        <v>438390.37050000002</v>
      </c>
      <c r="H2150">
        <v>7372749.2539999997</v>
      </c>
      <c r="I2150">
        <v>5707426.6211999999</v>
      </c>
      <c r="J2150">
        <v>-6324554.1887999997</v>
      </c>
      <c r="K2150">
        <v>-6040795.824</v>
      </c>
      <c r="L2150">
        <v>-5549402.9359999998</v>
      </c>
      <c r="M2150">
        <v>-11112165.3136</v>
      </c>
      <c r="N2150">
        <v>3178937.1571999998</v>
      </c>
      <c r="O2150">
        <v>-1960441.0530000001</v>
      </c>
      <c r="P2150">
        <v>8</v>
      </c>
      <c r="Q2150" t="s">
        <v>4343</v>
      </c>
    </row>
    <row r="2151" spans="1:17" x14ac:dyDescent="0.3">
      <c r="A2151" t="s">
        <v>17</v>
      </c>
      <c r="B2151" t="str">
        <f>"900905"</f>
        <v>900905</v>
      </c>
      <c r="C2151" t="s">
        <v>4344</v>
      </c>
      <c r="F2151">
        <v>324739454.50080001</v>
      </c>
      <c r="G2151">
        <v>393392405.6505</v>
      </c>
      <c r="H2151">
        <v>-183900767.8976</v>
      </c>
      <c r="I2151">
        <v>-61403652.991999999</v>
      </c>
      <c r="J2151">
        <v>186899560.704</v>
      </c>
      <c r="K2151">
        <v>-146882406.96000001</v>
      </c>
      <c r="L2151">
        <v>142353018.03799999</v>
      </c>
      <c r="M2151">
        <v>400620540.66320002</v>
      </c>
      <c r="N2151">
        <v>234772860.2744</v>
      </c>
      <c r="O2151">
        <v>110269820.169</v>
      </c>
      <c r="P2151">
        <v>473</v>
      </c>
      <c r="Q2151" t="s">
        <v>4345</v>
      </c>
    </row>
    <row r="2152" spans="1:17" x14ac:dyDescent="0.3">
      <c r="A2152" t="s">
        <v>17</v>
      </c>
      <c r="B2152" t="str">
        <f>"900906"</f>
        <v>900906</v>
      </c>
      <c r="C2152" t="s">
        <v>4346</v>
      </c>
      <c r="F2152">
        <v>6142351.7169000003</v>
      </c>
      <c r="G2152">
        <v>-1512713.5527999999</v>
      </c>
      <c r="H2152">
        <v>8927631.8168000001</v>
      </c>
      <c r="I2152">
        <v>-1076602.8134000001</v>
      </c>
      <c r="J2152">
        <v>-16323107.0208</v>
      </c>
      <c r="K2152">
        <v>3398675.9040000001</v>
      </c>
      <c r="L2152">
        <v>-16390468.402000001</v>
      </c>
      <c r="M2152">
        <v>-3999208.8656000001</v>
      </c>
      <c r="N2152">
        <v>-6191670.0636</v>
      </c>
      <c r="O2152">
        <v>-9863456.8800000008</v>
      </c>
      <c r="P2152">
        <v>4</v>
      </c>
      <c r="Q2152" t="s">
        <v>4347</v>
      </c>
    </row>
    <row r="2153" spans="1:17" x14ac:dyDescent="0.3">
      <c r="A2153" t="s">
        <v>17</v>
      </c>
      <c r="B2153" t="str">
        <f>"900907"</f>
        <v>900907</v>
      </c>
      <c r="C2153" t="s">
        <v>4348</v>
      </c>
      <c r="G2153">
        <v>-1412653.6831</v>
      </c>
      <c r="H2153">
        <v>-1066759.3096</v>
      </c>
      <c r="I2153">
        <v>-25072917.474199999</v>
      </c>
      <c r="J2153">
        <v>-31755293.6448</v>
      </c>
      <c r="K2153">
        <v>57033808.416000001</v>
      </c>
      <c r="L2153">
        <v>-96717279.274000004</v>
      </c>
      <c r="M2153">
        <v>-57617880.101599999</v>
      </c>
      <c r="N2153">
        <v>9034339.8124000002</v>
      </c>
      <c r="O2153">
        <v>-26463763.069499999</v>
      </c>
      <c r="P2153">
        <v>4</v>
      </c>
      <c r="Q2153" t="s">
        <v>4349</v>
      </c>
    </row>
    <row r="2154" spans="1:17" x14ac:dyDescent="0.3">
      <c r="A2154" t="s">
        <v>17</v>
      </c>
      <c r="B2154" t="str">
        <f>"900908"</f>
        <v>900908</v>
      </c>
      <c r="C2154" t="s">
        <v>4350</v>
      </c>
      <c r="F2154">
        <v>19384148.204100002</v>
      </c>
      <c r="G2154">
        <v>25641490.132800002</v>
      </c>
      <c r="H2154">
        <v>100184873.5</v>
      </c>
      <c r="I2154">
        <v>118652138.93799999</v>
      </c>
      <c r="J2154">
        <v>139191025.76640001</v>
      </c>
      <c r="K2154">
        <v>60327555.408</v>
      </c>
      <c r="L2154">
        <v>85706936.084000006</v>
      </c>
      <c r="M2154">
        <v>-69831632.857999995</v>
      </c>
      <c r="N2154">
        <v>36365413.554399997</v>
      </c>
      <c r="O2154">
        <v>45601184.4045</v>
      </c>
      <c r="P2154">
        <v>50</v>
      </c>
      <c r="Q2154" t="s">
        <v>4351</v>
      </c>
    </row>
    <row r="2155" spans="1:17" x14ac:dyDescent="0.3">
      <c r="A2155" t="s">
        <v>17</v>
      </c>
      <c r="B2155" t="str">
        <f>"900909"</f>
        <v>900909</v>
      </c>
      <c r="C2155" t="s">
        <v>4352</v>
      </c>
      <c r="F2155">
        <v>245849972.71360001</v>
      </c>
      <c r="G2155">
        <v>-57598429.9406</v>
      </c>
      <c r="H2155">
        <v>-76665130.520400003</v>
      </c>
      <c r="I2155">
        <v>199720607.43959999</v>
      </c>
      <c r="J2155">
        <v>442103829.04320002</v>
      </c>
      <c r="K2155">
        <v>409330426.03200001</v>
      </c>
      <c r="L2155">
        <v>459946020.68800002</v>
      </c>
      <c r="M2155">
        <v>13501634.364399999</v>
      </c>
      <c r="N2155">
        <v>24260695.9476</v>
      </c>
      <c r="O2155">
        <v>-15098673.967499999</v>
      </c>
      <c r="P2155">
        <v>24</v>
      </c>
      <c r="Q2155" t="s">
        <v>4353</v>
      </c>
    </row>
    <row r="2156" spans="1:17" x14ac:dyDescent="0.3">
      <c r="A2156" t="s">
        <v>17</v>
      </c>
      <c r="B2156" t="str">
        <f>"900910"</f>
        <v>900910</v>
      </c>
      <c r="C2156" t="s">
        <v>4354</v>
      </c>
      <c r="F2156">
        <v>-7205263.466</v>
      </c>
      <c r="G2156">
        <v>10394787.089400001</v>
      </c>
      <c r="H2156">
        <v>17363403.477600001</v>
      </c>
      <c r="I2156">
        <v>84797854.475400001</v>
      </c>
      <c r="J2156">
        <v>57232565.759999998</v>
      </c>
      <c r="K2156">
        <v>62519504.544</v>
      </c>
      <c r="L2156">
        <v>22839948.362</v>
      </c>
      <c r="M2156">
        <v>23163699.7696</v>
      </c>
      <c r="N2156">
        <v>13506109.702400001</v>
      </c>
      <c r="O2156">
        <v>11607964.443</v>
      </c>
      <c r="P2156">
        <v>13</v>
      </c>
      <c r="Q2156" t="s">
        <v>4355</v>
      </c>
    </row>
    <row r="2157" spans="1:17" x14ac:dyDescent="0.3">
      <c r="A2157" t="s">
        <v>17</v>
      </c>
      <c r="B2157" t="str">
        <f>"900911"</f>
        <v>900911</v>
      </c>
      <c r="C2157" t="s">
        <v>4356</v>
      </c>
      <c r="F2157">
        <v>167728075.61390001</v>
      </c>
      <c r="G2157">
        <v>497717702.7687</v>
      </c>
      <c r="H2157">
        <v>-201201162.85440001</v>
      </c>
      <c r="I2157">
        <v>-71398488.540800005</v>
      </c>
      <c r="J2157">
        <v>-17791864.7808</v>
      </c>
      <c r="K2157">
        <v>152422918.27200001</v>
      </c>
      <c r="L2157">
        <v>-290188146.24800003</v>
      </c>
      <c r="M2157">
        <v>44800722.376800001</v>
      </c>
      <c r="N2157">
        <v>32843382.263999999</v>
      </c>
      <c r="O2157">
        <v>-9981620.9924999997</v>
      </c>
      <c r="P2157">
        <v>73</v>
      </c>
      <c r="Q2157" t="s">
        <v>4357</v>
      </c>
    </row>
    <row r="2158" spans="1:17" x14ac:dyDescent="0.3">
      <c r="A2158" t="s">
        <v>17</v>
      </c>
      <c r="B2158" t="str">
        <f>"900912"</f>
        <v>900912</v>
      </c>
      <c r="C2158" t="s">
        <v>4358</v>
      </c>
      <c r="F2158">
        <v>538923556.04030001</v>
      </c>
      <c r="G2158">
        <v>609764927.51600003</v>
      </c>
      <c r="H2158">
        <v>-355216638.72280002</v>
      </c>
      <c r="I2158">
        <v>37348774.846199997</v>
      </c>
      <c r="J2158">
        <v>417936780.74879998</v>
      </c>
      <c r="K2158">
        <v>-97941228.192000002</v>
      </c>
      <c r="L2158">
        <v>-72518050.219999999</v>
      </c>
      <c r="M2158">
        <v>25647306.396400001</v>
      </c>
      <c r="N2158">
        <v>-107764437.74600001</v>
      </c>
      <c r="O2158">
        <v>361147566.30000001</v>
      </c>
      <c r="P2158">
        <v>18</v>
      </c>
      <c r="Q2158" t="s">
        <v>4359</v>
      </c>
    </row>
    <row r="2159" spans="1:17" x14ac:dyDescent="0.3">
      <c r="A2159" t="s">
        <v>17</v>
      </c>
      <c r="B2159" t="str">
        <f>"900913"</f>
        <v>900913</v>
      </c>
      <c r="C2159" t="s">
        <v>4360</v>
      </c>
      <c r="F2159">
        <v>266006323.42609999</v>
      </c>
      <c r="G2159">
        <v>-65700015.056400001</v>
      </c>
      <c r="H2159">
        <v>-86909927.880400002</v>
      </c>
      <c r="I2159">
        <v>-142010537.27079999</v>
      </c>
      <c r="J2159">
        <v>-232403518.46399999</v>
      </c>
      <c r="K2159">
        <v>-306471729.16799998</v>
      </c>
      <c r="L2159">
        <v>-171392064.074</v>
      </c>
      <c r="M2159">
        <v>-300647668.13120002</v>
      </c>
      <c r="N2159">
        <v>-294249321.33520001</v>
      </c>
      <c r="O2159">
        <v>-1062997.2779999999</v>
      </c>
      <c r="P2159">
        <v>7</v>
      </c>
      <c r="Q2159" t="s">
        <v>4361</v>
      </c>
    </row>
    <row r="2160" spans="1:17" x14ac:dyDescent="0.3">
      <c r="A2160" t="s">
        <v>17</v>
      </c>
      <c r="B2160" t="str">
        <f>"900914"</f>
        <v>900914</v>
      </c>
      <c r="C2160" t="s">
        <v>4362</v>
      </c>
      <c r="F2160">
        <v>-17104715.227000002</v>
      </c>
      <c r="G2160">
        <v>32175028.612799998</v>
      </c>
      <c r="H2160">
        <v>17578855.604400001</v>
      </c>
      <c r="I2160">
        <v>-1128085.3184</v>
      </c>
      <c r="J2160">
        <v>17185727.8464</v>
      </c>
      <c r="K2160">
        <v>-292775.90399999998</v>
      </c>
      <c r="L2160">
        <v>1615746.902</v>
      </c>
      <c r="M2160">
        <v>3745014.3588</v>
      </c>
      <c r="N2160">
        <v>16728454.4812</v>
      </c>
      <c r="O2160">
        <v>26391230.872499999</v>
      </c>
      <c r="P2160">
        <v>20</v>
      </c>
      <c r="Q2160" t="s">
        <v>4363</v>
      </c>
    </row>
    <row r="2161" spans="1:17" x14ac:dyDescent="0.3">
      <c r="A2161" t="s">
        <v>17</v>
      </c>
      <c r="B2161" t="str">
        <f>"900915"</f>
        <v>900915</v>
      </c>
      <c r="C2161" t="s">
        <v>4364</v>
      </c>
      <c r="F2161">
        <v>-9075701.5980999991</v>
      </c>
      <c r="G2161">
        <v>-1110892.9849</v>
      </c>
      <c r="H2161">
        <v>-8028323.1748000002</v>
      </c>
      <c r="I2161">
        <v>-2716074.9079999998</v>
      </c>
      <c r="J2161">
        <v>-9065941.0943999998</v>
      </c>
      <c r="K2161">
        <v>22072724.784000002</v>
      </c>
      <c r="L2161">
        <v>8228028.8859999999</v>
      </c>
      <c r="M2161">
        <v>-981042.88879999996</v>
      </c>
      <c r="N2161">
        <v>-851260.07120000001</v>
      </c>
      <c r="O2161">
        <v>474787.08750000002</v>
      </c>
      <c r="P2161">
        <v>6</v>
      </c>
      <c r="Q2161" t="s">
        <v>4365</v>
      </c>
    </row>
    <row r="2162" spans="1:17" x14ac:dyDescent="0.3">
      <c r="A2162" t="s">
        <v>17</v>
      </c>
      <c r="B2162" t="str">
        <f>"900916"</f>
        <v>900916</v>
      </c>
      <c r="C2162" t="s">
        <v>4366</v>
      </c>
      <c r="F2162">
        <v>3184892.1085000001</v>
      </c>
      <c r="G2162">
        <v>16380887.126599999</v>
      </c>
      <c r="H2162">
        <v>3076403.5427999999</v>
      </c>
      <c r="I2162">
        <v>-5639404.7208000002</v>
      </c>
      <c r="J2162">
        <v>4507350.8351999996</v>
      </c>
      <c r="K2162">
        <v>2298951.648</v>
      </c>
      <c r="L2162">
        <v>7061034.75</v>
      </c>
      <c r="M2162">
        <v>12315140.786</v>
      </c>
      <c r="N2162">
        <v>753874.34080000001</v>
      </c>
      <c r="O2162">
        <v>-6679095.1500000004</v>
      </c>
      <c r="P2162">
        <v>7</v>
      </c>
      <c r="Q2162" t="s">
        <v>4367</v>
      </c>
    </row>
    <row r="2163" spans="1:17" x14ac:dyDescent="0.3">
      <c r="A2163" t="s">
        <v>17</v>
      </c>
      <c r="B2163" t="str">
        <f>"900917"</f>
        <v>900917</v>
      </c>
      <c r="C2163" t="s">
        <v>4368</v>
      </c>
      <c r="F2163">
        <v>23049134.6351</v>
      </c>
      <c r="G2163">
        <v>-1137561.5593000001</v>
      </c>
      <c r="H2163">
        <v>-26149201.5744</v>
      </c>
      <c r="I2163">
        <v>-7161048.4358000001</v>
      </c>
      <c r="J2163">
        <v>-10793689.036800001</v>
      </c>
      <c r="K2163">
        <v>-10674620.352</v>
      </c>
      <c r="L2163">
        <v>-10051998.880000001</v>
      </c>
      <c r="M2163">
        <v>-825696.22199999995</v>
      </c>
      <c r="N2163">
        <v>-10653671.347200001</v>
      </c>
      <c r="O2163">
        <v>415616.51549999998</v>
      </c>
      <c r="P2163">
        <v>12</v>
      </c>
      <c r="Q2163" t="s">
        <v>4369</v>
      </c>
    </row>
    <row r="2164" spans="1:17" x14ac:dyDescent="0.3">
      <c r="A2164" t="s">
        <v>17</v>
      </c>
      <c r="B2164" t="str">
        <f>"900918"</f>
        <v>900918</v>
      </c>
      <c r="C2164" t="s">
        <v>4370</v>
      </c>
      <c r="F2164">
        <v>31360411.288899999</v>
      </c>
      <c r="G2164">
        <v>44699844.2038</v>
      </c>
      <c r="H2164">
        <v>34214451.632799998</v>
      </c>
      <c r="I2164">
        <v>2617831.7629999998</v>
      </c>
      <c r="J2164">
        <v>-18305718.528000001</v>
      </c>
      <c r="K2164">
        <v>11408070.384</v>
      </c>
      <c r="L2164">
        <v>21049562.842</v>
      </c>
      <c r="M2164">
        <v>-44060103.968400002</v>
      </c>
      <c r="N2164">
        <v>-48910937.460000001</v>
      </c>
      <c r="O2164">
        <v>-33202590.862500001</v>
      </c>
      <c r="P2164">
        <v>10</v>
      </c>
      <c r="Q2164" t="s">
        <v>4371</v>
      </c>
    </row>
    <row r="2165" spans="1:17" x14ac:dyDescent="0.3">
      <c r="A2165" t="s">
        <v>17</v>
      </c>
      <c r="B2165" t="str">
        <f>"900919"</f>
        <v>900919</v>
      </c>
      <c r="C2165" t="s">
        <v>4372</v>
      </c>
      <c r="F2165">
        <v>2779812.5532</v>
      </c>
      <c r="G2165">
        <v>11431604.6598</v>
      </c>
      <c r="H2165">
        <v>-1339133.4712</v>
      </c>
      <c r="I2165">
        <v>-574272.8578</v>
      </c>
      <c r="J2165">
        <v>4053094.9632000001</v>
      </c>
      <c r="K2165">
        <v>7104538.9440000001</v>
      </c>
      <c r="L2165">
        <v>-18206116.236000001</v>
      </c>
      <c r="M2165">
        <v>-17772025.476399999</v>
      </c>
      <c r="N2165">
        <v>-6203654.3323999997</v>
      </c>
      <c r="O2165">
        <v>-19322736.239999998</v>
      </c>
      <c r="P2165">
        <v>5</v>
      </c>
      <c r="Q2165" t="s">
        <v>4373</v>
      </c>
    </row>
    <row r="2166" spans="1:17" x14ac:dyDescent="0.3">
      <c r="A2166" t="s">
        <v>17</v>
      </c>
      <c r="B2166" t="str">
        <f>"900920"</f>
        <v>900920</v>
      </c>
      <c r="C2166" t="s">
        <v>4374</v>
      </c>
      <c r="F2166">
        <v>-426287962.70039999</v>
      </c>
      <c r="G2166">
        <v>20205559.8169</v>
      </c>
      <c r="H2166">
        <v>72953819.107199997</v>
      </c>
      <c r="I2166">
        <v>32419589.802200001</v>
      </c>
      <c r="J2166">
        <v>9159638.4768000003</v>
      </c>
      <c r="K2166">
        <v>-453712.32</v>
      </c>
      <c r="L2166">
        <v>51444857.464000002</v>
      </c>
      <c r="M2166">
        <v>11962147.7664</v>
      </c>
      <c r="N2166">
        <v>-35977572.358000003</v>
      </c>
      <c r="O2166">
        <v>-36945828.519000001</v>
      </c>
      <c r="P2166">
        <v>12</v>
      </c>
      <c r="Q2166" t="s">
        <v>4375</v>
      </c>
    </row>
    <row r="2167" spans="1:17" x14ac:dyDescent="0.3">
      <c r="A2167" t="s">
        <v>17</v>
      </c>
      <c r="B2167" t="str">
        <f>"900921"</f>
        <v>900921</v>
      </c>
      <c r="C2167" t="s">
        <v>4376</v>
      </c>
      <c r="F2167">
        <v>19936579.864399999</v>
      </c>
      <c r="G2167">
        <v>-10164045.1349</v>
      </c>
      <c r="H2167">
        <v>-14794972.728800001</v>
      </c>
      <c r="I2167">
        <v>31693244.102200001</v>
      </c>
      <c r="J2167">
        <v>22707228.979200002</v>
      </c>
      <c r="K2167">
        <v>-36784365.696000002</v>
      </c>
      <c r="L2167">
        <v>-4561854.3739999998</v>
      </c>
      <c r="M2167">
        <v>40033363.593599997</v>
      </c>
      <c r="N2167">
        <v>47524473.332000002</v>
      </c>
      <c r="O2167">
        <v>44152029.423</v>
      </c>
      <c r="P2167">
        <v>6</v>
      </c>
      <c r="Q2167" t="s">
        <v>4377</v>
      </c>
    </row>
    <row r="2168" spans="1:17" x14ac:dyDescent="0.3">
      <c r="A2168" t="s">
        <v>17</v>
      </c>
      <c r="B2168" t="str">
        <f>"900922"</f>
        <v>900922</v>
      </c>
      <c r="C2168" t="s">
        <v>4378</v>
      </c>
      <c r="F2168">
        <v>-3047377.7922</v>
      </c>
      <c r="G2168">
        <v>5041016.5398000004</v>
      </c>
      <c r="H2168">
        <v>-3687479.9879999999</v>
      </c>
      <c r="I2168">
        <v>1371661.7248</v>
      </c>
      <c r="J2168">
        <v>4684847.6160000004</v>
      </c>
      <c r="K2168">
        <v>27120827.52</v>
      </c>
      <c r="L2168">
        <v>-223186.81</v>
      </c>
      <c r="M2168">
        <v>-2848086.1135999998</v>
      </c>
      <c r="N2168">
        <v>-26854414.2524</v>
      </c>
      <c r="O2168">
        <v>-34477174.487999998</v>
      </c>
      <c r="P2168">
        <v>9</v>
      </c>
      <c r="Q2168" t="s">
        <v>4379</v>
      </c>
    </row>
    <row r="2169" spans="1:17" x14ac:dyDescent="0.3">
      <c r="A2169" t="s">
        <v>17</v>
      </c>
      <c r="B2169" t="str">
        <f>"900923"</f>
        <v>900923</v>
      </c>
      <c r="C2169" t="s">
        <v>4380</v>
      </c>
      <c r="F2169">
        <v>346978615.42220002</v>
      </c>
      <c r="G2169">
        <v>511715220.56440002</v>
      </c>
      <c r="H2169">
        <v>179716463.35800001</v>
      </c>
      <c r="I2169">
        <v>85049729.296000004</v>
      </c>
      <c r="J2169">
        <v>145001903.46239999</v>
      </c>
      <c r="K2169">
        <v>2507560.9920000001</v>
      </c>
      <c r="L2169">
        <v>51259889.450000003</v>
      </c>
      <c r="M2169">
        <v>18456446.018399999</v>
      </c>
      <c r="N2169">
        <v>420773779.06480002</v>
      </c>
      <c r="O2169">
        <v>31144637.0715</v>
      </c>
      <c r="P2169">
        <v>26</v>
      </c>
      <c r="Q2169" t="s">
        <v>4381</v>
      </c>
    </row>
    <row r="2170" spans="1:17" x14ac:dyDescent="0.3">
      <c r="A2170" t="s">
        <v>17</v>
      </c>
      <c r="B2170" t="str">
        <f>"900924"</f>
        <v>900924</v>
      </c>
      <c r="C2170" t="s">
        <v>4382</v>
      </c>
      <c r="F2170">
        <v>11265879.867000001</v>
      </c>
      <c r="G2170">
        <v>29680723.535700001</v>
      </c>
      <c r="H2170">
        <v>-38805854.417999998</v>
      </c>
      <c r="I2170">
        <v>-21064207.922400001</v>
      </c>
      <c r="J2170">
        <v>-692352.15359999996</v>
      </c>
      <c r="K2170">
        <v>2711386.9440000001</v>
      </c>
      <c r="L2170">
        <v>-1093092.1540000001</v>
      </c>
      <c r="M2170">
        <v>30439310.563999999</v>
      </c>
      <c r="N2170">
        <v>-457353.22639999999</v>
      </c>
      <c r="O2170">
        <v>18394643.385000002</v>
      </c>
      <c r="P2170">
        <v>11</v>
      </c>
      <c r="Q2170" t="s">
        <v>4383</v>
      </c>
    </row>
    <row r="2171" spans="1:17" x14ac:dyDescent="0.3">
      <c r="A2171" t="s">
        <v>17</v>
      </c>
      <c r="B2171" t="str">
        <f>"900925"</f>
        <v>900925</v>
      </c>
      <c r="C2171" t="s">
        <v>4384</v>
      </c>
      <c r="F2171">
        <v>87484921.233400002</v>
      </c>
      <c r="G2171">
        <v>126034057.4981</v>
      </c>
      <c r="H2171">
        <v>-15428302.7224</v>
      </c>
      <c r="I2171">
        <v>-10988883.5864</v>
      </c>
      <c r="J2171">
        <v>270785571.6864</v>
      </c>
      <c r="K2171">
        <v>216657279.072</v>
      </c>
      <c r="L2171">
        <v>162128494.37400001</v>
      </c>
      <c r="M2171">
        <v>262468695.01320001</v>
      </c>
      <c r="N2171">
        <v>238597665.49919999</v>
      </c>
      <c r="O2171">
        <v>422499187.245</v>
      </c>
      <c r="P2171">
        <v>83</v>
      </c>
      <c r="Q2171" t="s">
        <v>4385</v>
      </c>
    </row>
    <row r="2172" spans="1:17" x14ac:dyDescent="0.3">
      <c r="A2172" t="s">
        <v>17</v>
      </c>
      <c r="B2172" t="str">
        <f>"900926"</f>
        <v>900926</v>
      </c>
      <c r="C2172" t="s">
        <v>4386</v>
      </c>
      <c r="F2172">
        <v>184539018.63350001</v>
      </c>
      <c r="G2172">
        <v>173258214.29609999</v>
      </c>
      <c r="H2172">
        <v>40660338.994800001</v>
      </c>
      <c r="I2172">
        <v>49686069.097999997</v>
      </c>
      <c r="J2172">
        <v>51559568.179200001</v>
      </c>
      <c r="K2172">
        <v>34994686.031999998</v>
      </c>
      <c r="L2172">
        <v>-31751569.388</v>
      </c>
      <c r="M2172">
        <v>-19504185.890799999</v>
      </c>
      <c r="N2172">
        <v>1228244.9844</v>
      </c>
      <c r="O2172">
        <v>-3292314.1905</v>
      </c>
      <c r="P2172">
        <v>63</v>
      </c>
      <c r="Q2172" t="s">
        <v>4387</v>
      </c>
    </row>
    <row r="2173" spans="1:17" x14ac:dyDescent="0.3">
      <c r="A2173" t="s">
        <v>17</v>
      </c>
      <c r="B2173" t="str">
        <f>"900927"</f>
        <v>900927</v>
      </c>
      <c r="C2173" t="s">
        <v>4388</v>
      </c>
      <c r="F2173">
        <v>-8872444.7022999991</v>
      </c>
      <c r="G2173">
        <v>31091100.694699999</v>
      </c>
      <c r="H2173">
        <v>26796705.318799999</v>
      </c>
      <c r="I2173">
        <v>-27691060.393199999</v>
      </c>
      <c r="J2173">
        <v>8076824.2176000001</v>
      </c>
      <c r="K2173">
        <v>-32217214.607999999</v>
      </c>
      <c r="L2173">
        <v>41746276.880000003</v>
      </c>
      <c r="M2173">
        <v>68919354.020400003</v>
      </c>
      <c r="N2173">
        <v>196889061.47119999</v>
      </c>
      <c r="O2173">
        <v>-229564476.85350001</v>
      </c>
      <c r="P2173">
        <v>5</v>
      </c>
      <c r="Q2173" t="s">
        <v>4389</v>
      </c>
    </row>
    <row r="2174" spans="1:17" x14ac:dyDescent="0.3">
      <c r="A2174" t="s">
        <v>17</v>
      </c>
      <c r="B2174" t="str">
        <f>"900928"</f>
        <v>900928</v>
      </c>
      <c r="C2174" t="s">
        <v>4390</v>
      </c>
      <c r="F2174">
        <v>-2228447.6298000002</v>
      </c>
      <c r="G2174">
        <v>-112656880.7401</v>
      </c>
      <c r="H2174">
        <v>-692477315.17359996</v>
      </c>
      <c r="I2174">
        <v>-220215370.9474</v>
      </c>
      <c r="J2174">
        <v>-25843863.244800001</v>
      </c>
      <c r="K2174">
        <v>-21050541.072000001</v>
      </c>
      <c r="L2174">
        <v>-71899700.796000004</v>
      </c>
      <c r="M2174">
        <v>-3396147.7368000001</v>
      </c>
      <c r="N2174">
        <v>-10468683.526000001</v>
      </c>
      <c r="O2174">
        <v>-13481581.095000001</v>
      </c>
      <c r="P2174">
        <v>14</v>
      </c>
      <c r="Q2174" t="s">
        <v>4391</v>
      </c>
    </row>
    <row r="2175" spans="1:17" x14ac:dyDescent="0.3">
      <c r="A2175" t="s">
        <v>17</v>
      </c>
      <c r="B2175" t="str">
        <f>"900929"</f>
        <v>900929</v>
      </c>
      <c r="C2175" t="s">
        <v>4392</v>
      </c>
      <c r="F2175">
        <v>-5942144.2988</v>
      </c>
      <c r="G2175">
        <v>-8360566.0302999998</v>
      </c>
      <c r="H2175">
        <v>-12455941.544</v>
      </c>
      <c r="I2175">
        <v>-10891177.549000001</v>
      </c>
      <c r="J2175">
        <v>-9034413.7728000004</v>
      </c>
      <c r="K2175">
        <v>-9381649.6799999997</v>
      </c>
      <c r="L2175">
        <v>-4969255.5219999999</v>
      </c>
      <c r="M2175">
        <v>-5459964.0939999996</v>
      </c>
      <c r="N2175">
        <v>172965.72159999999</v>
      </c>
      <c r="O2175">
        <v>-4383409.8825000003</v>
      </c>
      <c r="P2175">
        <v>11</v>
      </c>
      <c r="Q2175" t="s">
        <v>4393</v>
      </c>
    </row>
    <row r="2176" spans="1:17" x14ac:dyDescent="0.3">
      <c r="A2176" t="s">
        <v>17</v>
      </c>
      <c r="B2176" t="str">
        <f>"900930"</f>
        <v>900930</v>
      </c>
      <c r="C2176" t="s">
        <v>4394</v>
      </c>
      <c r="H2176">
        <v>21636929.1384</v>
      </c>
      <c r="I2176">
        <v>7954632.0394000001</v>
      </c>
      <c r="J2176">
        <v>-851069.64480000001</v>
      </c>
      <c r="K2176">
        <v>-1756065.6</v>
      </c>
      <c r="L2176">
        <v>-31616041.629500002</v>
      </c>
      <c r="M2176">
        <v>-48190975.010300003</v>
      </c>
      <c r="N2176">
        <v>-53673898.474699996</v>
      </c>
      <c r="O2176">
        <v>-33619456.735699996</v>
      </c>
      <c r="P2176">
        <v>1</v>
      </c>
      <c r="Q2176" t="s">
        <v>4395</v>
      </c>
    </row>
    <row r="2177" spans="1:17" x14ac:dyDescent="0.3">
      <c r="A2177" t="s">
        <v>17</v>
      </c>
      <c r="B2177" t="str">
        <f>"900931"</f>
        <v>900931</v>
      </c>
      <c r="C2177" t="s">
        <v>4396</v>
      </c>
      <c r="K2177">
        <v>2415801.6806000001</v>
      </c>
      <c r="L2177">
        <v>1114775.8944999999</v>
      </c>
      <c r="M2177">
        <v>-367319.647</v>
      </c>
      <c r="N2177">
        <v>106072.64019999999</v>
      </c>
      <c r="O2177">
        <v>-23265.109</v>
      </c>
      <c r="P2177">
        <v>1</v>
      </c>
      <c r="Q2177" t="s">
        <v>4397</v>
      </c>
    </row>
    <row r="2178" spans="1:17" x14ac:dyDescent="0.3">
      <c r="A2178" t="s">
        <v>17</v>
      </c>
      <c r="B2178" t="str">
        <f>"900932"</f>
        <v>900932</v>
      </c>
      <c r="C2178" t="s">
        <v>4398</v>
      </c>
      <c r="F2178">
        <v>143173822.6523</v>
      </c>
      <c r="G2178">
        <v>-725643531.89209998</v>
      </c>
      <c r="H2178">
        <v>-1192029846.4563999</v>
      </c>
      <c r="I2178">
        <v>272921479.03320003</v>
      </c>
      <c r="J2178">
        <v>-1045471455.1296</v>
      </c>
      <c r="K2178">
        <v>-268851642.62400001</v>
      </c>
      <c r="L2178">
        <v>387466496.49400002</v>
      </c>
      <c r="M2178">
        <v>-187314342.6128</v>
      </c>
      <c r="N2178">
        <v>106359477.82600001</v>
      </c>
      <c r="O2178">
        <v>278678765.02649999</v>
      </c>
      <c r="P2178">
        <v>138</v>
      </c>
      <c r="Q2178" t="s">
        <v>4399</v>
      </c>
    </row>
    <row r="2179" spans="1:17" x14ac:dyDescent="0.3">
      <c r="A2179" t="s">
        <v>17</v>
      </c>
      <c r="B2179" t="str">
        <f>"900933"</f>
        <v>900933</v>
      </c>
      <c r="C2179" t="s">
        <v>4400</v>
      </c>
      <c r="G2179">
        <v>744411690.15400004</v>
      </c>
      <c r="H2179">
        <v>812513309.79159999</v>
      </c>
      <c r="I2179">
        <v>870051767.02680004</v>
      </c>
      <c r="J2179">
        <v>431728778.95679998</v>
      </c>
      <c r="K2179">
        <v>276519260.44800001</v>
      </c>
      <c r="L2179">
        <v>179490762.99000001</v>
      </c>
      <c r="M2179">
        <v>336946571.7748</v>
      </c>
      <c r="N2179">
        <v>230775302.9316</v>
      </c>
      <c r="O2179">
        <v>62226692.946000002</v>
      </c>
      <c r="P2179">
        <v>142</v>
      </c>
      <c r="Q2179" t="s">
        <v>4401</v>
      </c>
    </row>
    <row r="2180" spans="1:17" x14ac:dyDescent="0.3">
      <c r="A2180" t="s">
        <v>17</v>
      </c>
      <c r="B2180" t="str">
        <f>"900934"</f>
        <v>900934</v>
      </c>
      <c r="C2180" t="s">
        <v>4402</v>
      </c>
      <c r="F2180">
        <v>240187846.7595</v>
      </c>
      <c r="G2180">
        <v>-82033716.144800007</v>
      </c>
      <c r="H2180">
        <v>230410438.92840001</v>
      </c>
      <c r="I2180">
        <v>381164630.00599998</v>
      </c>
      <c r="J2180">
        <v>379432047.0528</v>
      </c>
      <c r="K2180">
        <v>199351350.14399999</v>
      </c>
      <c r="L2180">
        <v>71867834.961999997</v>
      </c>
      <c r="M2180">
        <v>29030457.544399999</v>
      </c>
      <c r="N2180">
        <v>-27046855.071600001</v>
      </c>
      <c r="O2180">
        <v>33205507.629000001</v>
      </c>
      <c r="P2180">
        <v>47</v>
      </c>
      <c r="Q2180" t="s">
        <v>4403</v>
      </c>
    </row>
    <row r="2181" spans="1:17" x14ac:dyDescent="0.3">
      <c r="A2181" t="s">
        <v>17</v>
      </c>
      <c r="B2181" t="str">
        <f>"900935"</f>
        <v>900935</v>
      </c>
      <c r="C2181" t="s">
        <v>4404</v>
      </c>
      <c r="L2181">
        <v>40694854.506499998</v>
      </c>
      <c r="M2181">
        <v>46982568.609899998</v>
      </c>
      <c r="N2181">
        <v>49459528.148599997</v>
      </c>
      <c r="O2181">
        <v>53911407.009199999</v>
      </c>
      <c r="P2181">
        <v>1</v>
      </c>
      <c r="Q2181" t="s">
        <v>4405</v>
      </c>
    </row>
    <row r="2182" spans="1:17" x14ac:dyDescent="0.3">
      <c r="A2182" t="s">
        <v>17</v>
      </c>
      <c r="B2182" t="str">
        <f>"900936"</f>
        <v>900936</v>
      </c>
      <c r="C2182" t="s">
        <v>4406</v>
      </c>
      <c r="F2182">
        <v>1843882324.0739</v>
      </c>
      <c r="G2182">
        <v>748298140.16630006</v>
      </c>
      <c r="H2182">
        <v>378882169.87919998</v>
      </c>
      <c r="I2182">
        <v>973463990.78600001</v>
      </c>
      <c r="J2182">
        <v>575216549.6832</v>
      </c>
      <c r="K2182">
        <v>509446473.98400003</v>
      </c>
      <c r="L2182">
        <v>527947571.69</v>
      </c>
      <c r="M2182">
        <v>431287769.4892</v>
      </c>
      <c r="N2182">
        <v>38338368.0792</v>
      </c>
      <c r="O2182">
        <v>74007276.262500003</v>
      </c>
      <c r="P2182">
        <v>53</v>
      </c>
      <c r="Q2182" t="s">
        <v>4407</v>
      </c>
    </row>
    <row r="2183" spans="1:17" x14ac:dyDescent="0.3">
      <c r="A2183" t="s">
        <v>17</v>
      </c>
      <c r="B2183" t="str">
        <f>"900937"</f>
        <v>900937</v>
      </c>
      <c r="C2183" t="s">
        <v>4408</v>
      </c>
      <c r="F2183">
        <v>-159815695.6451</v>
      </c>
      <c r="G2183">
        <v>127482681.5767</v>
      </c>
      <c r="H2183">
        <v>63787893.4296</v>
      </c>
      <c r="I2183">
        <v>203246622.43340001</v>
      </c>
      <c r="J2183">
        <v>-165200798.6688</v>
      </c>
      <c r="K2183">
        <v>38532111.552000001</v>
      </c>
      <c r="L2183">
        <v>187596561.30599999</v>
      </c>
      <c r="M2183">
        <v>228209271.52399999</v>
      </c>
      <c r="N2183">
        <v>160028267.79800001</v>
      </c>
      <c r="O2183">
        <v>103667085.78300001</v>
      </c>
      <c r="P2183">
        <v>10</v>
      </c>
      <c r="Q2183" t="s">
        <v>4409</v>
      </c>
    </row>
    <row r="2184" spans="1:17" x14ac:dyDescent="0.3">
      <c r="A2184" t="s">
        <v>17</v>
      </c>
      <c r="B2184" t="str">
        <f>"900938"</f>
        <v>900938</v>
      </c>
      <c r="C2184" t="s">
        <v>4410</v>
      </c>
      <c r="F2184">
        <v>-596597640.14999998</v>
      </c>
      <c r="G2184">
        <v>2615568823.5300002</v>
      </c>
      <c r="H2184">
        <v>355597254.39999998</v>
      </c>
      <c r="I2184">
        <v>275653972.80000001</v>
      </c>
      <c r="J2184">
        <v>-879655987.20000005</v>
      </c>
      <c r="K2184">
        <v>227482416</v>
      </c>
      <c r="L2184">
        <v>-6882418.466</v>
      </c>
      <c r="M2184">
        <v>20651941.819600001</v>
      </c>
      <c r="N2184">
        <v>21694550.513999999</v>
      </c>
      <c r="O2184">
        <v>5384947.5374999996</v>
      </c>
      <c r="P2184">
        <v>12</v>
      </c>
      <c r="Q2184" t="s">
        <v>4411</v>
      </c>
    </row>
    <row r="2185" spans="1:17" x14ac:dyDescent="0.3">
      <c r="A2185" t="s">
        <v>17</v>
      </c>
      <c r="B2185" t="str">
        <f>"900939"</f>
        <v>900939</v>
      </c>
      <c r="C2185" t="s">
        <v>4412</v>
      </c>
      <c r="F2185">
        <v>2253973.7124999999</v>
      </c>
      <c r="G2185">
        <v>2473952.1444999999</v>
      </c>
      <c r="H2185">
        <v>961495.77080000006</v>
      </c>
      <c r="I2185">
        <v>1323421.6398</v>
      </c>
      <c r="J2185">
        <v>1317146.8799999999</v>
      </c>
      <c r="K2185">
        <v>970503.84</v>
      </c>
      <c r="L2185">
        <v>1107181.7679999999</v>
      </c>
      <c r="M2185">
        <v>907596.13879999996</v>
      </c>
      <c r="N2185">
        <v>2222274.5299999998</v>
      </c>
      <c r="O2185">
        <v>2932496.784</v>
      </c>
      <c r="P2185">
        <v>7</v>
      </c>
      <c r="Q2185" t="s">
        <v>4413</v>
      </c>
    </row>
    <row r="2186" spans="1:17" x14ac:dyDescent="0.3">
      <c r="A2186" t="s">
        <v>17</v>
      </c>
      <c r="B2186" t="str">
        <f>"900940"</f>
        <v>900940</v>
      </c>
      <c r="C2186" t="s">
        <v>4414</v>
      </c>
      <c r="F2186">
        <v>1021216585.6848</v>
      </c>
      <c r="G2186">
        <v>-374007061.34289998</v>
      </c>
      <c r="H2186">
        <v>1476925065.164</v>
      </c>
      <c r="I2186">
        <v>915895152.72619998</v>
      </c>
      <c r="J2186">
        <v>83635515.648000002</v>
      </c>
      <c r="K2186">
        <v>-980310716.78400004</v>
      </c>
      <c r="L2186">
        <v>-1042180768.398</v>
      </c>
      <c r="M2186">
        <v>-428124430.01639998</v>
      </c>
      <c r="N2186">
        <v>-500397792.08999997</v>
      </c>
      <c r="O2186">
        <v>-182051567.80050001</v>
      </c>
      <c r="P2186">
        <v>15</v>
      </c>
      <c r="Q2186" t="s">
        <v>4415</v>
      </c>
    </row>
    <row r="2187" spans="1:17" x14ac:dyDescent="0.3">
      <c r="A2187" t="s">
        <v>17</v>
      </c>
      <c r="B2187" t="str">
        <f>"900941"</f>
        <v>900941</v>
      </c>
      <c r="C2187" t="s">
        <v>4416</v>
      </c>
      <c r="F2187">
        <v>12434344.607799999</v>
      </c>
      <c r="G2187">
        <v>-4197347.2359999996</v>
      </c>
      <c r="H2187">
        <v>-500643.59360000002</v>
      </c>
      <c r="I2187">
        <v>-10743525.593800001</v>
      </c>
      <c r="J2187">
        <v>-17333349.120000001</v>
      </c>
      <c r="K2187">
        <v>-20906355.743999999</v>
      </c>
      <c r="L2187">
        <v>-14539073.934</v>
      </c>
      <c r="M2187">
        <v>5278839.1292000003</v>
      </c>
      <c r="N2187">
        <v>-19990667.636799999</v>
      </c>
      <c r="O2187">
        <v>-11359639.0035</v>
      </c>
      <c r="P2187">
        <v>8</v>
      </c>
      <c r="Q2187" t="s">
        <v>4417</v>
      </c>
    </row>
    <row r="2188" spans="1:17" x14ac:dyDescent="0.3">
      <c r="A2188" t="s">
        <v>17</v>
      </c>
      <c r="B2188" t="str">
        <f>"900942"</f>
        <v>900942</v>
      </c>
      <c r="C2188" t="s">
        <v>4418</v>
      </c>
      <c r="F2188">
        <v>-28295492.177000001</v>
      </c>
      <c r="G2188">
        <v>-32015169.006200001</v>
      </c>
      <c r="H2188">
        <v>30995593.443599999</v>
      </c>
      <c r="I2188">
        <v>53495016.4978</v>
      </c>
      <c r="J2188">
        <v>72833688.422399998</v>
      </c>
      <c r="K2188">
        <v>62569077.983999997</v>
      </c>
      <c r="L2188">
        <v>74802944.216000006</v>
      </c>
      <c r="M2188">
        <v>32537582.1316</v>
      </c>
      <c r="N2188">
        <v>10516857.828400001</v>
      </c>
      <c r="O2188">
        <v>-4351337.1675000004</v>
      </c>
      <c r="P2188">
        <v>55</v>
      </c>
      <c r="Q2188" t="s">
        <v>4419</v>
      </c>
    </row>
    <row r="2189" spans="1:17" x14ac:dyDescent="0.3">
      <c r="A2189" t="s">
        <v>17</v>
      </c>
      <c r="B2189" t="str">
        <f>"900943"</f>
        <v>900943</v>
      </c>
      <c r="C2189" t="s">
        <v>4420</v>
      </c>
      <c r="F2189">
        <v>-33360016.964600001</v>
      </c>
      <c r="G2189">
        <v>11438475.059</v>
      </c>
      <c r="H2189">
        <v>2328248.2607999998</v>
      </c>
      <c r="I2189">
        <v>4614204.4424000001</v>
      </c>
      <c r="J2189">
        <v>6206648.3711999999</v>
      </c>
      <c r="K2189">
        <v>1249381.584</v>
      </c>
      <c r="L2189">
        <v>1876087.4439999999</v>
      </c>
      <c r="M2189">
        <v>3061148.5060000001</v>
      </c>
      <c r="N2189">
        <v>-4361961.9456000002</v>
      </c>
      <c r="O2189">
        <v>2248816.86</v>
      </c>
      <c r="P2189">
        <v>3</v>
      </c>
      <c r="Q2189" t="s">
        <v>4421</v>
      </c>
    </row>
    <row r="2190" spans="1:17" x14ac:dyDescent="0.3">
      <c r="A2190" t="s">
        <v>17</v>
      </c>
      <c r="B2190" t="str">
        <f>"900945"</f>
        <v>900945</v>
      </c>
      <c r="C2190" t="s">
        <v>4422</v>
      </c>
      <c r="F2190">
        <v>-96085996.299999997</v>
      </c>
      <c r="G2190">
        <v>-242824291.11000001</v>
      </c>
      <c r="H2190">
        <v>2371072509.1999998</v>
      </c>
      <c r="I2190">
        <v>1588289404.4000001</v>
      </c>
      <c r="J2190">
        <v>321096038.39999998</v>
      </c>
      <c r="K2190">
        <v>1152676944</v>
      </c>
      <c r="L2190">
        <v>576143876</v>
      </c>
      <c r="M2190">
        <v>117919089.59999999</v>
      </c>
      <c r="N2190">
        <v>65218977.600000001</v>
      </c>
      <c r="O2190">
        <v>398281713</v>
      </c>
      <c r="P2190">
        <v>7</v>
      </c>
      <c r="Q2190" t="s">
        <v>4423</v>
      </c>
    </row>
    <row r="2191" spans="1:17" x14ac:dyDescent="0.3">
      <c r="A2191" t="s">
        <v>17</v>
      </c>
      <c r="B2191" t="str">
        <f>"900946"</f>
        <v>900946</v>
      </c>
      <c r="C2191" t="s">
        <v>4424</v>
      </c>
      <c r="F2191">
        <v>3425929.9342999998</v>
      </c>
      <c r="G2191">
        <v>114281.57</v>
      </c>
      <c r="H2191">
        <v>-217747.86</v>
      </c>
      <c r="I2191">
        <v>-4096506.1430000002</v>
      </c>
      <c r="J2191">
        <v>-3672821.4528000001</v>
      </c>
      <c r="K2191">
        <v>-2738661.5520000001</v>
      </c>
      <c r="L2191">
        <v>-12680523.548</v>
      </c>
      <c r="M2191">
        <v>5482677.1739999996</v>
      </c>
      <c r="N2191">
        <v>-3558213.0639999998</v>
      </c>
      <c r="O2191">
        <v>29304678.072000001</v>
      </c>
      <c r="P2191">
        <v>3</v>
      </c>
      <c r="Q2191" t="s">
        <v>4425</v>
      </c>
    </row>
    <row r="2192" spans="1:17" x14ac:dyDescent="0.3">
      <c r="A2192" t="s">
        <v>17</v>
      </c>
      <c r="B2192" t="str">
        <f>"900947"</f>
        <v>900947</v>
      </c>
      <c r="C2192" t="s">
        <v>4426</v>
      </c>
      <c r="F2192">
        <v>159288675.4102</v>
      </c>
      <c r="G2192">
        <v>-122142709.16680001</v>
      </c>
      <c r="H2192">
        <v>-23329692.113200001</v>
      </c>
      <c r="I2192">
        <v>-317592421.65460002</v>
      </c>
      <c r="J2192">
        <v>14845294.2336</v>
      </c>
      <c r="K2192">
        <v>74072309.327999994</v>
      </c>
      <c r="L2192">
        <v>-592761775.14400005</v>
      </c>
      <c r="M2192">
        <v>-239298608.822</v>
      </c>
      <c r="N2192">
        <v>172807236.81479999</v>
      </c>
      <c r="O2192">
        <v>559755167.32799995</v>
      </c>
      <c r="P2192">
        <v>18</v>
      </c>
      <c r="Q2192" t="s">
        <v>4427</v>
      </c>
    </row>
    <row r="2193" spans="1:17" x14ac:dyDescent="0.3">
      <c r="A2193" t="s">
        <v>17</v>
      </c>
      <c r="B2193" t="str">
        <f>"900948"</f>
        <v>900948</v>
      </c>
      <c r="C2193" t="s">
        <v>4428</v>
      </c>
      <c r="F2193">
        <v>2689173612.8505001</v>
      </c>
      <c r="G2193">
        <v>781651856.55330002</v>
      </c>
      <c r="H2193">
        <v>772684951.86080003</v>
      </c>
      <c r="I2193">
        <v>924413824.3714</v>
      </c>
      <c r="J2193">
        <v>725275491.53279996</v>
      </c>
      <c r="K2193">
        <v>473982696</v>
      </c>
      <c r="L2193">
        <v>-599708443.64199996</v>
      </c>
      <c r="M2193">
        <v>-491202135.57999998</v>
      </c>
      <c r="N2193">
        <v>-155242242.57359999</v>
      </c>
      <c r="O2193">
        <v>560614279.85099995</v>
      </c>
      <c r="P2193">
        <v>225</v>
      </c>
      <c r="Q2193" t="s">
        <v>4429</v>
      </c>
    </row>
    <row r="2194" spans="1:17" x14ac:dyDescent="0.3">
      <c r="A2194" t="s">
        <v>17</v>
      </c>
      <c r="B2194" t="str">
        <f>"900949"</f>
        <v>900949</v>
      </c>
      <c r="C2194" t="s">
        <v>4430</v>
      </c>
      <c r="O2194">
        <v>40114913.170500003</v>
      </c>
      <c r="P2194">
        <v>2</v>
      </c>
      <c r="Q2194" t="s">
        <v>4431</v>
      </c>
    </row>
    <row r="2195" spans="1:17" x14ac:dyDescent="0.3">
      <c r="A2195" t="s">
        <v>17</v>
      </c>
      <c r="B2195" t="str">
        <f>"900950"</f>
        <v>900950</v>
      </c>
      <c r="C2195" t="s">
        <v>4432</v>
      </c>
      <c r="M2195">
        <v>316669332.27530003</v>
      </c>
      <c r="N2195">
        <v>-40077049.277500004</v>
      </c>
      <c r="O2195">
        <v>318370473.50150001</v>
      </c>
      <c r="P2195">
        <v>7</v>
      </c>
      <c r="Q2195" t="s">
        <v>4433</v>
      </c>
    </row>
    <row r="2196" spans="1:17" x14ac:dyDescent="0.3">
      <c r="A2196" t="s">
        <v>17</v>
      </c>
      <c r="B2196" t="str">
        <f>"900951"</f>
        <v>900951</v>
      </c>
      <c r="C2196" t="s">
        <v>4434</v>
      </c>
      <c r="H2196">
        <v>-21753395.0568</v>
      </c>
      <c r="I2196">
        <v>-8249196.2999999998</v>
      </c>
      <c r="J2196">
        <v>8620744.0896000005</v>
      </c>
      <c r="K2196">
        <v>-16826079.168000001</v>
      </c>
      <c r="L2196">
        <v>6050931.0122999996</v>
      </c>
      <c r="M2196">
        <v>-16497499.0659</v>
      </c>
      <c r="N2196">
        <v>47364935.509099998</v>
      </c>
      <c r="O2196">
        <v>16370894.642999999</v>
      </c>
      <c r="P2196">
        <v>2</v>
      </c>
      <c r="Q2196" t="s">
        <v>4435</v>
      </c>
    </row>
    <row r="2197" spans="1:17" x14ac:dyDescent="0.3">
      <c r="A2197" t="s">
        <v>17</v>
      </c>
      <c r="B2197" t="str">
        <f>"900952"</f>
        <v>900952</v>
      </c>
      <c r="C2197" t="s">
        <v>4436</v>
      </c>
      <c r="F2197">
        <v>175697226.34240001</v>
      </c>
      <c r="G2197">
        <v>107640390.81129999</v>
      </c>
      <c r="H2197">
        <v>53996486.072800003</v>
      </c>
      <c r="I2197">
        <v>63350364.446800001</v>
      </c>
      <c r="J2197">
        <v>119608570.368</v>
      </c>
      <c r="K2197">
        <v>66401727.408</v>
      </c>
      <c r="L2197">
        <v>-74971716.357999995</v>
      </c>
      <c r="M2197">
        <v>-60513041.289999999</v>
      </c>
      <c r="N2197">
        <v>-71387906.892399997</v>
      </c>
      <c r="O2197">
        <v>-182982220.63049999</v>
      </c>
      <c r="P2197">
        <v>8</v>
      </c>
      <c r="Q2197" t="s">
        <v>4437</v>
      </c>
    </row>
    <row r="2198" spans="1:17" x14ac:dyDescent="0.3">
      <c r="A2198" t="s">
        <v>17</v>
      </c>
      <c r="B2198" t="str">
        <f>"900953"</f>
        <v>900953</v>
      </c>
      <c r="C2198" t="s">
        <v>4438</v>
      </c>
      <c r="F2198">
        <v>-27130414.141399998</v>
      </c>
      <c r="G2198">
        <v>-1830330.8651000001</v>
      </c>
      <c r="H2198">
        <v>-3518081.2428000001</v>
      </c>
      <c r="I2198">
        <v>-33571970.152000003</v>
      </c>
      <c r="J2198">
        <v>20997876.326400001</v>
      </c>
      <c r="K2198">
        <v>32932211.471999999</v>
      </c>
      <c r="L2198">
        <v>49198980.292000003</v>
      </c>
      <c r="M2198">
        <v>-16045851.868799999</v>
      </c>
      <c r="N2198">
        <v>37743918.676799998</v>
      </c>
      <c r="O2198">
        <v>9841566.7664999999</v>
      </c>
      <c r="P2198">
        <v>6</v>
      </c>
      <c r="Q2198" t="s">
        <v>4439</v>
      </c>
    </row>
    <row r="2199" spans="1:17" x14ac:dyDescent="0.3">
      <c r="A2199" t="s">
        <v>17</v>
      </c>
      <c r="B2199" t="str">
        <f>"900955"</f>
        <v>900955</v>
      </c>
      <c r="C2199" t="s">
        <v>4440</v>
      </c>
      <c r="F2199">
        <v>4560169.5345999999</v>
      </c>
      <c r="G2199">
        <v>-4753095.5728000002</v>
      </c>
      <c r="H2199">
        <v>-7031377.8772</v>
      </c>
      <c r="I2199">
        <v>-27332882.760200001</v>
      </c>
      <c r="J2199">
        <v>17207560.704</v>
      </c>
      <c r="K2199">
        <v>-15403040.352</v>
      </c>
      <c r="L2199">
        <v>-27080219.011999998</v>
      </c>
      <c r="M2199">
        <v>-33190678.128400002</v>
      </c>
      <c r="N2199">
        <v>28686985.616799999</v>
      </c>
      <c r="O2199">
        <v>-38640666.6285</v>
      </c>
      <c r="P2199">
        <v>4</v>
      </c>
      <c r="Q2199" t="s">
        <v>4441</v>
      </c>
    </row>
    <row r="2200" spans="1:17" x14ac:dyDescent="0.3">
      <c r="A2200" t="s">
        <v>17</v>
      </c>
      <c r="B2200" t="str">
        <f>"900956"</f>
        <v>900956</v>
      </c>
      <c r="C2200" t="s">
        <v>4442</v>
      </c>
      <c r="H2200">
        <v>50506957.1052</v>
      </c>
      <c r="I2200">
        <v>22610262.843400002</v>
      </c>
      <c r="J2200">
        <v>13053542.092800001</v>
      </c>
      <c r="K2200">
        <v>-34937210.736000001</v>
      </c>
      <c r="L2200">
        <v>301269.60399999999</v>
      </c>
      <c r="M2200">
        <v>-7828503.7718000002</v>
      </c>
      <c r="N2200">
        <v>-14797431.887700001</v>
      </c>
      <c r="O2200">
        <v>44289264.095700003</v>
      </c>
      <c r="P2200">
        <v>10</v>
      </c>
      <c r="Q2200" t="s">
        <v>4443</v>
      </c>
    </row>
    <row r="2201" spans="1:17" x14ac:dyDescent="0.3">
      <c r="A2201" t="s">
        <v>17</v>
      </c>
      <c r="B2201" t="str">
        <f>"900957"</f>
        <v>900957</v>
      </c>
      <c r="C2201" t="s">
        <v>4444</v>
      </c>
      <c r="F2201">
        <v>3434658.4799000002</v>
      </c>
      <c r="G2201">
        <v>8392980.6567000002</v>
      </c>
      <c r="H2201">
        <v>6268097.0636</v>
      </c>
      <c r="I2201">
        <v>5538148.7423999999</v>
      </c>
      <c r="J2201">
        <v>20543577.446400002</v>
      </c>
      <c r="K2201">
        <v>-3311392.0320000001</v>
      </c>
      <c r="L2201">
        <v>-36002140.636</v>
      </c>
      <c r="M2201">
        <v>-55609426.272399999</v>
      </c>
      <c r="N2201">
        <v>-20252398.787599999</v>
      </c>
      <c r="O2201">
        <v>-1562011.3589999999</v>
      </c>
      <c r="P2201">
        <v>2</v>
      </c>
      <c r="Q2201" t="s">
        <v>4445</v>
      </c>
    </row>
    <row r="2202" spans="1:17" x14ac:dyDescent="0.3">
      <c r="A2202" t="s">
        <v>4446</v>
      </c>
      <c r="B2202" t="str">
        <f>"000001"</f>
        <v>000001</v>
      </c>
      <c r="C2202" t="s">
        <v>4447</v>
      </c>
      <c r="D2202" t="s">
        <v>19</v>
      </c>
      <c r="F2202">
        <v>-198788000000</v>
      </c>
      <c r="G2202">
        <v>-19274000000</v>
      </c>
      <c r="H2202">
        <v>-43414000000</v>
      </c>
      <c r="I2202">
        <v>-61850000000</v>
      </c>
      <c r="J2202">
        <v>-121563615976</v>
      </c>
      <c r="K2202">
        <v>8217000000</v>
      </c>
      <c r="L2202">
        <v>-5360000000</v>
      </c>
      <c r="M2202">
        <v>21486000000</v>
      </c>
      <c r="N2202">
        <v>89924000000</v>
      </c>
      <c r="O2202">
        <v>184416449000</v>
      </c>
      <c r="P2202">
        <v>6180</v>
      </c>
      <c r="Q2202" t="s">
        <v>4448</v>
      </c>
    </row>
    <row r="2203" spans="1:17" x14ac:dyDescent="0.3">
      <c r="A2203" t="s">
        <v>4446</v>
      </c>
      <c r="B2203" t="str">
        <f>"000002"</f>
        <v>000002</v>
      </c>
      <c r="C2203" t="s">
        <v>4449</v>
      </c>
      <c r="D2203" t="s">
        <v>30</v>
      </c>
      <c r="F2203">
        <v>-5401175961</v>
      </c>
      <c r="G2203">
        <v>46042037543</v>
      </c>
      <c r="H2203">
        <v>39538739432</v>
      </c>
      <c r="I2203">
        <v>27768986308</v>
      </c>
      <c r="J2203">
        <v>80103958808</v>
      </c>
      <c r="K2203">
        <v>37666720295</v>
      </c>
      <c r="L2203">
        <v>13987294534</v>
      </c>
      <c r="M2203">
        <v>39894732805</v>
      </c>
      <c r="N2203">
        <v>-513723105</v>
      </c>
      <c r="O2203">
        <v>3576824302</v>
      </c>
      <c r="P2203">
        <v>12434</v>
      </c>
      <c r="Q2203" t="s">
        <v>4450</v>
      </c>
    </row>
    <row r="2204" spans="1:17" x14ac:dyDescent="0.3">
      <c r="A2204" t="s">
        <v>4446</v>
      </c>
      <c r="B2204" t="str">
        <f>"000003"</f>
        <v>000003</v>
      </c>
      <c r="C2204" t="s">
        <v>4451</v>
      </c>
      <c r="K2204">
        <v>-38771883.590000004</v>
      </c>
      <c r="L2204">
        <v>2236282.5</v>
      </c>
      <c r="M2204">
        <v>1007663.77</v>
      </c>
      <c r="N2204">
        <v>-4190399.42</v>
      </c>
      <c r="O2204">
        <v>308082.63</v>
      </c>
      <c r="P2204">
        <v>12</v>
      </c>
      <c r="Q2204" t="s">
        <v>4452</v>
      </c>
    </row>
    <row r="2205" spans="1:17" x14ac:dyDescent="0.3">
      <c r="A2205" t="s">
        <v>4446</v>
      </c>
      <c r="B2205" t="str">
        <f>"000004"</f>
        <v>000004</v>
      </c>
      <c r="C2205" t="s">
        <v>4453</v>
      </c>
      <c r="D2205" t="s">
        <v>212</v>
      </c>
      <c r="F2205">
        <v>1750255</v>
      </c>
      <c r="G2205">
        <v>-4803897</v>
      </c>
      <c r="H2205">
        <v>-20379811</v>
      </c>
      <c r="I2205">
        <v>-70847382</v>
      </c>
      <c r="J2205">
        <v>22547751</v>
      </c>
      <c r="K2205">
        <v>145688319</v>
      </c>
      <c r="L2205">
        <v>6221514</v>
      </c>
      <c r="M2205">
        <v>-16725049</v>
      </c>
      <c r="N2205">
        <v>-23203805</v>
      </c>
      <c r="O2205">
        <v>-780342</v>
      </c>
      <c r="P2205">
        <v>187</v>
      </c>
      <c r="Q2205" t="s">
        <v>4454</v>
      </c>
    </row>
    <row r="2206" spans="1:17" x14ac:dyDescent="0.3">
      <c r="A2206" t="s">
        <v>4446</v>
      </c>
      <c r="B2206" t="str">
        <f>"000005"</f>
        <v>000005</v>
      </c>
      <c r="C2206" t="s">
        <v>4455</v>
      </c>
      <c r="D2206" t="s">
        <v>33</v>
      </c>
      <c r="F2206">
        <v>235259400</v>
      </c>
      <c r="G2206">
        <v>77464224</v>
      </c>
      <c r="H2206">
        <v>155173437</v>
      </c>
      <c r="I2206">
        <v>38416883</v>
      </c>
      <c r="J2206">
        <v>-212040758</v>
      </c>
      <c r="K2206">
        <v>-201249033</v>
      </c>
      <c r="L2206">
        <v>3589358</v>
      </c>
      <c r="M2206">
        <v>-300273750</v>
      </c>
      <c r="N2206">
        <v>-122390460</v>
      </c>
      <c r="O2206">
        <v>160796019</v>
      </c>
      <c r="P2206">
        <v>87</v>
      </c>
      <c r="Q2206" t="s">
        <v>4456</v>
      </c>
    </row>
    <row r="2207" spans="1:17" x14ac:dyDescent="0.3">
      <c r="A2207" t="s">
        <v>4446</v>
      </c>
      <c r="B2207" t="str">
        <f>"000006"</f>
        <v>000006</v>
      </c>
      <c r="C2207" t="s">
        <v>4457</v>
      </c>
      <c r="D2207" t="s">
        <v>30</v>
      </c>
      <c r="F2207">
        <v>-3879561711</v>
      </c>
      <c r="G2207">
        <v>-172655125</v>
      </c>
      <c r="H2207">
        <v>-206048045</v>
      </c>
      <c r="I2207">
        <v>1588782157</v>
      </c>
      <c r="J2207">
        <v>705103819</v>
      </c>
      <c r="K2207">
        <v>1707664562</v>
      </c>
      <c r="L2207">
        <v>-307368839</v>
      </c>
      <c r="M2207">
        <v>-1103448273</v>
      </c>
      <c r="N2207">
        <v>-857645026</v>
      </c>
      <c r="O2207">
        <v>2180186801</v>
      </c>
      <c r="P2207">
        <v>424</v>
      </c>
      <c r="Q2207" t="s">
        <v>4458</v>
      </c>
    </row>
    <row r="2208" spans="1:17" x14ac:dyDescent="0.3">
      <c r="A2208" t="s">
        <v>4446</v>
      </c>
      <c r="B2208" t="str">
        <f>"000007"</f>
        <v>000007</v>
      </c>
      <c r="C2208" t="s">
        <v>4459</v>
      </c>
      <c r="D2208" t="s">
        <v>120</v>
      </c>
      <c r="F2208">
        <v>-59799213</v>
      </c>
      <c r="G2208">
        <v>15335748</v>
      </c>
      <c r="H2208">
        <v>-27239350</v>
      </c>
      <c r="I2208">
        <v>-7784831</v>
      </c>
      <c r="J2208">
        <v>487401</v>
      </c>
      <c r="K2208">
        <v>-24949472</v>
      </c>
      <c r="L2208">
        <v>237325424</v>
      </c>
      <c r="M2208">
        <v>18304577</v>
      </c>
      <c r="N2208">
        <v>269580823</v>
      </c>
      <c r="O2208">
        <v>-251282373</v>
      </c>
      <c r="P2208">
        <v>93</v>
      </c>
      <c r="Q2208" t="s">
        <v>4460</v>
      </c>
    </row>
    <row r="2209" spans="1:17" x14ac:dyDescent="0.3">
      <c r="A2209" t="s">
        <v>4446</v>
      </c>
      <c r="B2209" t="str">
        <f>"000008"</f>
        <v>000008</v>
      </c>
      <c r="C2209" t="s">
        <v>4461</v>
      </c>
      <c r="D2209" t="s">
        <v>78</v>
      </c>
      <c r="F2209">
        <v>71998080</v>
      </c>
      <c r="G2209">
        <v>328172211</v>
      </c>
      <c r="H2209">
        <v>-167457965</v>
      </c>
      <c r="I2209">
        <v>-706524255</v>
      </c>
      <c r="J2209">
        <v>-109837931</v>
      </c>
      <c r="K2209">
        <v>-107664668</v>
      </c>
      <c r="L2209">
        <v>-164691800</v>
      </c>
      <c r="M2209">
        <v>67656416</v>
      </c>
      <c r="N2209">
        <v>56317130</v>
      </c>
      <c r="O2209">
        <v>78889803</v>
      </c>
      <c r="P2209">
        <v>301</v>
      </c>
      <c r="Q2209" t="s">
        <v>4462</v>
      </c>
    </row>
    <row r="2210" spans="1:17" x14ac:dyDescent="0.3">
      <c r="A2210" t="s">
        <v>4446</v>
      </c>
      <c r="B2210" t="str">
        <f>"000009"</f>
        <v>000009</v>
      </c>
      <c r="C2210" t="s">
        <v>4463</v>
      </c>
      <c r="D2210" t="s">
        <v>188</v>
      </c>
      <c r="F2210">
        <v>-2246437192</v>
      </c>
      <c r="G2210">
        <v>-354192300</v>
      </c>
      <c r="H2210">
        <v>684533619</v>
      </c>
      <c r="I2210">
        <v>1564779501</v>
      </c>
      <c r="J2210">
        <v>-503946072</v>
      </c>
      <c r="K2210">
        <v>-939664575</v>
      </c>
      <c r="L2210">
        <v>-832654543</v>
      </c>
      <c r="M2210">
        <v>-163642343</v>
      </c>
      <c r="N2210">
        <v>-553261033</v>
      </c>
      <c r="O2210">
        <v>-277625222</v>
      </c>
      <c r="P2210">
        <v>468</v>
      </c>
      <c r="Q2210" t="s">
        <v>4464</v>
      </c>
    </row>
    <row r="2211" spans="1:17" x14ac:dyDescent="0.3">
      <c r="A2211" t="s">
        <v>4446</v>
      </c>
      <c r="B2211" t="str">
        <f>"000010"</f>
        <v>000010</v>
      </c>
      <c r="C2211" t="s">
        <v>4465</v>
      </c>
      <c r="D2211" t="s">
        <v>95</v>
      </c>
      <c r="F2211">
        <v>-55541888</v>
      </c>
      <c r="G2211">
        <v>-326116212</v>
      </c>
      <c r="H2211">
        <v>26117799</v>
      </c>
      <c r="I2211">
        <v>-241501783</v>
      </c>
      <c r="J2211">
        <v>581372749</v>
      </c>
      <c r="K2211">
        <v>-154922828</v>
      </c>
      <c r="L2211">
        <v>-370484338</v>
      </c>
      <c r="M2211">
        <v>-135396575</v>
      </c>
      <c r="N2211">
        <v>3442456</v>
      </c>
      <c r="O2211">
        <v>-3903889</v>
      </c>
      <c r="P2211">
        <v>93</v>
      </c>
      <c r="Q2211" t="s">
        <v>4466</v>
      </c>
    </row>
    <row r="2212" spans="1:17" x14ac:dyDescent="0.3">
      <c r="A2212" t="s">
        <v>4446</v>
      </c>
      <c r="B2212" t="str">
        <f>"000011"</f>
        <v>000011</v>
      </c>
      <c r="C2212" t="s">
        <v>4467</v>
      </c>
      <c r="D2212" t="s">
        <v>30</v>
      </c>
      <c r="F2212">
        <v>-1835863862</v>
      </c>
      <c r="G2212">
        <v>337151059</v>
      </c>
      <c r="H2212">
        <v>877979391</v>
      </c>
      <c r="I2212">
        <v>1106524865</v>
      </c>
      <c r="J2212">
        <v>-349979929</v>
      </c>
      <c r="K2212">
        <v>2247525685</v>
      </c>
      <c r="L2212">
        <v>272448767</v>
      </c>
      <c r="M2212">
        <v>-27442653</v>
      </c>
      <c r="N2212">
        <v>116386513</v>
      </c>
      <c r="O2212">
        <v>802167050</v>
      </c>
      <c r="P2212">
        <v>481</v>
      </c>
      <c r="Q2212" t="s">
        <v>4468</v>
      </c>
    </row>
    <row r="2213" spans="1:17" x14ac:dyDescent="0.3">
      <c r="A2213" t="s">
        <v>4446</v>
      </c>
      <c r="B2213" t="str">
        <f>"000012"</f>
        <v>000012</v>
      </c>
      <c r="C2213" t="s">
        <v>4469</v>
      </c>
      <c r="D2213" t="s">
        <v>350</v>
      </c>
      <c r="F2213">
        <v>2079812823</v>
      </c>
      <c r="G2213">
        <v>1621736930</v>
      </c>
      <c r="H2213">
        <v>1664488761</v>
      </c>
      <c r="I2213">
        <v>1438777883</v>
      </c>
      <c r="J2213">
        <v>1255644603</v>
      </c>
      <c r="K2213">
        <v>960162739</v>
      </c>
      <c r="L2213">
        <v>259250230</v>
      </c>
      <c r="M2213">
        <v>-460525278</v>
      </c>
      <c r="N2213">
        <v>-423912659</v>
      </c>
      <c r="O2213">
        <v>347365411</v>
      </c>
      <c r="P2213">
        <v>409</v>
      </c>
      <c r="Q2213" t="s">
        <v>4470</v>
      </c>
    </row>
    <row r="2214" spans="1:17" x14ac:dyDescent="0.3">
      <c r="A2214" t="s">
        <v>4446</v>
      </c>
      <c r="B2214" t="str">
        <f>"000014"</f>
        <v>000014</v>
      </c>
      <c r="C2214" t="s">
        <v>4471</v>
      </c>
      <c r="D2214" t="s">
        <v>30</v>
      </c>
      <c r="F2214">
        <v>-91917103</v>
      </c>
      <c r="G2214">
        <v>252604939</v>
      </c>
      <c r="H2214">
        <v>32144312</v>
      </c>
      <c r="I2214">
        <v>-120288264</v>
      </c>
      <c r="J2214">
        <v>418665644</v>
      </c>
      <c r="K2214">
        <v>443325468</v>
      </c>
      <c r="L2214">
        <v>34475499</v>
      </c>
      <c r="M2214">
        <v>-322407542</v>
      </c>
      <c r="N2214">
        <v>70537487</v>
      </c>
      <c r="O2214">
        <v>92023393</v>
      </c>
      <c r="P2214">
        <v>96</v>
      </c>
      <c r="Q2214" t="s">
        <v>4472</v>
      </c>
    </row>
    <row r="2215" spans="1:17" x14ac:dyDescent="0.3">
      <c r="A2215" t="s">
        <v>4446</v>
      </c>
      <c r="B2215" t="str">
        <f>"000015"</f>
        <v>000015</v>
      </c>
      <c r="C2215" t="s">
        <v>4473</v>
      </c>
      <c r="K2215">
        <v>-38298303.619999997</v>
      </c>
      <c r="L2215">
        <v>47435631.289999999</v>
      </c>
      <c r="P2215">
        <v>13</v>
      </c>
      <c r="Q2215" t="s">
        <v>4474</v>
      </c>
    </row>
    <row r="2216" spans="1:17" x14ac:dyDescent="0.3">
      <c r="A2216" t="s">
        <v>4446</v>
      </c>
      <c r="B2216" t="str">
        <f>"000016"</f>
        <v>000016</v>
      </c>
      <c r="C2216" t="s">
        <v>4475</v>
      </c>
      <c r="D2216" t="s">
        <v>126</v>
      </c>
      <c r="F2216">
        <v>-5596123758</v>
      </c>
      <c r="G2216">
        <v>-5090982564</v>
      </c>
      <c r="H2216">
        <v>-5269747317</v>
      </c>
      <c r="I2216">
        <v>-3713509683</v>
      </c>
      <c r="J2216">
        <v>-4465171778</v>
      </c>
      <c r="K2216">
        <v>-1139698948</v>
      </c>
      <c r="L2216">
        <v>1059135067</v>
      </c>
      <c r="M2216">
        <v>-1382487105</v>
      </c>
      <c r="N2216">
        <v>2025388949</v>
      </c>
      <c r="O2216">
        <v>-571914087</v>
      </c>
      <c r="P2216">
        <v>266</v>
      </c>
      <c r="Q2216" t="s">
        <v>4476</v>
      </c>
    </row>
    <row r="2217" spans="1:17" x14ac:dyDescent="0.3">
      <c r="A2217" t="s">
        <v>4446</v>
      </c>
      <c r="B2217" t="str">
        <f>"000017"</f>
        <v>000017</v>
      </c>
      <c r="C2217" t="s">
        <v>4477</v>
      </c>
      <c r="D2217" t="s">
        <v>27</v>
      </c>
      <c r="F2217">
        <v>15655042</v>
      </c>
      <c r="G2217">
        <v>3988610</v>
      </c>
      <c r="H2217">
        <v>-14689518</v>
      </c>
      <c r="I2217">
        <v>-9496768</v>
      </c>
      <c r="J2217">
        <v>-4029633</v>
      </c>
      <c r="K2217">
        <v>-2736778</v>
      </c>
      <c r="L2217">
        <v>-3411801</v>
      </c>
      <c r="M2217">
        <v>3329695</v>
      </c>
      <c r="N2217">
        <v>1626752604</v>
      </c>
      <c r="O2217">
        <v>-7151241</v>
      </c>
      <c r="P2217">
        <v>64</v>
      </c>
      <c r="Q2217" t="s">
        <v>4478</v>
      </c>
    </row>
    <row r="2218" spans="1:17" x14ac:dyDescent="0.3">
      <c r="A2218" t="s">
        <v>4446</v>
      </c>
      <c r="B2218" t="str">
        <f>"000018"</f>
        <v>000018</v>
      </c>
      <c r="C2218" t="s">
        <v>4479</v>
      </c>
      <c r="H2218">
        <v>-499708029</v>
      </c>
      <c r="I2218">
        <v>818806514</v>
      </c>
      <c r="J2218">
        <v>-1829988028</v>
      </c>
      <c r="K2218">
        <v>-1703361926</v>
      </c>
      <c r="L2218">
        <v>-317230600</v>
      </c>
      <c r="M2218">
        <v>1389017</v>
      </c>
      <c r="N2218">
        <v>22421732</v>
      </c>
      <c r="O2218">
        <v>-1044545</v>
      </c>
      <c r="P2218">
        <v>99</v>
      </c>
      <c r="Q2218" t="s">
        <v>4480</v>
      </c>
    </row>
    <row r="2219" spans="1:17" x14ac:dyDescent="0.3">
      <c r="A2219" t="s">
        <v>4446</v>
      </c>
      <c r="B2219" t="str">
        <f>"000019"</f>
        <v>000019</v>
      </c>
      <c r="C2219" t="s">
        <v>4481</v>
      </c>
      <c r="D2219" t="s">
        <v>205</v>
      </c>
      <c r="F2219">
        <v>280761044</v>
      </c>
      <c r="G2219">
        <v>-43738928</v>
      </c>
      <c r="H2219">
        <v>-383084722</v>
      </c>
      <c r="I2219">
        <v>-81604635</v>
      </c>
      <c r="J2219">
        <v>-101384296</v>
      </c>
      <c r="K2219">
        <v>29643270</v>
      </c>
      <c r="L2219">
        <v>-80224052</v>
      </c>
      <c r="M2219">
        <v>-28555634</v>
      </c>
      <c r="N2219">
        <v>-168437459</v>
      </c>
      <c r="O2219">
        <v>-188567290</v>
      </c>
      <c r="P2219">
        <v>176</v>
      </c>
      <c r="Q2219" t="s">
        <v>4482</v>
      </c>
    </row>
    <row r="2220" spans="1:17" x14ac:dyDescent="0.3">
      <c r="A2220" t="s">
        <v>4446</v>
      </c>
      <c r="B2220" t="str">
        <f>"000020"</f>
        <v>000020</v>
      </c>
      <c r="C2220" t="s">
        <v>4483</v>
      </c>
      <c r="D2220" t="s">
        <v>150</v>
      </c>
      <c r="F2220">
        <v>-18771703</v>
      </c>
      <c r="G2220">
        <v>56051261</v>
      </c>
      <c r="H2220">
        <v>71374205</v>
      </c>
      <c r="I2220">
        <v>-36033044</v>
      </c>
      <c r="J2220">
        <v>1624143</v>
      </c>
      <c r="K2220">
        <v>-25133179</v>
      </c>
      <c r="L2220">
        <v>144878970</v>
      </c>
      <c r="M2220">
        <v>114935006</v>
      </c>
      <c r="N2220">
        <v>-79345108</v>
      </c>
      <c r="O2220">
        <v>8498215</v>
      </c>
      <c r="P2220">
        <v>75</v>
      </c>
      <c r="Q2220" t="s">
        <v>4484</v>
      </c>
    </row>
    <row r="2221" spans="1:17" x14ac:dyDescent="0.3">
      <c r="A2221" t="s">
        <v>4446</v>
      </c>
      <c r="B2221" t="str">
        <f>"000021"</f>
        <v>000021</v>
      </c>
      <c r="C2221" t="s">
        <v>4485</v>
      </c>
      <c r="D2221" t="s">
        <v>150</v>
      </c>
      <c r="F2221">
        <v>-1942943158</v>
      </c>
      <c r="G2221">
        <v>1197886729</v>
      </c>
      <c r="H2221">
        <v>-2032543281</v>
      </c>
      <c r="I2221">
        <v>-335510770</v>
      </c>
      <c r="J2221">
        <v>-485640820</v>
      </c>
      <c r="K2221">
        <v>-649716027</v>
      </c>
      <c r="L2221">
        <v>-258608872</v>
      </c>
      <c r="M2221">
        <v>-614205043</v>
      </c>
      <c r="N2221">
        <v>210277374</v>
      </c>
      <c r="O2221">
        <v>77834129</v>
      </c>
      <c r="P2221">
        <v>442</v>
      </c>
      <c r="Q2221" t="s">
        <v>4486</v>
      </c>
    </row>
    <row r="2222" spans="1:17" x14ac:dyDescent="0.3">
      <c r="A2222" t="s">
        <v>4446</v>
      </c>
      <c r="B2222" t="str">
        <f>"000022"</f>
        <v>000022</v>
      </c>
      <c r="C2222" t="s">
        <v>4487</v>
      </c>
      <c r="J2222">
        <v>934795525</v>
      </c>
      <c r="K2222">
        <v>658977780</v>
      </c>
      <c r="L2222">
        <v>828145869.28999996</v>
      </c>
      <c r="M2222">
        <v>595508344.36000001</v>
      </c>
      <c r="N2222">
        <v>494091136.45999998</v>
      </c>
      <c r="O2222">
        <v>211406300</v>
      </c>
      <c r="P2222">
        <v>83</v>
      </c>
      <c r="Q2222" t="s">
        <v>4488</v>
      </c>
    </row>
    <row r="2223" spans="1:17" x14ac:dyDescent="0.3">
      <c r="A2223" t="s">
        <v>4446</v>
      </c>
      <c r="B2223" t="str">
        <f>"000023"</f>
        <v>000023</v>
      </c>
      <c r="C2223" t="s">
        <v>4489</v>
      </c>
      <c r="D2223" t="s">
        <v>350</v>
      </c>
      <c r="F2223">
        <v>121115936</v>
      </c>
      <c r="G2223">
        <v>83765593</v>
      </c>
      <c r="H2223">
        <v>59086495</v>
      </c>
      <c r="I2223">
        <v>79352115</v>
      </c>
      <c r="J2223">
        <v>205905493</v>
      </c>
      <c r="K2223">
        <v>64402848</v>
      </c>
      <c r="L2223">
        <v>20878850</v>
      </c>
      <c r="M2223">
        <v>-51301046</v>
      </c>
      <c r="N2223">
        <v>16066183</v>
      </c>
      <c r="O2223">
        <v>68605611</v>
      </c>
      <c r="P2223">
        <v>78</v>
      </c>
      <c r="Q2223" t="s">
        <v>4490</v>
      </c>
    </row>
    <row r="2224" spans="1:17" x14ac:dyDescent="0.3">
      <c r="A2224" t="s">
        <v>4446</v>
      </c>
      <c r="B2224" t="str">
        <f>"000024"</f>
        <v>000024</v>
      </c>
      <c r="C2224" t="s">
        <v>4491</v>
      </c>
      <c r="M2224">
        <v>-6502866545.3699999</v>
      </c>
      <c r="N2224">
        <v>171856429.83000001</v>
      </c>
      <c r="O2224">
        <v>5031690580.8900003</v>
      </c>
      <c r="P2224">
        <v>36</v>
      </c>
      <c r="Q2224" t="s">
        <v>4492</v>
      </c>
    </row>
    <row r="2225" spans="1:17" x14ac:dyDescent="0.3">
      <c r="A2225" t="s">
        <v>4446</v>
      </c>
      <c r="B2225" t="str">
        <f>"000025"</f>
        <v>000025</v>
      </c>
      <c r="C2225" t="s">
        <v>4493</v>
      </c>
      <c r="D2225" t="s">
        <v>27</v>
      </c>
      <c r="F2225">
        <v>-14637130</v>
      </c>
      <c r="G2225">
        <v>-62593019</v>
      </c>
      <c r="H2225">
        <v>-44927059</v>
      </c>
      <c r="I2225">
        <v>-37654543</v>
      </c>
      <c r="J2225">
        <v>-33173739</v>
      </c>
      <c r="K2225">
        <v>-9861982</v>
      </c>
      <c r="L2225">
        <v>-66755694</v>
      </c>
      <c r="M2225">
        <v>-97206609</v>
      </c>
      <c r="N2225">
        <v>1106256</v>
      </c>
      <c r="O2225">
        <v>-11200669</v>
      </c>
      <c r="P2225">
        <v>140</v>
      </c>
      <c r="Q2225" t="s">
        <v>4494</v>
      </c>
    </row>
    <row r="2226" spans="1:17" x14ac:dyDescent="0.3">
      <c r="A2226" t="s">
        <v>4446</v>
      </c>
      <c r="B2226" t="str">
        <f>"000026"</f>
        <v>000026</v>
      </c>
      <c r="C2226" t="s">
        <v>4495</v>
      </c>
      <c r="D2226" t="s">
        <v>227</v>
      </c>
      <c r="F2226">
        <v>342885978</v>
      </c>
      <c r="G2226">
        <v>244829109</v>
      </c>
      <c r="H2226">
        <v>278757423</v>
      </c>
      <c r="I2226">
        <v>184803940</v>
      </c>
      <c r="J2226">
        <v>438718174</v>
      </c>
      <c r="K2226">
        <v>270165363</v>
      </c>
      <c r="L2226">
        <v>166225296</v>
      </c>
      <c r="M2226">
        <v>103515596</v>
      </c>
      <c r="N2226">
        <v>-39235542</v>
      </c>
      <c r="O2226">
        <v>-70376752</v>
      </c>
      <c r="P2226">
        <v>321</v>
      </c>
      <c r="Q2226" t="s">
        <v>4496</v>
      </c>
    </row>
    <row r="2227" spans="1:17" x14ac:dyDescent="0.3">
      <c r="A2227" t="s">
        <v>4446</v>
      </c>
      <c r="B2227" t="str">
        <f>"000027"</f>
        <v>000027</v>
      </c>
      <c r="C2227" t="s">
        <v>4497</v>
      </c>
      <c r="D2227" t="s">
        <v>41</v>
      </c>
      <c r="F2227">
        <v>-7525128292</v>
      </c>
      <c r="G2227">
        <v>-7484198328</v>
      </c>
      <c r="H2227">
        <v>-4564774380</v>
      </c>
      <c r="I2227">
        <v>-3142606046</v>
      </c>
      <c r="J2227">
        <v>-5920918925</v>
      </c>
      <c r="K2227">
        <v>-3680614119</v>
      </c>
      <c r="L2227">
        <v>-894228821</v>
      </c>
      <c r="M2227">
        <v>1407548844</v>
      </c>
      <c r="N2227">
        <v>760721777</v>
      </c>
      <c r="O2227">
        <v>1191462229</v>
      </c>
      <c r="P2227">
        <v>509</v>
      </c>
      <c r="Q2227" t="s">
        <v>4498</v>
      </c>
    </row>
    <row r="2228" spans="1:17" x14ac:dyDescent="0.3">
      <c r="A2228" t="s">
        <v>4446</v>
      </c>
      <c r="B2228" t="str">
        <f>"000028"</f>
        <v>000028</v>
      </c>
      <c r="C2228" t="s">
        <v>4499</v>
      </c>
      <c r="D2228" t="s">
        <v>113</v>
      </c>
      <c r="F2228">
        <v>1285766609</v>
      </c>
      <c r="G2228">
        <v>1217490609</v>
      </c>
      <c r="H2228">
        <v>1760483982</v>
      </c>
      <c r="I2228">
        <v>1073103468</v>
      </c>
      <c r="J2228">
        <v>1082757498</v>
      </c>
      <c r="K2228">
        <v>1230228407</v>
      </c>
      <c r="L2228">
        <v>867103676</v>
      </c>
      <c r="M2228">
        <v>-1137992772</v>
      </c>
      <c r="N2228">
        <v>319359009</v>
      </c>
      <c r="O2228">
        <v>132763312</v>
      </c>
      <c r="P2228">
        <v>1098</v>
      </c>
      <c r="Q2228" t="s">
        <v>4500</v>
      </c>
    </row>
    <row r="2229" spans="1:17" x14ac:dyDescent="0.3">
      <c r="A2229" t="s">
        <v>4446</v>
      </c>
      <c r="B2229" t="str">
        <f>"000029"</f>
        <v>000029</v>
      </c>
      <c r="C2229" t="s">
        <v>4501</v>
      </c>
      <c r="D2229" t="s">
        <v>30</v>
      </c>
      <c r="F2229">
        <v>-1207634642</v>
      </c>
      <c r="G2229">
        <v>284471516</v>
      </c>
      <c r="H2229">
        <v>581809134</v>
      </c>
      <c r="I2229">
        <v>1061937567</v>
      </c>
      <c r="J2229">
        <v>-18603474</v>
      </c>
      <c r="K2229">
        <v>524918802</v>
      </c>
      <c r="L2229">
        <v>1092285852</v>
      </c>
      <c r="M2229">
        <v>319170634</v>
      </c>
      <c r="N2229">
        <v>196447251</v>
      </c>
      <c r="O2229">
        <v>20814149</v>
      </c>
      <c r="P2229">
        <v>137</v>
      </c>
      <c r="Q2229" t="s">
        <v>4502</v>
      </c>
    </row>
    <row r="2230" spans="1:17" x14ac:dyDescent="0.3">
      <c r="A2230" t="s">
        <v>4446</v>
      </c>
      <c r="B2230" t="str">
        <f>"000030"</f>
        <v>000030</v>
      </c>
      <c r="C2230" t="s">
        <v>4503</v>
      </c>
      <c r="D2230" t="s">
        <v>27</v>
      </c>
      <c r="F2230">
        <v>1183150584</v>
      </c>
      <c r="G2230">
        <v>-31639129</v>
      </c>
      <c r="H2230">
        <v>-112086914</v>
      </c>
      <c r="I2230">
        <v>-228895701</v>
      </c>
      <c r="J2230">
        <v>146071422</v>
      </c>
      <c r="K2230">
        <v>240208120</v>
      </c>
      <c r="L2230">
        <v>543160576</v>
      </c>
      <c r="M2230">
        <v>291032923</v>
      </c>
      <c r="N2230">
        <v>-240336964</v>
      </c>
      <c r="O2230">
        <v>-2967576</v>
      </c>
      <c r="P2230">
        <v>330</v>
      </c>
      <c r="Q2230" t="s">
        <v>4504</v>
      </c>
    </row>
    <row r="2231" spans="1:17" x14ac:dyDescent="0.3">
      <c r="A2231" t="s">
        <v>4446</v>
      </c>
      <c r="B2231" t="str">
        <f>"000031"</f>
        <v>000031</v>
      </c>
      <c r="C2231" t="s">
        <v>4505</v>
      </c>
      <c r="D2231" t="s">
        <v>30</v>
      </c>
      <c r="F2231">
        <v>-11016911293</v>
      </c>
      <c r="G2231">
        <v>8192316478</v>
      </c>
      <c r="H2231">
        <v>1677768129</v>
      </c>
      <c r="I2231">
        <v>-1913585375</v>
      </c>
      <c r="J2231">
        <v>1826997462</v>
      </c>
      <c r="K2231">
        <v>6666486879</v>
      </c>
      <c r="L2231">
        <v>-1977068954</v>
      </c>
      <c r="M2231">
        <v>-2012548274</v>
      </c>
      <c r="N2231">
        <v>-2999776781</v>
      </c>
      <c r="O2231">
        <v>2570354826</v>
      </c>
      <c r="P2231">
        <v>328</v>
      </c>
      <c r="Q2231" t="s">
        <v>4506</v>
      </c>
    </row>
    <row r="2232" spans="1:17" x14ac:dyDescent="0.3">
      <c r="A2232" t="s">
        <v>4446</v>
      </c>
      <c r="B2232" t="str">
        <f>"000032"</f>
        <v>000032</v>
      </c>
      <c r="C2232" t="s">
        <v>4507</v>
      </c>
      <c r="D2232" t="s">
        <v>100</v>
      </c>
      <c r="F2232">
        <v>-385687143</v>
      </c>
      <c r="G2232">
        <v>-127735557</v>
      </c>
      <c r="H2232">
        <v>52895386</v>
      </c>
      <c r="I2232">
        <v>197900633</v>
      </c>
      <c r="J2232">
        <v>120688041</v>
      </c>
      <c r="K2232">
        <v>69861964</v>
      </c>
      <c r="L2232">
        <v>317602126</v>
      </c>
      <c r="M2232">
        <v>90394274</v>
      </c>
      <c r="N2232">
        <v>-55923066</v>
      </c>
      <c r="O2232">
        <v>30364599</v>
      </c>
      <c r="P2232">
        <v>121</v>
      </c>
      <c r="Q2232" t="s">
        <v>4508</v>
      </c>
    </row>
    <row r="2233" spans="1:17" x14ac:dyDescent="0.3">
      <c r="A2233" t="s">
        <v>4446</v>
      </c>
      <c r="B2233" t="str">
        <f>"000033"</f>
        <v>000033</v>
      </c>
      <c r="C2233" t="s">
        <v>4509</v>
      </c>
      <c r="K2233">
        <v>-31329971.16</v>
      </c>
      <c r="L2233">
        <v>38880519.530000001</v>
      </c>
      <c r="M2233">
        <v>-3461700.08</v>
      </c>
      <c r="N2233">
        <v>-76106131.5</v>
      </c>
      <c r="O2233">
        <v>9003634.3100000005</v>
      </c>
      <c r="P2233">
        <v>7</v>
      </c>
      <c r="Q2233" t="s">
        <v>4510</v>
      </c>
    </row>
    <row r="2234" spans="1:17" x14ac:dyDescent="0.3">
      <c r="A2234" t="s">
        <v>4446</v>
      </c>
      <c r="B2234" t="str">
        <f>"000034"</f>
        <v>000034</v>
      </c>
      <c r="C2234" t="s">
        <v>4511</v>
      </c>
      <c r="D2234" t="s">
        <v>212</v>
      </c>
      <c r="F2234">
        <v>-504820329</v>
      </c>
      <c r="G2234">
        <v>1165173638</v>
      </c>
      <c r="H2234">
        <v>1369759104</v>
      </c>
      <c r="I2234">
        <v>-1064747182</v>
      </c>
      <c r="J2234">
        <v>-1640687659</v>
      </c>
      <c r="K2234">
        <v>298398636</v>
      </c>
      <c r="L2234">
        <v>-14740415</v>
      </c>
      <c r="M2234">
        <v>-41805154</v>
      </c>
      <c r="N2234">
        <v>186904595</v>
      </c>
      <c r="O2234">
        <v>-31368666</v>
      </c>
      <c r="P2234">
        <v>412</v>
      </c>
      <c r="Q2234" t="s">
        <v>4512</v>
      </c>
    </row>
    <row r="2235" spans="1:17" x14ac:dyDescent="0.3">
      <c r="A2235" t="s">
        <v>4446</v>
      </c>
      <c r="B2235" t="str">
        <f>"000035"</f>
        <v>000035</v>
      </c>
      <c r="C2235" t="s">
        <v>4513</v>
      </c>
      <c r="D2235" t="s">
        <v>33</v>
      </c>
      <c r="F2235">
        <v>13036719</v>
      </c>
      <c r="G2235">
        <v>-321386648</v>
      </c>
      <c r="H2235">
        <v>-1029396223</v>
      </c>
      <c r="I2235">
        <v>-393483080</v>
      </c>
      <c r="J2235">
        <v>-801703135</v>
      </c>
      <c r="K2235">
        <v>-394638816</v>
      </c>
      <c r="L2235">
        <v>-198036637</v>
      </c>
      <c r="M2235">
        <v>-563186422</v>
      </c>
      <c r="N2235">
        <v>-93741323</v>
      </c>
      <c r="O2235">
        <v>-395029389</v>
      </c>
      <c r="P2235">
        <v>198</v>
      </c>
      <c r="Q2235" t="s">
        <v>4514</v>
      </c>
    </row>
    <row r="2236" spans="1:17" x14ac:dyDescent="0.3">
      <c r="A2236" t="s">
        <v>4446</v>
      </c>
      <c r="B2236" t="str">
        <f>"000036"</f>
        <v>000036</v>
      </c>
      <c r="C2236" t="s">
        <v>4515</v>
      </c>
      <c r="D2236" t="s">
        <v>30</v>
      </c>
      <c r="F2236">
        <v>-365751376</v>
      </c>
      <c r="G2236">
        <v>-541808428</v>
      </c>
      <c r="H2236">
        <v>1492189342</v>
      </c>
      <c r="I2236">
        <v>2660823876</v>
      </c>
      <c r="J2236">
        <v>-253503925</v>
      </c>
      <c r="K2236">
        <v>2097910855</v>
      </c>
      <c r="L2236">
        <v>106431411</v>
      </c>
      <c r="M2236">
        <v>-1803562254</v>
      </c>
      <c r="N2236">
        <v>-275492473</v>
      </c>
      <c r="O2236">
        <v>-173189618</v>
      </c>
      <c r="P2236">
        <v>880</v>
      </c>
      <c r="Q2236" t="s">
        <v>4516</v>
      </c>
    </row>
    <row r="2237" spans="1:17" x14ac:dyDescent="0.3">
      <c r="A2237" t="s">
        <v>4446</v>
      </c>
      <c r="B2237" t="str">
        <f>"000037"</f>
        <v>000037</v>
      </c>
      <c r="C2237" t="s">
        <v>4517</v>
      </c>
      <c r="D2237" t="s">
        <v>41</v>
      </c>
      <c r="F2237">
        <v>-82313423</v>
      </c>
      <c r="G2237">
        <v>242055052</v>
      </c>
      <c r="H2237">
        <v>129691921</v>
      </c>
      <c r="I2237">
        <v>84072312</v>
      </c>
      <c r="J2237">
        <v>131495007</v>
      </c>
      <c r="K2237">
        <v>911072972</v>
      </c>
      <c r="L2237">
        <v>351809745</v>
      </c>
      <c r="M2237">
        <v>485784179</v>
      </c>
      <c r="N2237">
        <v>468695408</v>
      </c>
      <c r="O2237">
        <v>19074172</v>
      </c>
      <c r="P2237">
        <v>112</v>
      </c>
      <c r="Q2237" t="s">
        <v>4518</v>
      </c>
    </row>
    <row r="2238" spans="1:17" x14ac:dyDescent="0.3">
      <c r="A2238" t="s">
        <v>4446</v>
      </c>
      <c r="B2238" t="str">
        <f>"000038"</f>
        <v>000038</v>
      </c>
      <c r="C2238" t="s">
        <v>4519</v>
      </c>
      <c r="D2238" t="s">
        <v>103</v>
      </c>
      <c r="F2238">
        <v>-361954378</v>
      </c>
      <c r="G2238">
        <v>-346545087</v>
      </c>
      <c r="H2238">
        <v>-577448242</v>
      </c>
      <c r="I2238">
        <v>-651837956</v>
      </c>
      <c r="J2238">
        <v>-73336242</v>
      </c>
      <c r="K2238">
        <v>267810624</v>
      </c>
      <c r="L2238">
        <v>70124244</v>
      </c>
      <c r="M2238">
        <v>16343175</v>
      </c>
      <c r="N2238">
        <v>44929394</v>
      </c>
      <c r="O2238">
        <v>52950024</v>
      </c>
      <c r="P2238">
        <v>113</v>
      </c>
      <c r="Q2238" t="s">
        <v>4520</v>
      </c>
    </row>
    <row r="2239" spans="1:17" x14ac:dyDescent="0.3">
      <c r="A2239" t="s">
        <v>4446</v>
      </c>
      <c r="B2239" t="str">
        <f>"000039"</f>
        <v>000039</v>
      </c>
      <c r="C2239" t="s">
        <v>4521</v>
      </c>
      <c r="D2239" t="s">
        <v>78</v>
      </c>
      <c r="F2239">
        <v>14750296000</v>
      </c>
      <c r="G2239">
        <v>10423041000</v>
      </c>
      <c r="H2239">
        <v>-1965829000</v>
      </c>
      <c r="I2239">
        <v>-2608997000</v>
      </c>
      <c r="J2239">
        <v>3554880000</v>
      </c>
      <c r="K2239">
        <v>-3993376000</v>
      </c>
      <c r="L2239">
        <v>-15181524000</v>
      </c>
      <c r="M2239">
        <v>-5534092000</v>
      </c>
      <c r="N2239">
        <v>-4021604000</v>
      </c>
      <c r="O2239">
        <v>514791000</v>
      </c>
      <c r="P2239">
        <v>679</v>
      </c>
      <c r="Q2239" t="s">
        <v>4522</v>
      </c>
    </row>
    <row r="2240" spans="1:17" x14ac:dyDescent="0.3">
      <c r="A2240" t="s">
        <v>4446</v>
      </c>
      <c r="B2240" t="str">
        <f>"000040"</f>
        <v>000040</v>
      </c>
      <c r="C2240" t="s">
        <v>4523</v>
      </c>
      <c r="D2240" t="s">
        <v>41</v>
      </c>
      <c r="F2240">
        <v>-38399731</v>
      </c>
      <c r="G2240">
        <v>157851861</v>
      </c>
      <c r="H2240">
        <v>-722129637</v>
      </c>
      <c r="I2240">
        <v>-7561437508</v>
      </c>
      <c r="J2240">
        <v>-1697399121</v>
      </c>
      <c r="K2240">
        <v>-3514357873</v>
      </c>
      <c r="L2240">
        <v>155905512</v>
      </c>
      <c r="M2240">
        <v>-69956735</v>
      </c>
      <c r="N2240">
        <v>-476346018</v>
      </c>
      <c r="O2240">
        <v>-328728869</v>
      </c>
      <c r="P2240">
        <v>220</v>
      </c>
      <c r="Q2240" t="s">
        <v>4524</v>
      </c>
    </row>
    <row r="2241" spans="1:17" x14ac:dyDescent="0.3">
      <c r="A2241" t="s">
        <v>4446</v>
      </c>
      <c r="B2241" t="str">
        <f>"000042"</f>
        <v>000042</v>
      </c>
      <c r="C2241" t="s">
        <v>4525</v>
      </c>
      <c r="D2241" t="s">
        <v>30</v>
      </c>
      <c r="F2241">
        <v>140794589</v>
      </c>
      <c r="G2241">
        <v>1214659493</v>
      </c>
      <c r="H2241">
        <v>-1388317545</v>
      </c>
      <c r="I2241">
        <v>2963465097</v>
      </c>
      <c r="J2241">
        <v>-5243340862</v>
      </c>
      <c r="K2241">
        <v>1691523450</v>
      </c>
      <c r="L2241">
        <v>-919142160</v>
      </c>
      <c r="M2241">
        <v>-1643612129</v>
      </c>
      <c r="N2241">
        <v>138204110</v>
      </c>
      <c r="O2241">
        <v>354905707</v>
      </c>
      <c r="P2241">
        <v>121</v>
      </c>
      <c r="Q2241" t="s">
        <v>4526</v>
      </c>
    </row>
    <row r="2242" spans="1:17" x14ac:dyDescent="0.3">
      <c r="A2242" t="s">
        <v>4446</v>
      </c>
      <c r="B2242" t="str">
        <f>"000043"</f>
        <v>000043</v>
      </c>
      <c r="C2242" t="s">
        <v>4527</v>
      </c>
      <c r="H2242">
        <v>315060110</v>
      </c>
      <c r="I2242">
        <v>1138533093</v>
      </c>
      <c r="J2242">
        <v>2233173884</v>
      </c>
      <c r="K2242">
        <v>1796089014</v>
      </c>
      <c r="L2242">
        <v>497425499</v>
      </c>
      <c r="M2242">
        <v>-2751764460</v>
      </c>
      <c r="N2242">
        <v>-1488449296</v>
      </c>
      <c r="O2242">
        <v>-909022377</v>
      </c>
      <c r="P2242">
        <v>73</v>
      </c>
      <c r="Q2242" t="s">
        <v>4528</v>
      </c>
    </row>
    <row r="2243" spans="1:17" x14ac:dyDescent="0.3">
      <c r="A2243" t="s">
        <v>4446</v>
      </c>
      <c r="B2243" t="str">
        <f>"000045"</f>
        <v>000045</v>
      </c>
      <c r="C2243" t="s">
        <v>4529</v>
      </c>
      <c r="D2243" t="s">
        <v>150</v>
      </c>
      <c r="F2243">
        <v>-451975653</v>
      </c>
      <c r="G2243">
        <v>-559282257</v>
      </c>
      <c r="H2243">
        <v>-235355287</v>
      </c>
      <c r="I2243">
        <v>-840896996</v>
      </c>
      <c r="J2243">
        <v>-282995982</v>
      </c>
      <c r="K2243">
        <v>-169841415</v>
      </c>
      <c r="L2243">
        <v>22452920</v>
      </c>
      <c r="M2243">
        <v>-97502112</v>
      </c>
      <c r="N2243">
        <v>-289168333</v>
      </c>
      <c r="O2243">
        <v>-282668967</v>
      </c>
      <c r="P2243">
        <v>86</v>
      </c>
      <c r="Q2243" t="s">
        <v>4530</v>
      </c>
    </row>
    <row r="2244" spans="1:17" x14ac:dyDescent="0.3">
      <c r="A2244" t="s">
        <v>4446</v>
      </c>
      <c r="B2244" t="str">
        <f>"000046"</f>
        <v>000046</v>
      </c>
      <c r="C2244" t="s">
        <v>4531</v>
      </c>
      <c r="D2244" t="s">
        <v>30</v>
      </c>
      <c r="F2244">
        <v>10469987094</v>
      </c>
      <c r="G2244">
        <v>7916004774</v>
      </c>
      <c r="H2244">
        <v>5374843484</v>
      </c>
      <c r="I2244">
        <v>9016352975</v>
      </c>
      <c r="J2244">
        <v>-20275310321</v>
      </c>
      <c r="K2244">
        <v>-16261280203</v>
      </c>
      <c r="L2244">
        <v>-812197256</v>
      </c>
      <c r="M2244">
        <v>647861614</v>
      </c>
      <c r="N2244">
        <v>-3125095713</v>
      </c>
      <c r="O2244">
        <v>-1713141776</v>
      </c>
      <c r="P2244">
        <v>210</v>
      </c>
      <c r="Q2244" t="s">
        <v>4532</v>
      </c>
    </row>
    <row r="2245" spans="1:17" x14ac:dyDescent="0.3">
      <c r="A2245" t="s">
        <v>4446</v>
      </c>
      <c r="B2245" t="str">
        <f>"000047"</f>
        <v>000047</v>
      </c>
      <c r="C2245" t="s">
        <v>4533</v>
      </c>
      <c r="K2245">
        <v>-37975343.130000003</v>
      </c>
      <c r="L2245">
        <v>-748053.51</v>
      </c>
      <c r="M2245">
        <v>-257938.53</v>
      </c>
      <c r="N2245">
        <v>-412226.42</v>
      </c>
      <c r="O2245">
        <v>-362856.25</v>
      </c>
      <c r="P2245">
        <v>6</v>
      </c>
      <c r="Q2245" t="s">
        <v>4534</v>
      </c>
    </row>
    <row r="2246" spans="1:17" x14ac:dyDescent="0.3">
      <c r="A2246" t="s">
        <v>4446</v>
      </c>
      <c r="B2246" t="str">
        <f>"000048"</f>
        <v>000048</v>
      </c>
      <c r="C2246" t="s">
        <v>4535</v>
      </c>
      <c r="D2246" t="s">
        <v>30</v>
      </c>
      <c r="F2246">
        <v>25250032</v>
      </c>
      <c r="G2246">
        <v>122496346</v>
      </c>
      <c r="H2246">
        <v>928231897</v>
      </c>
      <c r="I2246">
        <v>966042416</v>
      </c>
      <c r="J2246">
        <v>214763814</v>
      </c>
      <c r="K2246">
        <v>-715618076</v>
      </c>
      <c r="L2246">
        <v>250293028</v>
      </c>
      <c r="M2246">
        <v>477383744</v>
      </c>
      <c r="N2246">
        <v>-170920485</v>
      </c>
      <c r="O2246">
        <v>-86416146</v>
      </c>
      <c r="P2246">
        <v>588</v>
      </c>
      <c r="Q2246" t="s">
        <v>4536</v>
      </c>
    </row>
    <row r="2247" spans="1:17" x14ac:dyDescent="0.3">
      <c r="A2247" t="s">
        <v>4446</v>
      </c>
      <c r="B2247" t="str">
        <f>"000049"</f>
        <v>000049</v>
      </c>
      <c r="C2247" t="s">
        <v>4537</v>
      </c>
      <c r="D2247" t="s">
        <v>188</v>
      </c>
      <c r="F2247">
        <v>-248861604</v>
      </c>
      <c r="G2247">
        <v>614688896</v>
      </c>
      <c r="H2247">
        <v>1047042593</v>
      </c>
      <c r="I2247">
        <v>-85978599</v>
      </c>
      <c r="J2247">
        <v>-787414055</v>
      </c>
      <c r="K2247">
        <v>-179327900</v>
      </c>
      <c r="L2247">
        <v>534638469</v>
      </c>
      <c r="M2247">
        <v>27662487</v>
      </c>
      <c r="N2247">
        <v>-5326303</v>
      </c>
      <c r="O2247">
        <v>299425607</v>
      </c>
      <c r="P2247">
        <v>41592</v>
      </c>
      <c r="Q2247" t="s">
        <v>4538</v>
      </c>
    </row>
    <row r="2248" spans="1:17" x14ac:dyDescent="0.3">
      <c r="A2248" t="s">
        <v>4446</v>
      </c>
      <c r="B2248" t="str">
        <f>"000050"</f>
        <v>000050</v>
      </c>
      <c r="C2248" t="s">
        <v>4539</v>
      </c>
      <c r="D2248" t="s">
        <v>150</v>
      </c>
      <c r="F2248">
        <v>-1042415053</v>
      </c>
      <c r="G2248">
        <v>-3203030579</v>
      </c>
      <c r="H2248">
        <v>-4537064828</v>
      </c>
      <c r="I2248">
        <v>-2137903391</v>
      </c>
      <c r="J2248">
        <v>-5428405969</v>
      </c>
      <c r="K2248">
        <v>-2050456691</v>
      </c>
      <c r="L2248">
        <v>2803473519</v>
      </c>
      <c r="M2248">
        <v>942302764</v>
      </c>
      <c r="N2248">
        <v>1251876373</v>
      </c>
      <c r="O2248">
        <v>390587179</v>
      </c>
      <c r="P2248">
        <v>621</v>
      </c>
      <c r="Q2248" t="s">
        <v>4540</v>
      </c>
    </row>
    <row r="2249" spans="1:17" x14ac:dyDescent="0.3">
      <c r="A2249" t="s">
        <v>4446</v>
      </c>
      <c r="B2249" t="str">
        <f>"000055"</f>
        <v>000055</v>
      </c>
      <c r="C2249" t="s">
        <v>4541</v>
      </c>
      <c r="D2249" t="s">
        <v>350</v>
      </c>
      <c r="F2249">
        <v>-173713922</v>
      </c>
      <c r="G2249">
        <v>423816363</v>
      </c>
      <c r="H2249">
        <v>-194010095</v>
      </c>
      <c r="I2249">
        <v>205384293</v>
      </c>
      <c r="J2249">
        <v>533723294</v>
      </c>
      <c r="K2249">
        <v>382807994</v>
      </c>
      <c r="L2249">
        <v>-401041897</v>
      </c>
      <c r="M2249">
        <v>-585856262</v>
      </c>
      <c r="N2249">
        <v>115812494</v>
      </c>
      <c r="O2249">
        <v>-35308156</v>
      </c>
      <c r="P2249">
        <v>318</v>
      </c>
      <c r="Q2249" t="s">
        <v>4542</v>
      </c>
    </row>
    <row r="2250" spans="1:17" x14ac:dyDescent="0.3">
      <c r="A2250" t="s">
        <v>4446</v>
      </c>
      <c r="B2250" t="str">
        <f>"000056"</f>
        <v>000056</v>
      </c>
      <c r="C2250" t="s">
        <v>4543</v>
      </c>
      <c r="D2250" t="s">
        <v>30</v>
      </c>
      <c r="F2250">
        <v>401005809</v>
      </c>
      <c r="G2250">
        <v>454628217</v>
      </c>
      <c r="H2250">
        <v>244757504</v>
      </c>
      <c r="I2250">
        <v>71220096</v>
      </c>
      <c r="J2250">
        <v>-418631298</v>
      </c>
      <c r="K2250">
        <v>-93044089</v>
      </c>
      <c r="L2250">
        <v>117371968</v>
      </c>
      <c r="M2250">
        <v>-413570138</v>
      </c>
      <c r="N2250">
        <v>-403782257</v>
      </c>
      <c r="O2250">
        <v>-148104997</v>
      </c>
      <c r="P2250">
        <v>100</v>
      </c>
      <c r="Q2250" t="s">
        <v>4544</v>
      </c>
    </row>
    <row r="2251" spans="1:17" x14ac:dyDescent="0.3">
      <c r="A2251" t="s">
        <v>4446</v>
      </c>
      <c r="B2251" t="str">
        <f>"000058"</f>
        <v>000058</v>
      </c>
      <c r="C2251" t="s">
        <v>4545</v>
      </c>
      <c r="D2251" t="s">
        <v>120</v>
      </c>
      <c r="F2251">
        <v>715425795</v>
      </c>
      <c r="G2251">
        <v>237249161</v>
      </c>
      <c r="H2251">
        <v>378712243</v>
      </c>
      <c r="I2251">
        <v>-13892232</v>
      </c>
      <c r="J2251">
        <v>350792451</v>
      </c>
      <c r="K2251">
        <v>-130367835</v>
      </c>
      <c r="L2251">
        <v>-29844217</v>
      </c>
      <c r="M2251">
        <v>-454179051</v>
      </c>
      <c r="N2251">
        <v>-140136991</v>
      </c>
      <c r="O2251">
        <v>-56193196</v>
      </c>
      <c r="P2251">
        <v>142</v>
      </c>
      <c r="Q2251" t="s">
        <v>4546</v>
      </c>
    </row>
    <row r="2252" spans="1:17" x14ac:dyDescent="0.3">
      <c r="A2252" t="s">
        <v>4446</v>
      </c>
      <c r="B2252" t="str">
        <f>"000059"</f>
        <v>000059</v>
      </c>
      <c r="C2252" t="s">
        <v>4547</v>
      </c>
      <c r="D2252" t="s">
        <v>70</v>
      </c>
      <c r="F2252">
        <v>2441485308</v>
      </c>
      <c r="G2252">
        <v>2506492028</v>
      </c>
      <c r="H2252">
        <v>2506838674</v>
      </c>
      <c r="I2252">
        <v>2133950552</v>
      </c>
      <c r="J2252">
        <v>2451562525</v>
      </c>
      <c r="K2252">
        <v>3250504027</v>
      </c>
      <c r="L2252">
        <v>3900994236</v>
      </c>
      <c r="M2252">
        <v>-845250429</v>
      </c>
      <c r="N2252">
        <v>505860581</v>
      </c>
      <c r="O2252">
        <v>-3275468098</v>
      </c>
      <c r="P2252">
        <v>387</v>
      </c>
      <c r="Q2252" t="s">
        <v>4548</v>
      </c>
    </row>
    <row r="2253" spans="1:17" x14ac:dyDescent="0.3">
      <c r="A2253" t="s">
        <v>4446</v>
      </c>
      <c r="B2253" t="str">
        <f>"000060"</f>
        <v>000060</v>
      </c>
      <c r="C2253" t="s">
        <v>4549</v>
      </c>
      <c r="D2253" t="s">
        <v>234</v>
      </c>
      <c r="F2253">
        <v>-2006911878</v>
      </c>
      <c r="G2253">
        <v>-1056709853</v>
      </c>
      <c r="H2253">
        <v>197459108</v>
      </c>
      <c r="I2253">
        <v>532436793</v>
      </c>
      <c r="J2253">
        <v>1324244772</v>
      </c>
      <c r="K2253">
        <v>641537852</v>
      </c>
      <c r="L2253">
        <v>-400223839</v>
      </c>
      <c r="M2253">
        <v>187921047</v>
      </c>
      <c r="N2253">
        <v>-160194908</v>
      </c>
      <c r="O2253">
        <v>246603501</v>
      </c>
      <c r="P2253">
        <v>373</v>
      </c>
      <c r="Q2253" t="s">
        <v>4550</v>
      </c>
    </row>
    <row r="2254" spans="1:17" x14ac:dyDescent="0.3">
      <c r="A2254" t="s">
        <v>4446</v>
      </c>
      <c r="B2254" t="str">
        <f>"000061"</f>
        <v>000061</v>
      </c>
      <c r="C2254" t="s">
        <v>4551</v>
      </c>
      <c r="D2254" t="s">
        <v>120</v>
      </c>
      <c r="F2254">
        <v>588355848</v>
      </c>
      <c r="G2254">
        <v>-273723262</v>
      </c>
      <c r="H2254">
        <v>381023388</v>
      </c>
      <c r="I2254">
        <v>711616514</v>
      </c>
      <c r="J2254">
        <v>-48262370</v>
      </c>
      <c r="K2254">
        <v>-758307388</v>
      </c>
      <c r="L2254">
        <v>-624382421</v>
      </c>
      <c r="M2254">
        <v>-1292771582</v>
      </c>
      <c r="N2254">
        <v>-1096636361</v>
      </c>
      <c r="O2254">
        <v>-900704462</v>
      </c>
      <c r="P2254">
        <v>209</v>
      </c>
      <c r="Q2254" t="s">
        <v>4552</v>
      </c>
    </row>
    <row r="2255" spans="1:17" x14ac:dyDescent="0.3">
      <c r="A2255" t="s">
        <v>4446</v>
      </c>
      <c r="B2255" t="str">
        <f>"000062"</f>
        <v>000062</v>
      </c>
      <c r="C2255" t="s">
        <v>4553</v>
      </c>
      <c r="D2255" t="s">
        <v>150</v>
      </c>
      <c r="F2255">
        <v>-1299768333</v>
      </c>
      <c r="G2255">
        <v>-318982334</v>
      </c>
      <c r="H2255">
        <v>637405273</v>
      </c>
      <c r="I2255">
        <v>-67910898</v>
      </c>
      <c r="J2255">
        <v>388222172</v>
      </c>
      <c r="K2255">
        <v>-434230918</v>
      </c>
      <c r="L2255">
        <v>89093143</v>
      </c>
      <c r="M2255">
        <v>218868527</v>
      </c>
      <c r="N2255">
        <v>1022337732</v>
      </c>
      <c r="O2255">
        <v>107658997</v>
      </c>
      <c r="P2255">
        <v>300</v>
      </c>
      <c r="Q2255" t="s">
        <v>4554</v>
      </c>
    </row>
    <row r="2256" spans="1:17" x14ac:dyDescent="0.3">
      <c r="A2256" t="s">
        <v>4446</v>
      </c>
      <c r="B2256" t="str">
        <f>"000063"</f>
        <v>000063</v>
      </c>
      <c r="C2256" t="s">
        <v>4555</v>
      </c>
      <c r="D2256" t="s">
        <v>100</v>
      </c>
      <c r="F2256">
        <v>10257780000</v>
      </c>
      <c r="G2256">
        <v>3770397000</v>
      </c>
      <c r="H2256">
        <v>2779636000</v>
      </c>
      <c r="I2256">
        <v>-13722310000</v>
      </c>
      <c r="J2256">
        <v>1364685000</v>
      </c>
      <c r="K2256">
        <v>1356366000</v>
      </c>
      <c r="L2256">
        <v>4959289000</v>
      </c>
      <c r="M2256">
        <v>517046000</v>
      </c>
      <c r="N2256">
        <v>243607000</v>
      </c>
      <c r="O2256">
        <v>-785793000</v>
      </c>
      <c r="P2256">
        <v>3201</v>
      </c>
      <c r="Q2256" t="s">
        <v>4556</v>
      </c>
    </row>
    <row r="2257" spans="1:17" x14ac:dyDescent="0.3">
      <c r="A2257" t="s">
        <v>4446</v>
      </c>
      <c r="B2257" t="str">
        <f>"000065"</f>
        <v>000065</v>
      </c>
      <c r="C2257" t="s">
        <v>4557</v>
      </c>
      <c r="D2257" t="s">
        <v>95</v>
      </c>
      <c r="F2257">
        <v>799814954</v>
      </c>
      <c r="G2257">
        <v>-2055203631</v>
      </c>
      <c r="H2257">
        <v>-1998749273</v>
      </c>
      <c r="I2257">
        <v>-82865421</v>
      </c>
      <c r="J2257">
        <v>644015111</v>
      </c>
      <c r="K2257">
        <v>-233481799</v>
      </c>
      <c r="L2257">
        <v>130420981</v>
      </c>
      <c r="M2257">
        <v>149414760</v>
      </c>
      <c r="N2257">
        <v>733505322</v>
      </c>
      <c r="O2257">
        <v>-136079145</v>
      </c>
      <c r="P2257">
        <v>394</v>
      </c>
      <c r="Q2257" t="s">
        <v>4558</v>
      </c>
    </row>
    <row r="2258" spans="1:17" x14ac:dyDescent="0.3">
      <c r="A2258" t="s">
        <v>4446</v>
      </c>
      <c r="B2258" t="str">
        <f>"000066"</f>
        <v>000066</v>
      </c>
      <c r="C2258" t="s">
        <v>4559</v>
      </c>
      <c r="D2258" t="s">
        <v>212</v>
      </c>
      <c r="F2258">
        <v>-1311360022</v>
      </c>
      <c r="G2258">
        <v>-1339556551</v>
      </c>
      <c r="H2258">
        <v>-424672800</v>
      </c>
      <c r="I2258">
        <v>-701376796</v>
      </c>
      <c r="J2258">
        <v>-975566606</v>
      </c>
      <c r="K2258">
        <v>1159350665</v>
      </c>
      <c r="L2258">
        <v>930431581</v>
      </c>
      <c r="M2258">
        <v>1422465795</v>
      </c>
      <c r="N2258">
        <v>-751492335</v>
      </c>
      <c r="O2258">
        <v>3432545764</v>
      </c>
      <c r="P2258">
        <v>712</v>
      </c>
      <c r="Q2258" t="s">
        <v>4560</v>
      </c>
    </row>
    <row r="2259" spans="1:17" x14ac:dyDescent="0.3">
      <c r="A2259" t="s">
        <v>4446</v>
      </c>
      <c r="B2259" t="str">
        <f>"000068"</f>
        <v>000068</v>
      </c>
      <c r="C2259" t="s">
        <v>4561</v>
      </c>
      <c r="D2259" t="s">
        <v>33</v>
      </c>
      <c r="F2259">
        <v>-26754379</v>
      </c>
      <c r="G2259">
        <v>-164544777</v>
      </c>
      <c r="H2259">
        <v>-600844421</v>
      </c>
      <c r="I2259">
        <v>-520857737</v>
      </c>
      <c r="J2259">
        <v>-775084116</v>
      </c>
      <c r="K2259">
        <v>-83647422</v>
      </c>
      <c r="L2259">
        <v>34977153</v>
      </c>
      <c r="M2259">
        <v>106441812</v>
      </c>
      <c r="N2259">
        <v>-200833635</v>
      </c>
      <c r="O2259">
        <v>-44502959</v>
      </c>
      <c r="P2259">
        <v>144</v>
      </c>
      <c r="Q2259" t="s">
        <v>4562</v>
      </c>
    </row>
    <row r="2260" spans="1:17" x14ac:dyDescent="0.3">
      <c r="A2260" t="s">
        <v>4446</v>
      </c>
      <c r="B2260" t="str">
        <f>"000069"</f>
        <v>000069</v>
      </c>
      <c r="C2260" t="s">
        <v>4563</v>
      </c>
      <c r="D2260" t="s">
        <v>30</v>
      </c>
      <c r="F2260">
        <v>13389371781</v>
      </c>
      <c r="G2260">
        <v>14791085061</v>
      </c>
      <c r="H2260">
        <v>-12618751198</v>
      </c>
      <c r="I2260">
        <v>-13083805453</v>
      </c>
      <c r="J2260">
        <v>-12854545963</v>
      </c>
      <c r="K2260">
        <v>1274542163</v>
      </c>
      <c r="L2260">
        <v>-3614540746</v>
      </c>
      <c r="M2260">
        <v>-4211926553</v>
      </c>
      <c r="N2260">
        <v>5270743750</v>
      </c>
      <c r="O2260">
        <v>4385863606</v>
      </c>
      <c r="P2260">
        <v>3952</v>
      </c>
      <c r="Q2260" t="s">
        <v>4564</v>
      </c>
    </row>
    <row r="2261" spans="1:17" x14ac:dyDescent="0.3">
      <c r="A2261" t="s">
        <v>4446</v>
      </c>
      <c r="B2261" t="str">
        <f>"000070"</f>
        <v>000070</v>
      </c>
      <c r="C2261" t="s">
        <v>4565</v>
      </c>
      <c r="D2261" t="s">
        <v>100</v>
      </c>
      <c r="F2261">
        <v>-914304889</v>
      </c>
      <c r="G2261">
        <v>-206513979</v>
      </c>
      <c r="H2261">
        <v>-386175138</v>
      </c>
      <c r="I2261">
        <v>-273492732</v>
      </c>
      <c r="J2261">
        <v>87276265</v>
      </c>
      <c r="K2261">
        <v>131793313</v>
      </c>
      <c r="L2261">
        <v>2650699</v>
      </c>
      <c r="M2261">
        <v>8467450</v>
      </c>
      <c r="N2261">
        <v>-129955786</v>
      </c>
      <c r="O2261">
        <v>-38617046</v>
      </c>
      <c r="P2261">
        <v>334</v>
      </c>
      <c r="Q2261" t="s">
        <v>4566</v>
      </c>
    </row>
    <row r="2262" spans="1:17" x14ac:dyDescent="0.3">
      <c r="A2262" t="s">
        <v>4446</v>
      </c>
      <c r="B2262" t="str">
        <f>"000078"</f>
        <v>000078</v>
      </c>
      <c r="C2262" t="s">
        <v>4567</v>
      </c>
      <c r="D2262" t="s">
        <v>113</v>
      </c>
      <c r="F2262">
        <v>738402016</v>
      </c>
      <c r="G2262">
        <v>1505900730</v>
      </c>
      <c r="H2262">
        <v>2104679506</v>
      </c>
      <c r="I2262">
        <v>-1330418294</v>
      </c>
      <c r="J2262">
        <v>-2639608432</v>
      </c>
      <c r="K2262">
        <v>-1774494264</v>
      </c>
      <c r="L2262">
        <v>-3381204</v>
      </c>
      <c r="M2262">
        <v>-295415025</v>
      </c>
      <c r="N2262">
        <v>-270329589</v>
      </c>
      <c r="O2262">
        <v>-240126493</v>
      </c>
      <c r="P2262">
        <v>291</v>
      </c>
      <c r="Q2262" t="s">
        <v>4568</v>
      </c>
    </row>
    <row r="2263" spans="1:17" x14ac:dyDescent="0.3">
      <c r="A2263" t="s">
        <v>4446</v>
      </c>
      <c r="B2263" t="str">
        <f>"000088"</f>
        <v>000088</v>
      </c>
      <c r="C2263" t="s">
        <v>4569</v>
      </c>
      <c r="D2263" t="s">
        <v>22</v>
      </c>
      <c r="F2263">
        <v>-1676087415</v>
      </c>
      <c r="G2263">
        <v>-431687389</v>
      </c>
      <c r="H2263">
        <v>-360316346</v>
      </c>
      <c r="I2263">
        <v>-864657922</v>
      </c>
      <c r="J2263">
        <v>-678631128</v>
      </c>
      <c r="K2263">
        <v>-605609477</v>
      </c>
      <c r="L2263">
        <v>160579429</v>
      </c>
      <c r="M2263">
        <v>-488837241</v>
      </c>
      <c r="N2263">
        <v>-38085959</v>
      </c>
      <c r="O2263">
        <v>24053596</v>
      </c>
      <c r="P2263">
        <v>170</v>
      </c>
      <c r="Q2263" t="s">
        <v>4570</v>
      </c>
    </row>
    <row r="2264" spans="1:17" x14ac:dyDescent="0.3">
      <c r="A2264" t="s">
        <v>4446</v>
      </c>
      <c r="B2264" t="str">
        <f>"000089"</f>
        <v>000089</v>
      </c>
      <c r="C2264" t="s">
        <v>4571</v>
      </c>
      <c r="D2264" t="s">
        <v>22</v>
      </c>
      <c r="F2264">
        <v>-568855234</v>
      </c>
      <c r="G2264">
        <v>-2370127743</v>
      </c>
      <c r="H2264">
        <v>-862291033</v>
      </c>
      <c r="I2264">
        <v>287945399</v>
      </c>
      <c r="J2264">
        <v>843300573</v>
      </c>
      <c r="K2264">
        <v>883003990</v>
      </c>
      <c r="L2264">
        <v>1028865588</v>
      </c>
      <c r="M2264">
        <v>540887172</v>
      </c>
      <c r="N2264">
        <v>19392841</v>
      </c>
      <c r="O2264">
        <v>-1158100689</v>
      </c>
      <c r="P2264">
        <v>666</v>
      </c>
      <c r="Q2264" t="s">
        <v>4572</v>
      </c>
    </row>
    <row r="2265" spans="1:17" x14ac:dyDescent="0.3">
      <c r="A2265" t="s">
        <v>4446</v>
      </c>
      <c r="B2265" t="str">
        <f>"000090"</f>
        <v>000090</v>
      </c>
      <c r="C2265" t="s">
        <v>4573</v>
      </c>
      <c r="D2265" t="s">
        <v>30</v>
      </c>
      <c r="F2265">
        <v>400087644</v>
      </c>
      <c r="G2265">
        <v>-828744378</v>
      </c>
      <c r="H2265">
        <v>132041738</v>
      </c>
      <c r="I2265">
        <v>-622566238</v>
      </c>
      <c r="J2265">
        <v>-1951902827</v>
      </c>
      <c r="K2265">
        <v>-925316537</v>
      </c>
      <c r="L2265">
        <v>-2276025314</v>
      </c>
      <c r="M2265">
        <v>290089800</v>
      </c>
      <c r="N2265">
        <v>502236037</v>
      </c>
      <c r="O2265">
        <v>615103952</v>
      </c>
      <c r="P2265">
        <v>424</v>
      </c>
      <c r="Q2265" t="s">
        <v>4574</v>
      </c>
    </row>
    <row r="2266" spans="1:17" x14ac:dyDescent="0.3">
      <c r="A2266" t="s">
        <v>4446</v>
      </c>
      <c r="B2266" t="str">
        <f>"000096"</f>
        <v>000096</v>
      </c>
      <c r="C2266" t="s">
        <v>4575</v>
      </c>
      <c r="D2266" t="s">
        <v>70</v>
      </c>
      <c r="F2266">
        <v>-47922862</v>
      </c>
      <c r="G2266">
        <v>44307063</v>
      </c>
      <c r="H2266">
        <v>90881081</v>
      </c>
      <c r="I2266">
        <v>36346451</v>
      </c>
      <c r="J2266">
        <v>82924021</v>
      </c>
      <c r="K2266">
        <v>-48815461</v>
      </c>
      <c r="L2266">
        <v>53684220</v>
      </c>
      <c r="M2266">
        <v>-9320747</v>
      </c>
      <c r="N2266">
        <v>31864127</v>
      </c>
      <c r="O2266">
        <v>20752080</v>
      </c>
      <c r="P2266">
        <v>86</v>
      </c>
      <c r="Q2266" t="s">
        <v>4576</v>
      </c>
    </row>
    <row r="2267" spans="1:17" x14ac:dyDescent="0.3">
      <c r="A2267" t="s">
        <v>4446</v>
      </c>
      <c r="B2267" t="str">
        <f>"000099"</f>
        <v>000099</v>
      </c>
      <c r="C2267" t="s">
        <v>4577</v>
      </c>
      <c r="D2267" t="s">
        <v>22</v>
      </c>
      <c r="F2267">
        <v>433314579</v>
      </c>
      <c r="G2267">
        <v>352183467</v>
      </c>
      <c r="H2267">
        <v>531738166</v>
      </c>
      <c r="I2267">
        <v>66866705</v>
      </c>
      <c r="J2267">
        <v>-213934570</v>
      </c>
      <c r="K2267">
        <v>221116192</v>
      </c>
      <c r="L2267">
        <v>161057554</v>
      </c>
      <c r="M2267">
        <v>-84745055</v>
      </c>
      <c r="N2267">
        <v>-710581195</v>
      </c>
      <c r="O2267">
        <v>-55758494</v>
      </c>
      <c r="P2267">
        <v>166</v>
      </c>
      <c r="Q2267" t="s">
        <v>4578</v>
      </c>
    </row>
    <row r="2268" spans="1:17" x14ac:dyDescent="0.3">
      <c r="A2268" t="s">
        <v>4446</v>
      </c>
      <c r="B2268" t="str">
        <f>"000100"</f>
        <v>000100</v>
      </c>
      <c r="C2268" t="s">
        <v>4579</v>
      </c>
      <c r="D2268" t="s">
        <v>150</v>
      </c>
      <c r="F2268">
        <v>2212216707</v>
      </c>
      <c r="G2268">
        <v>-16379161000</v>
      </c>
      <c r="H2268">
        <v>-8533311930</v>
      </c>
      <c r="I2268">
        <v>-22230498000</v>
      </c>
      <c r="J2268">
        <v>-6282439000</v>
      </c>
      <c r="K2268">
        <v>-6489209000</v>
      </c>
      <c r="L2268">
        <v>-9157580000</v>
      </c>
      <c r="M2268">
        <v>-2134276488</v>
      </c>
      <c r="N2268">
        <v>1767374212</v>
      </c>
      <c r="O2268">
        <v>-1511481899</v>
      </c>
      <c r="P2268">
        <v>2194</v>
      </c>
      <c r="Q2268" t="s">
        <v>4580</v>
      </c>
    </row>
    <row r="2269" spans="1:17" x14ac:dyDescent="0.3">
      <c r="A2269" t="s">
        <v>4446</v>
      </c>
      <c r="B2269" t="str">
        <f>"000150"</f>
        <v>000150</v>
      </c>
      <c r="C2269" t="s">
        <v>4581</v>
      </c>
      <c r="D2269" t="s">
        <v>113</v>
      </c>
      <c r="F2269">
        <v>71475783</v>
      </c>
      <c r="G2269">
        <v>84569301</v>
      </c>
      <c r="H2269">
        <v>30853376</v>
      </c>
      <c r="I2269">
        <v>-45380881</v>
      </c>
      <c r="J2269">
        <v>-518423284</v>
      </c>
      <c r="K2269">
        <v>-601952588</v>
      </c>
      <c r="L2269">
        <v>245586704</v>
      </c>
      <c r="M2269">
        <v>-122387350</v>
      </c>
      <c r="N2269">
        <v>-799067082</v>
      </c>
      <c r="O2269">
        <v>-1719269</v>
      </c>
      <c r="P2269">
        <v>184</v>
      </c>
      <c r="Q2269" t="s">
        <v>4582</v>
      </c>
    </row>
    <row r="2270" spans="1:17" x14ac:dyDescent="0.3">
      <c r="A2270" t="s">
        <v>4446</v>
      </c>
      <c r="B2270" t="str">
        <f>"000151"</f>
        <v>000151</v>
      </c>
      <c r="C2270" t="s">
        <v>4583</v>
      </c>
      <c r="D2270" t="s">
        <v>120</v>
      </c>
      <c r="F2270">
        <v>-28174129</v>
      </c>
      <c r="G2270">
        <v>24913920</v>
      </c>
      <c r="H2270">
        <v>-273543229</v>
      </c>
      <c r="I2270">
        <v>-465006908</v>
      </c>
      <c r="J2270">
        <v>68000328</v>
      </c>
      <c r="K2270">
        <v>-359703268</v>
      </c>
      <c r="L2270">
        <v>-459309078</v>
      </c>
      <c r="M2270">
        <v>763688520</v>
      </c>
      <c r="N2270">
        <v>725282678</v>
      </c>
      <c r="O2270">
        <v>539434659</v>
      </c>
      <c r="P2270">
        <v>95</v>
      </c>
      <c r="Q2270" t="s">
        <v>4584</v>
      </c>
    </row>
    <row r="2271" spans="1:17" x14ac:dyDescent="0.3">
      <c r="A2271" t="s">
        <v>4446</v>
      </c>
      <c r="B2271" t="str">
        <f>"000153"</f>
        <v>000153</v>
      </c>
      <c r="C2271" t="s">
        <v>4585</v>
      </c>
      <c r="D2271" t="s">
        <v>113</v>
      </c>
      <c r="F2271">
        <v>80914941</v>
      </c>
      <c r="G2271">
        <v>102366132</v>
      </c>
      <c r="H2271">
        <v>-79393447</v>
      </c>
      <c r="I2271">
        <v>150714705</v>
      </c>
      <c r="J2271">
        <v>4427983</v>
      </c>
      <c r="K2271">
        <v>56205544</v>
      </c>
      <c r="L2271">
        <v>-4818496</v>
      </c>
      <c r="M2271">
        <v>-165335165</v>
      </c>
      <c r="N2271">
        <v>-184051518</v>
      </c>
      <c r="O2271">
        <v>-49316441</v>
      </c>
      <c r="P2271">
        <v>118</v>
      </c>
      <c r="Q2271" t="s">
        <v>4586</v>
      </c>
    </row>
    <row r="2272" spans="1:17" x14ac:dyDescent="0.3">
      <c r="A2272" t="s">
        <v>4446</v>
      </c>
      <c r="B2272" t="str">
        <f>"000155"</f>
        <v>000155</v>
      </c>
      <c r="C2272" t="s">
        <v>4587</v>
      </c>
      <c r="D2272" t="s">
        <v>41</v>
      </c>
      <c r="F2272">
        <v>-97214298</v>
      </c>
      <c r="G2272">
        <v>-1098067940</v>
      </c>
      <c r="H2272">
        <v>-221482763</v>
      </c>
      <c r="I2272">
        <v>-50257155</v>
      </c>
      <c r="J2272">
        <v>-846470721</v>
      </c>
      <c r="K2272">
        <v>-958253257</v>
      </c>
      <c r="L2272">
        <v>-160063696</v>
      </c>
      <c r="M2272">
        <v>-80972958</v>
      </c>
      <c r="N2272">
        <v>-197434468</v>
      </c>
      <c r="O2272">
        <v>334506513</v>
      </c>
      <c r="P2272">
        <v>310</v>
      </c>
      <c r="Q2272" t="s">
        <v>4588</v>
      </c>
    </row>
    <row r="2273" spans="1:17" x14ac:dyDescent="0.3">
      <c r="A2273" t="s">
        <v>4446</v>
      </c>
      <c r="B2273" t="str">
        <f>"000156"</f>
        <v>000156</v>
      </c>
      <c r="C2273" t="s">
        <v>4589</v>
      </c>
      <c r="D2273" t="s">
        <v>89</v>
      </c>
      <c r="F2273">
        <v>850280306</v>
      </c>
      <c r="G2273">
        <v>362247816</v>
      </c>
      <c r="H2273">
        <v>489220946</v>
      </c>
      <c r="I2273">
        <v>277674701</v>
      </c>
      <c r="J2273">
        <v>317277750</v>
      </c>
      <c r="K2273">
        <v>442469198</v>
      </c>
      <c r="L2273">
        <v>412555278</v>
      </c>
      <c r="M2273">
        <v>577096149</v>
      </c>
      <c r="N2273">
        <v>412393009</v>
      </c>
      <c r="O2273">
        <v>140561528</v>
      </c>
      <c r="P2273">
        <v>309</v>
      </c>
      <c r="Q2273" t="s">
        <v>4590</v>
      </c>
    </row>
    <row r="2274" spans="1:17" x14ac:dyDescent="0.3">
      <c r="A2274" t="s">
        <v>4446</v>
      </c>
      <c r="B2274" t="str">
        <f>"000157"</f>
        <v>000157</v>
      </c>
      <c r="C2274" t="s">
        <v>4591</v>
      </c>
      <c r="D2274" t="s">
        <v>78</v>
      </c>
      <c r="F2274">
        <v>-126822928</v>
      </c>
      <c r="G2274">
        <v>6808375158</v>
      </c>
      <c r="H2274">
        <v>5015909966</v>
      </c>
      <c r="I2274">
        <v>4631338434</v>
      </c>
      <c r="J2274">
        <v>2335283417</v>
      </c>
      <c r="K2274">
        <v>2005764800</v>
      </c>
      <c r="L2274">
        <v>-3979709401</v>
      </c>
      <c r="M2274">
        <v>-8635608284</v>
      </c>
      <c r="N2274">
        <v>-349656442</v>
      </c>
      <c r="O2274">
        <v>1191300000</v>
      </c>
      <c r="P2274">
        <v>1682</v>
      </c>
      <c r="Q2274" t="s">
        <v>4592</v>
      </c>
    </row>
    <row r="2275" spans="1:17" x14ac:dyDescent="0.3">
      <c r="A2275" t="s">
        <v>4446</v>
      </c>
      <c r="B2275" t="str">
        <f>"000158"</f>
        <v>000158</v>
      </c>
      <c r="C2275" t="s">
        <v>4593</v>
      </c>
      <c r="D2275" t="s">
        <v>212</v>
      </c>
      <c r="F2275">
        <v>168385884</v>
      </c>
      <c r="G2275">
        <v>759133199</v>
      </c>
      <c r="H2275">
        <v>-33588902</v>
      </c>
      <c r="I2275">
        <v>438746807</v>
      </c>
      <c r="J2275">
        <v>154048843</v>
      </c>
      <c r="K2275">
        <v>250346666</v>
      </c>
      <c r="L2275">
        <v>-620421732</v>
      </c>
      <c r="M2275">
        <v>1276857</v>
      </c>
      <c r="N2275">
        <v>-263500930</v>
      </c>
      <c r="O2275">
        <v>-124102524</v>
      </c>
      <c r="P2275">
        <v>295</v>
      </c>
      <c r="Q2275" t="s">
        <v>4594</v>
      </c>
    </row>
    <row r="2276" spans="1:17" x14ac:dyDescent="0.3">
      <c r="A2276" t="s">
        <v>4446</v>
      </c>
      <c r="B2276" t="str">
        <f>"000159"</f>
        <v>000159</v>
      </c>
      <c r="C2276" t="s">
        <v>4595</v>
      </c>
      <c r="D2276" t="s">
        <v>70</v>
      </c>
      <c r="F2276">
        <v>20053465</v>
      </c>
      <c r="G2276">
        <v>-26909942</v>
      </c>
      <c r="H2276">
        <v>-128788066</v>
      </c>
      <c r="I2276">
        <v>35559223</v>
      </c>
      <c r="J2276">
        <v>-41619188</v>
      </c>
      <c r="K2276">
        <v>-59721636</v>
      </c>
      <c r="L2276">
        <v>-224892497</v>
      </c>
      <c r="M2276">
        <v>24490191</v>
      </c>
      <c r="N2276">
        <v>9672356</v>
      </c>
      <c r="O2276">
        <v>74096956</v>
      </c>
      <c r="P2276">
        <v>100</v>
      </c>
      <c r="Q2276" t="s">
        <v>4596</v>
      </c>
    </row>
    <row r="2277" spans="1:17" x14ac:dyDescent="0.3">
      <c r="A2277" t="s">
        <v>4446</v>
      </c>
      <c r="B2277" t="str">
        <f>"000166"</f>
        <v>000166</v>
      </c>
      <c r="C2277" t="s">
        <v>4597</v>
      </c>
      <c r="D2277" t="s">
        <v>75</v>
      </c>
      <c r="F2277">
        <v>-41247365365</v>
      </c>
      <c r="G2277">
        <v>-18018943512</v>
      </c>
      <c r="H2277">
        <v>9902913863</v>
      </c>
      <c r="I2277">
        <v>-14137141743</v>
      </c>
      <c r="J2277">
        <v>-30880359034</v>
      </c>
      <c r="K2277">
        <v>-38752009873</v>
      </c>
      <c r="L2277">
        <v>50219741942.440002</v>
      </c>
      <c r="M2277">
        <v>21525649880</v>
      </c>
      <c r="N2277">
        <v>-7084755700</v>
      </c>
      <c r="O2277">
        <v>-2518059100</v>
      </c>
      <c r="P2277">
        <v>2819</v>
      </c>
      <c r="Q2277" t="s">
        <v>4598</v>
      </c>
    </row>
    <row r="2278" spans="1:17" x14ac:dyDescent="0.3">
      <c r="A2278" t="s">
        <v>4446</v>
      </c>
      <c r="B2278" t="str">
        <f>"000301"</f>
        <v>000301</v>
      </c>
      <c r="C2278" t="s">
        <v>4599</v>
      </c>
      <c r="D2278" t="s">
        <v>70</v>
      </c>
      <c r="F2278">
        <v>-36229034806</v>
      </c>
      <c r="G2278">
        <v>-14358087223</v>
      </c>
      <c r="H2278">
        <v>-692079341</v>
      </c>
      <c r="I2278">
        <v>-57478670</v>
      </c>
      <c r="J2278">
        <v>362722576</v>
      </c>
      <c r="K2278">
        <v>366246352</v>
      </c>
      <c r="L2278">
        <v>-73047008</v>
      </c>
      <c r="M2278">
        <v>-97183302</v>
      </c>
      <c r="N2278">
        <v>393924412</v>
      </c>
      <c r="O2278">
        <v>301754408</v>
      </c>
      <c r="P2278">
        <v>396</v>
      </c>
      <c r="Q2278" t="s">
        <v>4600</v>
      </c>
    </row>
    <row r="2279" spans="1:17" x14ac:dyDescent="0.3">
      <c r="A2279" t="s">
        <v>4446</v>
      </c>
      <c r="B2279" t="str">
        <f>"000333"</f>
        <v>000333</v>
      </c>
      <c r="C2279" t="s">
        <v>4601</v>
      </c>
      <c r="D2279" t="s">
        <v>126</v>
      </c>
      <c r="F2279">
        <v>28602533000</v>
      </c>
      <c r="G2279">
        <v>25174079000</v>
      </c>
      <c r="H2279">
        <v>35263967000</v>
      </c>
      <c r="I2279">
        <v>22413299000</v>
      </c>
      <c r="J2279">
        <v>22665322000</v>
      </c>
      <c r="K2279">
        <v>24562738000</v>
      </c>
      <c r="L2279">
        <v>24181331000</v>
      </c>
      <c r="M2279">
        <v>23383822810</v>
      </c>
      <c r="N2279">
        <v>8362545400</v>
      </c>
      <c r="O2279">
        <v>5374768030</v>
      </c>
      <c r="P2279">
        <v>25076</v>
      </c>
      <c r="Q2279" t="s">
        <v>4602</v>
      </c>
    </row>
    <row r="2280" spans="1:17" x14ac:dyDescent="0.3">
      <c r="A2280" t="s">
        <v>4446</v>
      </c>
      <c r="B2280" t="str">
        <f>"000338"</f>
        <v>000338</v>
      </c>
      <c r="C2280" t="s">
        <v>4603</v>
      </c>
      <c r="D2280" t="s">
        <v>27</v>
      </c>
      <c r="F2280">
        <v>8974571745</v>
      </c>
      <c r="G2280">
        <v>17217307044</v>
      </c>
      <c r="H2280">
        <v>18483333059</v>
      </c>
      <c r="I2280">
        <v>18641138249</v>
      </c>
      <c r="J2280">
        <v>13821720159</v>
      </c>
      <c r="K2280">
        <v>4534999095</v>
      </c>
      <c r="L2280">
        <v>3103031069</v>
      </c>
      <c r="M2280">
        <v>8280739229</v>
      </c>
      <c r="N2280">
        <v>4304019679</v>
      </c>
      <c r="O2280">
        <v>542248104</v>
      </c>
      <c r="P2280">
        <v>3423</v>
      </c>
      <c r="Q2280" t="s">
        <v>4604</v>
      </c>
    </row>
    <row r="2281" spans="1:17" x14ac:dyDescent="0.3">
      <c r="A2281" t="s">
        <v>4446</v>
      </c>
      <c r="B2281" t="str">
        <f>"000400"</f>
        <v>000400</v>
      </c>
      <c r="C2281" t="s">
        <v>4605</v>
      </c>
      <c r="D2281" t="s">
        <v>188</v>
      </c>
      <c r="F2281">
        <v>1155665760</v>
      </c>
      <c r="G2281">
        <v>716891683</v>
      </c>
      <c r="H2281">
        <v>-5050269</v>
      </c>
      <c r="I2281">
        <v>362240821</v>
      </c>
      <c r="J2281">
        <v>-187201079</v>
      </c>
      <c r="K2281">
        <v>1067646165</v>
      </c>
      <c r="L2281">
        <v>293051955</v>
      </c>
      <c r="M2281">
        <v>-327678897</v>
      </c>
      <c r="N2281">
        <v>715661379</v>
      </c>
      <c r="O2281">
        <v>431266808</v>
      </c>
      <c r="P2281">
        <v>688</v>
      </c>
      <c r="Q2281" t="s">
        <v>4606</v>
      </c>
    </row>
    <row r="2282" spans="1:17" x14ac:dyDescent="0.3">
      <c r="A2282" t="s">
        <v>4446</v>
      </c>
      <c r="B2282" t="str">
        <f>"000401"</f>
        <v>000401</v>
      </c>
      <c r="C2282" t="s">
        <v>4607</v>
      </c>
      <c r="D2282" t="s">
        <v>350</v>
      </c>
      <c r="F2282">
        <v>4192483199</v>
      </c>
      <c r="G2282">
        <v>6423230280</v>
      </c>
      <c r="H2282">
        <v>7275093509</v>
      </c>
      <c r="I2282">
        <v>6001795927</v>
      </c>
      <c r="J2282">
        <v>2259053463</v>
      </c>
      <c r="K2282">
        <v>2587975514</v>
      </c>
      <c r="L2282">
        <v>235066687</v>
      </c>
      <c r="M2282">
        <v>1408069185</v>
      </c>
      <c r="N2282">
        <v>-618669941</v>
      </c>
      <c r="O2282">
        <v>-1199604923</v>
      </c>
      <c r="P2282">
        <v>826</v>
      </c>
      <c r="Q2282" t="s">
        <v>4608</v>
      </c>
    </row>
    <row r="2283" spans="1:17" x14ac:dyDescent="0.3">
      <c r="A2283" t="s">
        <v>4446</v>
      </c>
      <c r="B2283" t="str">
        <f>"000402"</f>
        <v>000402</v>
      </c>
      <c r="C2283" t="s">
        <v>4609</v>
      </c>
      <c r="D2283" t="s">
        <v>30</v>
      </c>
      <c r="F2283">
        <v>3865928890</v>
      </c>
      <c r="G2283">
        <v>9837400753</v>
      </c>
      <c r="H2283">
        <v>2565605863</v>
      </c>
      <c r="I2283">
        <v>-9118769634</v>
      </c>
      <c r="J2283">
        <v>-7314456850</v>
      </c>
      <c r="K2283">
        <v>17018221763</v>
      </c>
      <c r="L2283">
        <v>-12997106733</v>
      </c>
      <c r="M2283">
        <v>-517823017</v>
      </c>
      <c r="N2283">
        <v>-2833271713</v>
      </c>
      <c r="O2283">
        <v>-1800985859</v>
      </c>
      <c r="P2283">
        <v>974</v>
      </c>
      <c r="Q2283" t="s">
        <v>4610</v>
      </c>
    </row>
    <row r="2284" spans="1:17" x14ac:dyDescent="0.3">
      <c r="A2284" t="s">
        <v>4446</v>
      </c>
      <c r="B2284" t="str">
        <f>"000403"</f>
        <v>000403</v>
      </c>
      <c r="C2284" t="s">
        <v>4611</v>
      </c>
      <c r="D2284" t="s">
        <v>113</v>
      </c>
      <c r="F2284">
        <v>83406628</v>
      </c>
      <c r="G2284">
        <v>154746449</v>
      </c>
      <c r="H2284">
        <v>151048202</v>
      </c>
      <c r="I2284">
        <v>101142354</v>
      </c>
      <c r="J2284">
        <v>-75721319</v>
      </c>
      <c r="K2284">
        <v>206303939</v>
      </c>
      <c r="L2284">
        <v>10921491</v>
      </c>
      <c r="M2284">
        <v>7306699</v>
      </c>
      <c r="N2284">
        <v>-67876242</v>
      </c>
      <c r="O2284">
        <v>-57005813</v>
      </c>
      <c r="P2284">
        <v>294</v>
      </c>
      <c r="Q2284" t="s">
        <v>4612</v>
      </c>
    </row>
    <row r="2285" spans="1:17" x14ac:dyDescent="0.3">
      <c r="A2285" t="s">
        <v>4446</v>
      </c>
      <c r="B2285" t="str">
        <f>"000404"</f>
        <v>000404</v>
      </c>
      <c r="C2285" t="s">
        <v>4613</v>
      </c>
      <c r="D2285" t="s">
        <v>126</v>
      </c>
      <c r="F2285">
        <v>1311587199</v>
      </c>
      <c r="G2285">
        <v>462917740</v>
      </c>
      <c r="H2285">
        <v>637280515</v>
      </c>
      <c r="I2285">
        <v>-19531319</v>
      </c>
      <c r="J2285">
        <v>-339728544</v>
      </c>
      <c r="K2285">
        <v>-593621</v>
      </c>
      <c r="L2285">
        <v>541641914</v>
      </c>
      <c r="M2285">
        <v>468421572</v>
      </c>
      <c r="N2285">
        <v>-294317909</v>
      </c>
      <c r="O2285">
        <v>130132028</v>
      </c>
      <c r="P2285">
        <v>113</v>
      </c>
      <c r="Q2285" t="s">
        <v>4614</v>
      </c>
    </row>
    <row r="2286" spans="1:17" x14ac:dyDescent="0.3">
      <c r="A2286" t="s">
        <v>4446</v>
      </c>
      <c r="B2286" t="str">
        <f>"000405"</f>
        <v>000405</v>
      </c>
      <c r="C2286" t="s">
        <v>4615</v>
      </c>
      <c r="K2286">
        <v>13232183.16</v>
      </c>
      <c r="L2286">
        <v>-45549972.93</v>
      </c>
      <c r="M2286">
        <v>-15673305.18</v>
      </c>
      <c r="N2286">
        <v>23542.36</v>
      </c>
      <c r="O2286">
        <v>23362.92</v>
      </c>
      <c r="P2286">
        <v>3</v>
      </c>
      <c r="Q2286" t="s">
        <v>4616</v>
      </c>
    </row>
    <row r="2287" spans="1:17" x14ac:dyDescent="0.3">
      <c r="A2287" t="s">
        <v>4446</v>
      </c>
      <c r="B2287" t="str">
        <f>"000407"</f>
        <v>000407</v>
      </c>
      <c r="C2287" t="s">
        <v>4617</v>
      </c>
      <c r="D2287" t="s">
        <v>41</v>
      </c>
      <c r="F2287">
        <v>5632030</v>
      </c>
      <c r="G2287">
        <v>145386071</v>
      </c>
      <c r="H2287">
        <v>414610833</v>
      </c>
      <c r="I2287">
        <v>-64595401</v>
      </c>
      <c r="J2287">
        <v>-93441060</v>
      </c>
      <c r="K2287">
        <v>5133012</v>
      </c>
      <c r="L2287">
        <v>-30526013</v>
      </c>
      <c r="M2287">
        <v>30133634</v>
      </c>
      <c r="N2287">
        <v>-164772219</v>
      </c>
      <c r="O2287">
        <v>-61308818</v>
      </c>
      <c r="P2287">
        <v>113</v>
      </c>
      <c r="Q2287" t="s">
        <v>4618</v>
      </c>
    </row>
    <row r="2288" spans="1:17" x14ac:dyDescent="0.3">
      <c r="A2288" t="s">
        <v>4446</v>
      </c>
      <c r="B2288" t="str">
        <f>"000408"</f>
        <v>000408</v>
      </c>
      <c r="C2288" t="s">
        <v>4619</v>
      </c>
      <c r="D2288" t="s">
        <v>133</v>
      </c>
      <c r="F2288">
        <v>1976677360</v>
      </c>
      <c r="G2288">
        <v>-254951050</v>
      </c>
      <c r="H2288">
        <v>163007389</v>
      </c>
      <c r="I2288">
        <v>604890013</v>
      </c>
      <c r="J2288">
        <v>-262433918</v>
      </c>
      <c r="K2288">
        <v>-24347373</v>
      </c>
      <c r="L2288">
        <v>12551896</v>
      </c>
      <c r="M2288">
        <v>351569</v>
      </c>
      <c r="N2288">
        <v>-3523362</v>
      </c>
      <c r="O2288">
        <v>11704269</v>
      </c>
      <c r="P2288">
        <v>188</v>
      </c>
      <c r="Q2288" t="s">
        <v>4620</v>
      </c>
    </row>
    <row r="2289" spans="1:17" x14ac:dyDescent="0.3">
      <c r="A2289" t="s">
        <v>4446</v>
      </c>
      <c r="B2289" t="str">
        <f>"000409"</f>
        <v>000409</v>
      </c>
      <c r="C2289" t="s">
        <v>4621</v>
      </c>
      <c r="D2289" t="s">
        <v>103</v>
      </c>
      <c r="F2289">
        <v>-22735264</v>
      </c>
      <c r="G2289">
        <v>-163689513</v>
      </c>
      <c r="H2289">
        <v>-84421503</v>
      </c>
      <c r="I2289">
        <v>601959393</v>
      </c>
      <c r="J2289">
        <v>-257406545</v>
      </c>
      <c r="K2289">
        <v>-364267121</v>
      </c>
      <c r="L2289">
        <v>-473125675</v>
      </c>
      <c r="M2289">
        <v>-307828605</v>
      </c>
      <c r="N2289">
        <v>-70382794</v>
      </c>
      <c r="O2289">
        <v>-57636529</v>
      </c>
      <c r="P2289">
        <v>75</v>
      </c>
      <c r="Q2289" t="s">
        <v>4622</v>
      </c>
    </row>
    <row r="2290" spans="1:17" x14ac:dyDescent="0.3">
      <c r="A2290" t="s">
        <v>4446</v>
      </c>
      <c r="B2290" t="str">
        <f>"000410"</f>
        <v>000410</v>
      </c>
      <c r="C2290" t="s">
        <v>4623</v>
      </c>
      <c r="D2290" t="s">
        <v>78</v>
      </c>
      <c r="F2290">
        <v>-73383469</v>
      </c>
      <c r="G2290">
        <v>-907451074</v>
      </c>
      <c r="H2290">
        <v>98040179</v>
      </c>
      <c r="I2290">
        <v>-105422775</v>
      </c>
      <c r="J2290">
        <v>-1449918538</v>
      </c>
      <c r="K2290">
        <v>-2430415844</v>
      </c>
      <c r="L2290">
        <v>-2891897564</v>
      </c>
      <c r="M2290">
        <v>-1951520958</v>
      </c>
      <c r="N2290">
        <v>-1425171984</v>
      </c>
      <c r="O2290">
        <v>-1476690006</v>
      </c>
      <c r="P2290">
        <v>101</v>
      </c>
      <c r="Q2290" t="s">
        <v>4624</v>
      </c>
    </row>
    <row r="2291" spans="1:17" x14ac:dyDescent="0.3">
      <c r="A2291" t="s">
        <v>4446</v>
      </c>
      <c r="B2291" t="str">
        <f>"000411"</f>
        <v>000411</v>
      </c>
      <c r="C2291" t="s">
        <v>4625</v>
      </c>
      <c r="D2291" t="s">
        <v>113</v>
      </c>
      <c r="F2291">
        <v>183891552</v>
      </c>
      <c r="G2291">
        <v>165473022</v>
      </c>
      <c r="H2291">
        <v>156394111</v>
      </c>
      <c r="I2291">
        <v>53288729</v>
      </c>
      <c r="J2291">
        <v>74560403</v>
      </c>
      <c r="K2291">
        <v>48148479</v>
      </c>
      <c r="L2291">
        <v>-62012702</v>
      </c>
      <c r="M2291">
        <v>16075235</v>
      </c>
      <c r="N2291">
        <v>20620491</v>
      </c>
      <c r="O2291">
        <v>-19375513</v>
      </c>
      <c r="P2291">
        <v>236</v>
      </c>
      <c r="Q2291" t="s">
        <v>4626</v>
      </c>
    </row>
    <row r="2292" spans="1:17" x14ac:dyDescent="0.3">
      <c r="A2292" t="s">
        <v>4446</v>
      </c>
      <c r="B2292" t="str">
        <f>"000413"</f>
        <v>000413</v>
      </c>
      <c r="C2292" t="s">
        <v>4627</v>
      </c>
      <c r="D2292" t="s">
        <v>150</v>
      </c>
      <c r="F2292">
        <v>1129761484</v>
      </c>
      <c r="G2292">
        <v>-1583878746</v>
      </c>
      <c r="H2292">
        <v>-5548102899</v>
      </c>
      <c r="I2292">
        <v>-5008132090</v>
      </c>
      <c r="J2292">
        <v>-898646398</v>
      </c>
      <c r="K2292">
        <v>561747141</v>
      </c>
      <c r="L2292">
        <v>1240233229</v>
      </c>
      <c r="M2292">
        <v>-1183680102</v>
      </c>
      <c r="N2292">
        <v>-4087469211</v>
      </c>
      <c r="O2292">
        <v>-1171014682</v>
      </c>
      <c r="P2292">
        <v>525</v>
      </c>
      <c r="Q2292" t="s">
        <v>4628</v>
      </c>
    </row>
    <row r="2293" spans="1:17" x14ac:dyDescent="0.3">
      <c r="A2293" t="s">
        <v>4446</v>
      </c>
      <c r="B2293" t="str">
        <f>"000415"</f>
        <v>000415</v>
      </c>
      <c r="C2293" t="s">
        <v>4629</v>
      </c>
      <c r="D2293" t="s">
        <v>75</v>
      </c>
      <c r="F2293">
        <v>-2536648000</v>
      </c>
      <c r="G2293">
        <v>5046405000</v>
      </c>
      <c r="H2293">
        <v>14810250000</v>
      </c>
      <c r="I2293">
        <v>17056213000</v>
      </c>
      <c r="J2293">
        <v>-12379756000</v>
      </c>
      <c r="K2293">
        <v>-39878742000</v>
      </c>
      <c r="L2293">
        <v>-25717381000</v>
      </c>
      <c r="M2293">
        <v>-13682734000</v>
      </c>
      <c r="N2293">
        <v>-11317265000</v>
      </c>
      <c r="O2293">
        <v>-9754368087</v>
      </c>
      <c r="P2293">
        <v>256</v>
      </c>
      <c r="Q2293" t="s">
        <v>4630</v>
      </c>
    </row>
    <row r="2294" spans="1:17" x14ac:dyDescent="0.3">
      <c r="A2294" t="s">
        <v>4446</v>
      </c>
      <c r="B2294" t="str">
        <f>"000416"</f>
        <v>000416</v>
      </c>
      <c r="C2294" t="s">
        <v>4631</v>
      </c>
      <c r="D2294" t="s">
        <v>75</v>
      </c>
      <c r="F2294">
        <v>11319158</v>
      </c>
      <c r="G2294">
        <v>92111644</v>
      </c>
      <c r="H2294">
        <v>-92585148</v>
      </c>
      <c r="I2294">
        <v>-58733931</v>
      </c>
      <c r="J2294">
        <v>-16170916</v>
      </c>
      <c r="K2294">
        <v>-392705628</v>
      </c>
      <c r="L2294">
        <v>46034210</v>
      </c>
      <c r="M2294">
        <v>-139960809</v>
      </c>
      <c r="N2294">
        <v>-3287324</v>
      </c>
      <c r="O2294">
        <v>31845495</v>
      </c>
      <c r="P2294">
        <v>119</v>
      </c>
      <c r="Q2294" t="s">
        <v>4632</v>
      </c>
    </row>
    <row r="2295" spans="1:17" x14ac:dyDescent="0.3">
      <c r="A2295" t="s">
        <v>4446</v>
      </c>
      <c r="B2295" t="str">
        <f>"000417"</f>
        <v>000417</v>
      </c>
      <c r="C2295" t="s">
        <v>4633</v>
      </c>
      <c r="D2295" t="s">
        <v>120</v>
      </c>
      <c r="F2295">
        <v>763664207</v>
      </c>
      <c r="G2295">
        <v>127085796</v>
      </c>
      <c r="H2295">
        <v>-800921569</v>
      </c>
      <c r="I2295">
        <v>353623896</v>
      </c>
      <c r="J2295">
        <v>315693321</v>
      </c>
      <c r="K2295">
        <v>328734040</v>
      </c>
      <c r="L2295">
        <v>-181997842</v>
      </c>
      <c r="M2295">
        <v>10835210</v>
      </c>
      <c r="N2295">
        <v>-189347589</v>
      </c>
      <c r="O2295">
        <v>350894223</v>
      </c>
      <c r="P2295">
        <v>145</v>
      </c>
      <c r="Q2295" t="s">
        <v>4634</v>
      </c>
    </row>
    <row r="2296" spans="1:17" x14ac:dyDescent="0.3">
      <c r="A2296" t="s">
        <v>4446</v>
      </c>
      <c r="B2296" t="str">
        <f>"000418"</f>
        <v>000418</v>
      </c>
      <c r="C2296" t="s">
        <v>4635</v>
      </c>
      <c r="I2296">
        <v>2365641828</v>
      </c>
      <c r="J2296">
        <v>1811502233</v>
      </c>
      <c r="K2296">
        <v>3838214768</v>
      </c>
      <c r="L2296">
        <v>3491296431.8000002</v>
      </c>
      <c r="M2296">
        <v>1586279380.5899999</v>
      </c>
      <c r="N2296">
        <v>946123452.75</v>
      </c>
      <c r="O2296">
        <v>262310695.63999999</v>
      </c>
      <c r="P2296">
        <v>653</v>
      </c>
      <c r="Q2296" t="s">
        <v>4636</v>
      </c>
    </row>
    <row r="2297" spans="1:17" x14ac:dyDescent="0.3">
      <c r="A2297" t="s">
        <v>4446</v>
      </c>
      <c r="B2297" t="str">
        <f>"000419"</f>
        <v>000419</v>
      </c>
      <c r="C2297" t="s">
        <v>4637</v>
      </c>
      <c r="D2297" t="s">
        <v>120</v>
      </c>
      <c r="F2297">
        <v>319035097</v>
      </c>
      <c r="G2297">
        <v>43339706</v>
      </c>
      <c r="H2297">
        <v>-101435127</v>
      </c>
      <c r="I2297">
        <v>-80264029</v>
      </c>
      <c r="J2297">
        <v>200362994</v>
      </c>
      <c r="K2297">
        <v>-101056687</v>
      </c>
      <c r="L2297">
        <v>37265272</v>
      </c>
      <c r="M2297">
        <v>154234747</v>
      </c>
      <c r="N2297">
        <v>169830362</v>
      </c>
      <c r="O2297">
        <v>354462415</v>
      </c>
      <c r="P2297">
        <v>115</v>
      </c>
      <c r="Q2297" t="s">
        <v>4638</v>
      </c>
    </row>
    <row r="2298" spans="1:17" x14ac:dyDescent="0.3">
      <c r="A2298" t="s">
        <v>4446</v>
      </c>
      <c r="B2298" t="str">
        <f>"000420"</f>
        <v>000420</v>
      </c>
      <c r="C2298" t="s">
        <v>4639</v>
      </c>
      <c r="D2298" t="s">
        <v>133</v>
      </c>
      <c r="G2298">
        <v>-10628872</v>
      </c>
      <c r="H2298">
        <v>-229344541</v>
      </c>
      <c r="I2298">
        <v>-88466031</v>
      </c>
      <c r="J2298">
        <v>-1324093186</v>
      </c>
      <c r="K2298">
        <v>-1001756866</v>
      </c>
      <c r="L2298">
        <v>-456473448</v>
      </c>
      <c r="M2298">
        <v>-321141868</v>
      </c>
      <c r="N2298">
        <v>-554284596</v>
      </c>
      <c r="O2298">
        <v>-139234523</v>
      </c>
      <c r="P2298">
        <v>101</v>
      </c>
      <c r="Q2298" t="s">
        <v>4640</v>
      </c>
    </row>
    <row r="2299" spans="1:17" x14ac:dyDescent="0.3">
      <c r="A2299" t="s">
        <v>4446</v>
      </c>
      <c r="B2299" t="str">
        <f>"000421"</f>
        <v>000421</v>
      </c>
      <c r="C2299" t="s">
        <v>4641</v>
      </c>
      <c r="D2299" t="s">
        <v>41</v>
      </c>
      <c r="F2299">
        <v>692584277</v>
      </c>
      <c r="G2299">
        <v>-2226129830</v>
      </c>
      <c r="H2299">
        <v>-1373455433</v>
      </c>
      <c r="I2299">
        <v>630700564</v>
      </c>
      <c r="J2299">
        <v>2795411544</v>
      </c>
      <c r="K2299">
        <v>-350168670</v>
      </c>
      <c r="L2299">
        <v>-372492601</v>
      </c>
      <c r="M2299">
        <v>250336361</v>
      </c>
      <c r="N2299">
        <v>158430789</v>
      </c>
      <c r="O2299">
        <v>298383850</v>
      </c>
      <c r="P2299">
        <v>159</v>
      </c>
      <c r="Q2299" t="s">
        <v>4642</v>
      </c>
    </row>
    <row r="2300" spans="1:17" x14ac:dyDescent="0.3">
      <c r="A2300" t="s">
        <v>4446</v>
      </c>
      <c r="B2300" t="str">
        <f>"000422"</f>
        <v>000422</v>
      </c>
      <c r="C2300" t="s">
        <v>4643</v>
      </c>
      <c r="D2300" t="s">
        <v>133</v>
      </c>
      <c r="F2300">
        <v>2767656344</v>
      </c>
      <c r="G2300">
        <v>655032581</v>
      </c>
      <c r="H2300">
        <v>1990898552</v>
      </c>
      <c r="I2300">
        <v>-550276116</v>
      </c>
      <c r="J2300">
        <v>117095019</v>
      </c>
      <c r="K2300">
        <v>1313462144</v>
      </c>
      <c r="L2300">
        <v>3377276769</v>
      </c>
      <c r="M2300">
        <v>1016173936</v>
      </c>
      <c r="N2300">
        <v>-162908962</v>
      </c>
      <c r="O2300">
        <v>-1255155848</v>
      </c>
      <c r="P2300">
        <v>258</v>
      </c>
      <c r="Q2300" t="s">
        <v>4644</v>
      </c>
    </row>
    <row r="2301" spans="1:17" x14ac:dyDescent="0.3">
      <c r="A2301" t="s">
        <v>4446</v>
      </c>
      <c r="B2301" t="str">
        <f>"000423"</f>
        <v>000423</v>
      </c>
      <c r="C2301" t="s">
        <v>4645</v>
      </c>
      <c r="D2301" t="s">
        <v>113</v>
      </c>
      <c r="F2301">
        <v>2776220743</v>
      </c>
      <c r="G2301">
        <v>699705597</v>
      </c>
      <c r="H2301">
        <v>-1450154443</v>
      </c>
      <c r="I2301">
        <v>760570727</v>
      </c>
      <c r="J2301">
        <v>1445239470</v>
      </c>
      <c r="K2301">
        <v>275837433</v>
      </c>
      <c r="L2301">
        <v>702998817</v>
      </c>
      <c r="M2301">
        <v>382511872</v>
      </c>
      <c r="N2301">
        <v>398242577</v>
      </c>
      <c r="O2301">
        <v>579392505</v>
      </c>
      <c r="P2301">
        <v>24620</v>
      </c>
      <c r="Q2301" t="s">
        <v>4646</v>
      </c>
    </row>
    <row r="2302" spans="1:17" x14ac:dyDescent="0.3">
      <c r="A2302" t="s">
        <v>4446</v>
      </c>
      <c r="B2302" t="str">
        <f>"000425"</f>
        <v>000425</v>
      </c>
      <c r="C2302" t="s">
        <v>4647</v>
      </c>
      <c r="D2302" t="s">
        <v>78</v>
      </c>
      <c r="F2302">
        <v>4997721578</v>
      </c>
      <c r="G2302">
        <v>841743446</v>
      </c>
      <c r="H2302">
        <v>3227747720</v>
      </c>
      <c r="I2302">
        <v>1693206077</v>
      </c>
      <c r="J2302">
        <v>2568451314</v>
      </c>
      <c r="K2302">
        <v>1862794864</v>
      </c>
      <c r="L2302">
        <v>-139861354</v>
      </c>
      <c r="M2302">
        <v>-79204968</v>
      </c>
      <c r="N2302">
        <v>-2609980295</v>
      </c>
      <c r="O2302">
        <v>-6051858987</v>
      </c>
      <c r="P2302">
        <v>962</v>
      </c>
      <c r="Q2302" t="s">
        <v>4648</v>
      </c>
    </row>
    <row r="2303" spans="1:17" x14ac:dyDescent="0.3">
      <c r="A2303" t="s">
        <v>4446</v>
      </c>
      <c r="B2303" t="str">
        <f>"000426"</f>
        <v>000426</v>
      </c>
      <c r="C2303" t="s">
        <v>4649</v>
      </c>
      <c r="D2303" t="s">
        <v>234</v>
      </c>
      <c r="F2303">
        <v>318568066</v>
      </c>
      <c r="G2303">
        <v>78154418</v>
      </c>
      <c r="H2303">
        <v>241708337</v>
      </c>
      <c r="I2303">
        <v>586890659</v>
      </c>
      <c r="J2303">
        <v>431803058</v>
      </c>
      <c r="K2303">
        <v>-170874154</v>
      </c>
      <c r="L2303">
        <v>-147732194</v>
      </c>
      <c r="M2303">
        <v>-296574402</v>
      </c>
      <c r="N2303">
        <v>-101903291</v>
      </c>
      <c r="O2303">
        <v>-135557492</v>
      </c>
      <c r="P2303">
        <v>202</v>
      </c>
      <c r="Q2303" t="s">
        <v>4650</v>
      </c>
    </row>
    <row r="2304" spans="1:17" x14ac:dyDescent="0.3">
      <c r="A2304" t="s">
        <v>4446</v>
      </c>
      <c r="B2304" t="str">
        <f>"000428"</f>
        <v>000428</v>
      </c>
      <c r="C2304" t="s">
        <v>4651</v>
      </c>
      <c r="D2304" t="s">
        <v>110</v>
      </c>
      <c r="F2304">
        <v>-53532982</v>
      </c>
      <c r="G2304">
        <v>-197949609</v>
      </c>
      <c r="H2304">
        <v>244898928</v>
      </c>
      <c r="I2304">
        <v>-95328864</v>
      </c>
      <c r="J2304">
        <v>145220392</v>
      </c>
      <c r="K2304">
        <v>-183585366</v>
      </c>
      <c r="L2304">
        <v>-248632199</v>
      </c>
      <c r="M2304">
        <v>-673626643</v>
      </c>
      <c r="N2304">
        <v>-497051835</v>
      </c>
      <c r="O2304">
        <v>-301678787</v>
      </c>
      <c r="P2304">
        <v>104</v>
      </c>
      <c r="Q2304" t="s">
        <v>4652</v>
      </c>
    </row>
    <row r="2305" spans="1:17" x14ac:dyDescent="0.3">
      <c r="A2305" t="s">
        <v>4446</v>
      </c>
      <c r="B2305" t="str">
        <f>"000429"</f>
        <v>000429</v>
      </c>
      <c r="C2305" t="s">
        <v>4653</v>
      </c>
      <c r="D2305" t="s">
        <v>22</v>
      </c>
      <c r="F2305">
        <v>3160868108</v>
      </c>
      <c r="G2305">
        <v>1976243722</v>
      </c>
      <c r="H2305">
        <v>1185503515</v>
      </c>
      <c r="I2305">
        <v>1298836872</v>
      </c>
      <c r="J2305">
        <v>1766601419</v>
      </c>
      <c r="K2305">
        <v>1437599882</v>
      </c>
      <c r="L2305">
        <v>899859804</v>
      </c>
      <c r="M2305">
        <v>736891152</v>
      </c>
      <c r="N2305">
        <v>317078421</v>
      </c>
      <c r="O2305">
        <v>-508300074</v>
      </c>
      <c r="P2305">
        <v>1027</v>
      </c>
      <c r="Q2305" t="s">
        <v>4654</v>
      </c>
    </row>
    <row r="2306" spans="1:17" x14ac:dyDescent="0.3">
      <c r="A2306" t="s">
        <v>4446</v>
      </c>
      <c r="B2306" t="str">
        <f>"000430"</f>
        <v>000430</v>
      </c>
      <c r="C2306" t="s">
        <v>4655</v>
      </c>
      <c r="D2306" t="s">
        <v>110</v>
      </c>
      <c r="F2306">
        <v>-124289661</v>
      </c>
      <c r="G2306">
        <v>-326049210</v>
      </c>
      <c r="H2306">
        <v>-54553190</v>
      </c>
      <c r="I2306">
        <v>-395677059</v>
      </c>
      <c r="J2306">
        <v>-503199824</v>
      </c>
      <c r="K2306">
        <v>-447130998</v>
      </c>
      <c r="L2306">
        <v>57975628</v>
      </c>
      <c r="M2306">
        <v>-12226435</v>
      </c>
      <c r="N2306">
        <v>-15166739</v>
      </c>
      <c r="O2306">
        <v>41469725</v>
      </c>
      <c r="P2306">
        <v>109</v>
      </c>
      <c r="Q2306" t="s">
        <v>4656</v>
      </c>
    </row>
    <row r="2307" spans="1:17" x14ac:dyDescent="0.3">
      <c r="A2307" t="s">
        <v>4446</v>
      </c>
      <c r="B2307" t="str">
        <f>"000488"</f>
        <v>000488</v>
      </c>
      <c r="C2307" t="s">
        <v>4657</v>
      </c>
      <c r="D2307" t="s">
        <v>161</v>
      </c>
      <c r="F2307">
        <v>8167068997</v>
      </c>
      <c r="G2307">
        <v>11137525042</v>
      </c>
      <c r="H2307">
        <v>11257731661</v>
      </c>
      <c r="I2307">
        <v>10491701418</v>
      </c>
      <c r="J2307">
        <v>-2227031377</v>
      </c>
      <c r="K2307">
        <v>-320026107</v>
      </c>
      <c r="L2307">
        <v>-13415872320</v>
      </c>
      <c r="M2307">
        <v>-2082970959</v>
      </c>
      <c r="N2307">
        <v>-2490614489</v>
      </c>
      <c r="O2307">
        <v>-797987414</v>
      </c>
      <c r="P2307">
        <v>1270</v>
      </c>
      <c r="Q2307" t="s">
        <v>4658</v>
      </c>
    </row>
    <row r="2308" spans="1:17" x14ac:dyDescent="0.3">
      <c r="A2308" t="s">
        <v>4446</v>
      </c>
      <c r="B2308" t="str">
        <f>"000498"</f>
        <v>000498</v>
      </c>
      <c r="C2308" t="s">
        <v>4659</v>
      </c>
      <c r="D2308" t="s">
        <v>95</v>
      </c>
      <c r="F2308">
        <v>-2888788620</v>
      </c>
      <c r="G2308">
        <v>505109492</v>
      </c>
      <c r="H2308">
        <v>-362796955</v>
      </c>
      <c r="I2308">
        <v>335291474</v>
      </c>
      <c r="J2308">
        <v>34975329</v>
      </c>
      <c r="K2308">
        <v>733331160</v>
      </c>
      <c r="L2308">
        <v>780256793</v>
      </c>
      <c r="M2308">
        <v>287803186</v>
      </c>
      <c r="N2308">
        <v>622535400</v>
      </c>
      <c r="O2308">
        <v>-859287923</v>
      </c>
      <c r="P2308">
        <v>277</v>
      </c>
      <c r="Q2308" t="s">
        <v>4660</v>
      </c>
    </row>
    <row r="2309" spans="1:17" x14ac:dyDescent="0.3">
      <c r="A2309" t="s">
        <v>4446</v>
      </c>
      <c r="B2309" t="str">
        <f>"000501"</f>
        <v>000501</v>
      </c>
      <c r="C2309" t="s">
        <v>4661</v>
      </c>
      <c r="D2309" t="s">
        <v>120</v>
      </c>
      <c r="F2309">
        <v>-1589453665</v>
      </c>
      <c r="G2309">
        <v>-8361395</v>
      </c>
      <c r="H2309">
        <v>-28827595</v>
      </c>
      <c r="I2309">
        <v>-217975542</v>
      </c>
      <c r="J2309">
        <v>-156273769</v>
      </c>
      <c r="K2309">
        <v>998492039</v>
      </c>
      <c r="L2309">
        <v>-1575167309</v>
      </c>
      <c r="M2309">
        <v>-1291015331</v>
      </c>
      <c r="N2309">
        <v>319087932</v>
      </c>
      <c r="O2309">
        <v>492316366</v>
      </c>
      <c r="P2309">
        <v>6225</v>
      </c>
      <c r="Q2309" t="s">
        <v>4662</v>
      </c>
    </row>
    <row r="2310" spans="1:17" x14ac:dyDescent="0.3">
      <c r="A2310" t="s">
        <v>4446</v>
      </c>
      <c r="B2310" t="str">
        <f>"000502"</f>
        <v>000502</v>
      </c>
      <c r="C2310" t="s">
        <v>4663</v>
      </c>
      <c r="D2310" t="s">
        <v>30</v>
      </c>
      <c r="F2310">
        <v>-5649164</v>
      </c>
      <c r="G2310">
        <v>-15267364</v>
      </c>
      <c r="H2310">
        <v>-11851108</v>
      </c>
      <c r="I2310">
        <v>-18643966</v>
      </c>
      <c r="J2310">
        <v>-199953190</v>
      </c>
      <c r="K2310">
        <v>93627812</v>
      </c>
      <c r="L2310">
        <v>-100299801</v>
      </c>
      <c r="M2310">
        <v>15430103</v>
      </c>
      <c r="N2310">
        <v>7738294</v>
      </c>
      <c r="O2310">
        <v>-130337923</v>
      </c>
      <c r="P2310">
        <v>85</v>
      </c>
      <c r="Q2310" t="s">
        <v>4664</v>
      </c>
    </row>
    <row r="2311" spans="1:17" x14ac:dyDescent="0.3">
      <c r="A2311" t="s">
        <v>4446</v>
      </c>
      <c r="B2311" t="str">
        <f>"000503"</f>
        <v>000503</v>
      </c>
      <c r="C2311" t="s">
        <v>4665</v>
      </c>
      <c r="D2311" t="s">
        <v>212</v>
      </c>
      <c r="F2311">
        <v>-127300038</v>
      </c>
      <c r="G2311">
        <v>-110707205</v>
      </c>
      <c r="H2311">
        <v>33562862</v>
      </c>
      <c r="I2311">
        <v>-60544822</v>
      </c>
      <c r="J2311">
        <v>-334462583</v>
      </c>
      <c r="K2311">
        <v>-86448730</v>
      </c>
      <c r="L2311">
        <v>-62892214</v>
      </c>
      <c r="M2311">
        <v>-68773242</v>
      </c>
      <c r="N2311">
        <v>117724247</v>
      </c>
      <c r="O2311">
        <v>27287784</v>
      </c>
      <c r="P2311">
        <v>174</v>
      </c>
      <c r="Q2311" t="s">
        <v>4666</v>
      </c>
    </row>
    <row r="2312" spans="1:17" x14ac:dyDescent="0.3">
      <c r="A2312" t="s">
        <v>4446</v>
      </c>
      <c r="B2312" t="str">
        <f>"000504"</f>
        <v>000504</v>
      </c>
      <c r="C2312" t="s">
        <v>4667</v>
      </c>
      <c r="D2312" t="s">
        <v>113</v>
      </c>
      <c r="F2312">
        <v>75210572</v>
      </c>
      <c r="G2312">
        <v>-211678434</v>
      </c>
      <c r="H2312">
        <v>12177539</v>
      </c>
      <c r="I2312">
        <v>-24481962</v>
      </c>
      <c r="J2312">
        <v>-42396551</v>
      </c>
      <c r="K2312">
        <v>9112160</v>
      </c>
      <c r="L2312">
        <v>-16328459</v>
      </c>
      <c r="M2312">
        <v>-31877589</v>
      </c>
      <c r="N2312">
        <v>-32435898</v>
      </c>
      <c r="O2312">
        <v>-4364334</v>
      </c>
      <c r="P2312">
        <v>85</v>
      </c>
      <c r="Q2312" t="s">
        <v>4668</v>
      </c>
    </row>
    <row r="2313" spans="1:17" x14ac:dyDescent="0.3">
      <c r="A2313" t="s">
        <v>4446</v>
      </c>
      <c r="B2313" t="str">
        <f>"000505"</f>
        <v>000505</v>
      </c>
      <c r="C2313" t="s">
        <v>4669</v>
      </c>
      <c r="D2313" t="s">
        <v>205</v>
      </c>
      <c r="F2313">
        <v>565753401</v>
      </c>
      <c r="G2313">
        <v>-282665681</v>
      </c>
      <c r="H2313">
        <v>276984914</v>
      </c>
      <c r="I2313">
        <v>796661626</v>
      </c>
      <c r="J2313">
        <v>-1378269915</v>
      </c>
      <c r="K2313">
        <v>259788440</v>
      </c>
      <c r="L2313">
        <v>237078279</v>
      </c>
      <c r="M2313">
        <v>-324428005</v>
      </c>
      <c r="N2313">
        <v>-86038097</v>
      </c>
      <c r="O2313">
        <v>-163826096</v>
      </c>
      <c r="P2313">
        <v>193</v>
      </c>
      <c r="Q2313" t="s">
        <v>4670</v>
      </c>
    </row>
    <row r="2314" spans="1:17" x14ac:dyDescent="0.3">
      <c r="A2314" t="s">
        <v>4446</v>
      </c>
      <c r="B2314" t="str">
        <f>"000506"</f>
        <v>000506</v>
      </c>
      <c r="C2314" t="s">
        <v>4671</v>
      </c>
      <c r="D2314" t="s">
        <v>30</v>
      </c>
      <c r="F2314">
        <v>-14373660</v>
      </c>
      <c r="G2314">
        <v>50590695</v>
      </c>
      <c r="H2314">
        <v>65819326</v>
      </c>
      <c r="I2314">
        <v>147547978</v>
      </c>
      <c r="J2314">
        <v>-58960680</v>
      </c>
      <c r="K2314">
        <v>-444358370</v>
      </c>
      <c r="L2314">
        <v>-224583617</v>
      </c>
      <c r="M2314">
        <v>-290530114</v>
      </c>
      <c r="N2314">
        <v>-47122305</v>
      </c>
      <c r="O2314">
        <v>190258190</v>
      </c>
      <c r="P2314">
        <v>85</v>
      </c>
      <c r="Q2314" t="s">
        <v>4672</v>
      </c>
    </row>
    <row r="2315" spans="1:17" x14ac:dyDescent="0.3">
      <c r="A2315" t="s">
        <v>4446</v>
      </c>
      <c r="B2315" t="str">
        <f>"000507"</f>
        <v>000507</v>
      </c>
      <c r="C2315" t="s">
        <v>4673</v>
      </c>
      <c r="D2315" t="s">
        <v>22</v>
      </c>
      <c r="F2315">
        <v>292504173</v>
      </c>
      <c r="G2315">
        <v>-107898267</v>
      </c>
      <c r="H2315">
        <v>-241934607</v>
      </c>
      <c r="I2315">
        <v>46436960</v>
      </c>
      <c r="J2315">
        <v>195748445</v>
      </c>
      <c r="K2315">
        <v>4474692</v>
      </c>
      <c r="L2315">
        <v>-167978135</v>
      </c>
      <c r="M2315">
        <v>-103508364</v>
      </c>
      <c r="N2315">
        <v>-101438296</v>
      </c>
      <c r="O2315">
        <v>-181301680</v>
      </c>
      <c r="P2315">
        <v>185</v>
      </c>
      <c r="Q2315" t="s">
        <v>4674</v>
      </c>
    </row>
    <row r="2316" spans="1:17" x14ac:dyDescent="0.3">
      <c r="A2316" t="s">
        <v>4446</v>
      </c>
      <c r="B2316" t="str">
        <f>"000509"</f>
        <v>000509</v>
      </c>
      <c r="C2316" t="s">
        <v>4675</v>
      </c>
      <c r="D2316" t="s">
        <v>113</v>
      </c>
      <c r="F2316">
        <v>-135919677</v>
      </c>
      <c r="G2316">
        <v>-93799104</v>
      </c>
      <c r="H2316">
        <v>-6741979</v>
      </c>
      <c r="I2316">
        <v>-93137095</v>
      </c>
      <c r="J2316">
        <v>-47854858</v>
      </c>
      <c r="K2316">
        <v>-70109539</v>
      </c>
      <c r="L2316">
        <v>1953203</v>
      </c>
      <c r="M2316">
        <v>-77558720</v>
      </c>
      <c r="N2316">
        <v>-29868396</v>
      </c>
      <c r="O2316">
        <v>11427073</v>
      </c>
      <c r="P2316">
        <v>84</v>
      </c>
      <c r="Q2316" t="s">
        <v>4676</v>
      </c>
    </row>
    <row r="2317" spans="1:17" x14ac:dyDescent="0.3">
      <c r="A2317" t="s">
        <v>4446</v>
      </c>
      <c r="B2317" t="str">
        <f>"000510"</f>
        <v>000510</v>
      </c>
      <c r="C2317" t="s">
        <v>4677</v>
      </c>
      <c r="D2317" t="s">
        <v>133</v>
      </c>
      <c r="F2317">
        <v>304314446</v>
      </c>
      <c r="G2317">
        <v>78651994</v>
      </c>
      <c r="H2317">
        <v>-31435427</v>
      </c>
      <c r="I2317">
        <v>143238445</v>
      </c>
      <c r="J2317">
        <v>-29309005</v>
      </c>
      <c r="K2317">
        <v>183350803</v>
      </c>
      <c r="L2317">
        <v>32496340</v>
      </c>
      <c r="M2317">
        <v>83042862</v>
      </c>
      <c r="N2317">
        <v>48381085</v>
      </c>
      <c r="O2317">
        <v>21887757</v>
      </c>
      <c r="P2317">
        <v>128</v>
      </c>
      <c r="Q2317" t="s">
        <v>4678</v>
      </c>
    </row>
    <row r="2318" spans="1:17" x14ac:dyDescent="0.3">
      <c r="A2318" t="s">
        <v>4446</v>
      </c>
      <c r="B2318" t="str">
        <f>"000511"</f>
        <v>000511</v>
      </c>
      <c r="C2318" t="s">
        <v>4679</v>
      </c>
      <c r="J2318">
        <v>187213648</v>
      </c>
      <c r="K2318">
        <v>-294658147</v>
      </c>
      <c r="L2318">
        <v>-454500703.67000002</v>
      </c>
      <c r="M2318">
        <v>26654498.68</v>
      </c>
      <c r="N2318">
        <v>217078102.05000001</v>
      </c>
      <c r="O2318">
        <v>225458151.56999999</v>
      </c>
      <c r="P2318">
        <v>14</v>
      </c>
      <c r="Q2318" t="s">
        <v>4680</v>
      </c>
    </row>
    <row r="2319" spans="1:17" x14ac:dyDescent="0.3">
      <c r="A2319" t="s">
        <v>4446</v>
      </c>
      <c r="B2319" t="str">
        <f>"000513"</f>
        <v>000513</v>
      </c>
      <c r="C2319" t="s">
        <v>4681</v>
      </c>
      <c r="D2319" t="s">
        <v>113</v>
      </c>
      <c r="F2319">
        <v>602314078</v>
      </c>
      <c r="G2319">
        <v>1518899071</v>
      </c>
      <c r="H2319">
        <v>1371024528</v>
      </c>
      <c r="I2319">
        <v>793599133</v>
      </c>
      <c r="J2319">
        <v>1024250595</v>
      </c>
      <c r="K2319">
        <v>914796631</v>
      </c>
      <c r="L2319">
        <v>457650105</v>
      </c>
      <c r="M2319">
        <v>54704981</v>
      </c>
      <c r="N2319">
        <v>-479828411</v>
      </c>
      <c r="O2319">
        <v>-167996278</v>
      </c>
      <c r="P2319">
        <v>1623</v>
      </c>
      <c r="Q2319" t="s">
        <v>4682</v>
      </c>
    </row>
    <row r="2320" spans="1:17" x14ac:dyDescent="0.3">
      <c r="A2320" t="s">
        <v>4446</v>
      </c>
      <c r="B2320" t="str">
        <f>"000514"</f>
        <v>000514</v>
      </c>
      <c r="C2320" t="s">
        <v>4683</v>
      </c>
      <c r="D2320" t="s">
        <v>30</v>
      </c>
      <c r="F2320">
        <v>457620657</v>
      </c>
      <c r="G2320">
        <v>-1418633313</v>
      </c>
      <c r="H2320">
        <v>160029093</v>
      </c>
      <c r="I2320">
        <v>518046517</v>
      </c>
      <c r="J2320">
        <v>601896365</v>
      </c>
      <c r="K2320">
        <v>216567642</v>
      </c>
      <c r="L2320">
        <v>44872760</v>
      </c>
      <c r="M2320">
        <v>-205876404</v>
      </c>
      <c r="N2320">
        <v>218021131</v>
      </c>
      <c r="O2320">
        <v>-540826710</v>
      </c>
      <c r="P2320">
        <v>113</v>
      </c>
      <c r="Q2320" t="s">
        <v>4684</v>
      </c>
    </row>
    <row r="2321" spans="1:17" x14ac:dyDescent="0.3">
      <c r="A2321" t="s">
        <v>4446</v>
      </c>
      <c r="B2321" t="str">
        <f>"000516"</f>
        <v>000516</v>
      </c>
      <c r="C2321" t="s">
        <v>4685</v>
      </c>
      <c r="D2321" t="s">
        <v>113</v>
      </c>
      <c r="F2321">
        <v>-1203002512</v>
      </c>
      <c r="G2321">
        <v>-1296540703</v>
      </c>
      <c r="H2321">
        <v>-3640328621</v>
      </c>
      <c r="I2321">
        <v>-2471242687</v>
      </c>
      <c r="J2321">
        <v>-507520740</v>
      </c>
      <c r="K2321">
        <v>212548359</v>
      </c>
      <c r="L2321">
        <v>-83451407</v>
      </c>
      <c r="M2321">
        <v>198361445</v>
      </c>
      <c r="N2321">
        <v>122433125</v>
      </c>
      <c r="O2321">
        <v>359650795</v>
      </c>
      <c r="P2321">
        <v>405</v>
      </c>
      <c r="Q2321" t="s">
        <v>4686</v>
      </c>
    </row>
    <row r="2322" spans="1:17" x14ac:dyDescent="0.3">
      <c r="A2322" t="s">
        <v>4446</v>
      </c>
      <c r="B2322" t="str">
        <f>"000517"</f>
        <v>000517</v>
      </c>
      <c r="C2322" t="s">
        <v>4687</v>
      </c>
      <c r="D2322" t="s">
        <v>30</v>
      </c>
      <c r="F2322">
        <v>-409988512</v>
      </c>
      <c r="G2322">
        <v>-10737227362</v>
      </c>
      <c r="H2322">
        <v>462784180</v>
      </c>
      <c r="I2322">
        <v>-2726508853</v>
      </c>
      <c r="J2322">
        <v>-266223803</v>
      </c>
      <c r="K2322">
        <v>178992731</v>
      </c>
      <c r="L2322">
        <v>659798688</v>
      </c>
      <c r="M2322">
        <v>-644656353</v>
      </c>
      <c r="N2322">
        <v>1375910404</v>
      </c>
      <c r="O2322">
        <v>2877455045</v>
      </c>
      <c r="P2322">
        <v>312</v>
      </c>
      <c r="Q2322" t="s">
        <v>4688</v>
      </c>
    </row>
    <row r="2323" spans="1:17" x14ac:dyDescent="0.3">
      <c r="A2323" t="s">
        <v>4446</v>
      </c>
      <c r="B2323" t="str">
        <f>"000518"</f>
        <v>000518</v>
      </c>
      <c r="C2323" t="s">
        <v>4689</v>
      </c>
      <c r="D2323" t="s">
        <v>113</v>
      </c>
      <c r="F2323">
        <v>-7212966</v>
      </c>
      <c r="G2323">
        <v>92512788</v>
      </c>
      <c r="H2323">
        <v>43491783</v>
      </c>
      <c r="I2323">
        <v>16503397</v>
      </c>
      <c r="J2323">
        <v>-34654017</v>
      </c>
      <c r="K2323">
        <v>7362730</v>
      </c>
      <c r="L2323">
        <v>-157978937</v>
      </c>
      <c r="M2323">
        <v>-90905870</v>
      </c>
      <c r="N2323">
        <v>-33529654</v>
      </c>
      <c r="O2323">
        <v>-7687664</v>
      </c>
      <c r="P2323">
        <v>171</v>
      </c>
      <c r="Q2323" t="s">
        <v>4690</v>
      </c>
    </row>
    <row r="2324" spans="1:17" x14ac:dyDescent="0.3">
      <c r="A2324" t="s">
        <v>4446</v>
      </c>
      <c r="B2324" t="str">
        <f>"000519"</f>
        <v>000519</v>
      </c>
      <c r="C2324" t="s">
        <v>4691</v>
      </c>
      <c r="D2324" t="s">
        <v>92</v>
      </c>
      <c r="F2324">
        <v>1078222319</v>
      </c>
      <c r="G2324">
        <v>1464928302</v>
      </c>
      <c r="H2324">
        <v>567018768</v>
      </c>
      <c r="I2324">
        <v>1141333432</v>
      </c>
      <c r="J2324">
        <v>322374369</v>
      </c>
      <c r="K2324">
        <v>-119978858</v>
      </c>
      <c r="L2324">
        <v>-264482966</v>
      </c>
      <c r="M2324">
        <v>-297872842</v>
      </c>
      <c r="N2324">
        <v>-178524159</v>
      </c>
      <c r="O2324">
        <v>2253025</v>
      </c>
      <c r="P2324">
        <v>336</v>
      </c>
      <c r="Q2324" t="s">
        <v>4692</v>
      </c>
    </row>
    <row r="2325" spans="1:17" x14ac:dyDescent="0.3">
      <c r="A2325" t="s">
        <v>4446</v>
      </c>
      <c r="B2325" t="str">
        <f>"000520"</f>
        <v>000520</v>
      </c>
      <c r="C2325" t="s">
        <v>4693</v>
      </c>
      <c r="D2325" t="s">
        <v>22</v>
      </c>
      <c r="F2325">
        <v>-25065443</v>
      </c>
      <c r="G2325">
        <v>-64743817</v>
      </c>
      <c r="H2325">
        <v>-1652441</v>
      </c>
      <c r="I2325">
        <v>-106408715</v>
      </c>
      <c r="J2325">
        <v>77934986</v>
      </c>
      <c r="K2325">
        <v>21556536</v>
      </c>
      <c r="L2325">
        <v>27003745</v>
      </c>
      <c r="M2325">
        <v>-151800113</v>
      </c>
      <c r="N2325">
        <v>251613634</v>
      </c>
      <c r="O2325">
        <v>197774652</v>
      </c>
      <c r="P2325">
        <v>109</v>
      </c>
      <c r="Q2325" t="s">
        <v>4694</v>
      </c>
    </row>
    <row r="2326" spans="1:17" x14ac:dyDescent="0.3">
      <c r="A2326" t="s">
        <v>4446</v>
      </c>
      <c r="B2326" t="str">
        <f>"000521"</f>
        <v>000521</v>
      </c>
      <c r="C2326" t="s">
        <v>4695</v>
      </c>
      <c r="D2326" t="s">
        <v>126</v>
      </c>
      <c r="F2326">
        <v>-99614235</v>
      </c>
      <c r="G2326">
        <v>1039720149</v>
      </c>
      <c r="H2326">
        <v>979680740</v>
      </c>
      <c r="I2326">
        <v>-835010604</v>
      </c>
      <c r="J2326">
        <v>-1071846351</v>
      </c>
      <c r="K2326">
        <v>879035456</v>
      </c>
      <c r="L2326">
        <v>124554490</v>
      </c>
      <c r="M2326">
        <v>120992610</v>
      </c>
      <c r="N2326">
        <v>477024103</v>
      </c>
      <c r="O2326">
        <v>266138492</v>
      </c>
      <c r="P2326">
        <v>181</v>
      </c>
      <c r="Q2326" t="s">
        <v>4696</v>
      </c>
    </row>
    <row r="2327" spans="1:17" x14ac:dyDescent="0.3">
      <c r="A2327" t="s">
        <v>4446</v>
      </c>
      <c r="B2327" t="str">
        <f>"000522"</f>
        <v>000522</v>
      </c>
      <c r="C2327" t="s">
        <v>4697</v>
      </c>
      <c r="N2327">
        <v>992798049.19000006</v>
      </c>
      <c r="O2327">
        <v>382858653.18000001</v>
      </c>
      <c r="P2327">
        <v>63</v>
      </c>
      <c r="Q2327" t="s">
        <v>4698</v>
      </c>
    </row>
    <row r="2328" spans="1:17" x14ac:dyDescent="0.3">
      <c r="A2328" t="s">
        <v>4446</v>
      </c>
      <c r="B2328" t="str">
        <f>"000523"</f>
        <v>000523</v>
      </c>
      <c r="C2328" t="s">
        <v>4699</v>
      </c>
      <c r="D2328" t="s">
        <v>481</v>
      </c>
      <c r="F2328">
        <v>16871410</v>
      </c>
      <c r="G2328">
        <v>-191283318</v>
      </c>
      <c r="H2328">
        <v>-728550636</v>
      </c>
      <c r="I2328">
        <v>-484966510</v>
      </c>
      <c r="J2328">
        <v>-205271331</v>
      </c>
      <c r="K2328">
        <v>-747691860</v>
      </c>
      <c r="L2328">
        <v>-69438058</v>
      </c>
      <c r="M2328">
        <v>-107037852</v>
      </c>
      <c r="N2328">
        <v>7872097</v>
      </c>
      <c r="O2328">
        <v>-183980610</v>
      </c>
      <c r="P2328">
        <v>97</v>
      </c>
      <c r="Q2328" t="s">
        <v>4700</v>
      </c>
    </row>
    <row r="2329" spans="1:17" x14ac:dyDescent="0.3">
      <c r="A2329" t="s">
        <v>4446</v>
      </c>
      <c r="B2329" t="str">
        <f>"000524"</f>
        <v>000524</v>
      </c>
      <c r="C2329" t="s">
        <v>4701</v>
      </c>
      <c r="D2329" t="s">
        <v>110</v>
      </c>
      <c r="F2329">
        <v>-158818921</v>
      </c>
      <c r="G2329">
        <v>-522336064</v>
      </c>
      <c r="H2329">
        <v>249599937</v>
      </c>
      <c r="I2329">
        <v>249433204</v>
      </c>
      <c r="J2329">
        <v>440737514</v>
      </c>
      <c r="K2329">
        <v>30987364</v>
      </c>
      <c r="L2329">
        <v>40130422</v>
      </c>
      <c r="M2329">
        <v>38840566</v>
      </c>
      <c r="N2329">
        <v>41685670</v>
      </c>
      <c r="O2329">
        <v>78223045</v>
      </c>
      <c r="P2329">
        <v>156</v>
      </c>
      <c r="Q2329" t="s">
        <v>4702</v>
      </c>
    </row>
    <row r="2330" spans="1:17" x14ac:dyDescent="0.3">
      <c r="A2330" t="s">
        <v>4446</v>
      </c>
      <c r="B2330" t="str">
        <f>"000525"</f>
        <v>000525</v>
      </c>
      <c r="C2330" t="s">
        <v>4703</v>
      </c>
      <c r="D2330" t="s">
        <v>133</v>
      </c>
      <c r="F2330">
        <v>283040450</v>
      </c>
      <c r="G2330">
        <v>60312494</v>
      </c>
      <c r="H2330">
        <v>1253902829</v>
      </c>
      <c r="I2330">
        <v>121363122</v>
      </c>
      <c r="J2330">
        <v>193686260</v>
      </c>
      <c r="K2330">
        <v>-348109945</v>
      </c>
      <c r="L2330">
        <v>-215649597</v>
      </c>
      <c r="M2330">
        <v>550969419</v>
      </c>
      <c r="N2330">
        <v>545617772</v>
      </c>
      <c r="O2330">
        <v>68466752</v>
      </c>
      <c r="P2330">
        <v>150</v>
      </c>
      <c r="Q2330" t="s">
        <v>4704</v>
      </c>
    </row>
    <row r="2331" spans="1:17" x14ac:dyDescent="0.3">
      <c r="A2331" t="s">
        <v>4446</v>
      </c>
      <c r="B2331" t="str">
        <f>"000526"</f>
        <v>000526</v>
      </c>
      <c r="C2331" t="s">
        <v>4705</v>
      </c>
      <c r="D2331" t="s">
        <v>110</v>
      </c>
      <c r="F2331">
        <v>-252015636</v>
      </c>
      <c r="G2331">
        <v>45608296</v>
      </c>
      <c r="H2331">
        <v>85873993</v>
      </c>
      <c r="I2331">
        <v>94865141</v>
      </c>
      <c r="J2331">
        <v>233246916</v>
      </c>
      <c r="K2331">
        <v>37910641</v>
      </c>
      <c r="L2331">
        <v>-388353</v>
      </c>
      <c r="M2331">
        <v>-42957987</v>
      </c>
      <c r="N2331">
        <v>21959530</v>
      </c>
      <c r="O2331">
        <v>-16297019</v>
      </c>
      <c r="P2331">
        <v>201</v>
      </c>
      <c r="Q2331" t="s">
        <v>4706</v>
      </c>
    </row>
    <row r="2332" spans="1:17" x14ac:dyDescent="0.3">
      <c r="A2332" t="s">
        <v>4446</v>
      </c>
      <c r="B2332" t="str">
        <f>"000527"</f>
        <v>000527</v>
      </c>
      <c r="C2332" t="s">
        <v>4707</v>
      </c>
      <c r="O2332">
        <v>2796949930</v>
      </c>
      <c r="P2332">
        <v>296</v>
      </c>
      <c r="Q2332" t="s">
        <v>4708</v>
      </c>
    </row>
    <row r="2333" spans="1:17" x14ac:dyDescent="0.3">
      <c r="A2333" t="s">
        <v>4446</v>
      </c>
      <c r="B2333" t="str">
        <f>"000528"</f>
        <v>000528</v>
      </c>
      <c r="C2333" t="s">
        <v>4709</v>
      </c>
      <c r="D2333" t="s">
        <v>78</v>
      </c>
      <c r="F2333">
        <v>-25183824</v>
      </c>
      <c r="G2333">
        <v>1707228985</v>
      </c>
      <c r="H2333">
        <v>1398873092</v>
      </c>
      <c r="I2333">
        <v>490312938</v>
      </c>
      <c r="J2333">
        <v>788241143</v>
      </c>
      <c r="K2333">
        <v>1756290272</v>
      </c>
      <c r="L2333">
        <v>-34508710</v>
      </c>
      <c r="M2333">
        <v>395716001</v>
      </c>
      <c r="N2333">
        <v>888432706</v>
      </c>
      <c r="O2333">
        <v>81956162</v>
      </c>
      <c r="P2333">
        <v>481</v>
      </c>
      <c r="Q2333" t="s">
        <v>4710</v>
      </c>
    </row>
    <row r="2334" spans="1:17" x14ac:dyDescent="0.3">
      <c r="A2334" t="s">
        <v>4446</v>
      </c>
      <c r="B2334" t="str">
        <f>"000529"</f>
        <v>000529</v>
      </c>
      <c r="C2334" t="s">
        <v>4711</v>
      </c>
      <c r="D2334" t="s">
        <v>89</v>
      </c>
      <c r="F2334">
        <v>52005303</v>
      </c>
      <c r="G2334">
        <v>515933098</v>
      </c>
      <c r="H2334">
        <v>111439033</v>
      </c>
      <c r="I2334">
        <v>93965733</v>
      </c>
      <c r="J2334">
        <v>243335641</v>
      </c>
      <c r="K2334">
        <v>133021127</v>
      </c>
      <c r="L2334">
        <v>16066110</v>
      </c>
      <c r="M2334">
        <v>97213549</v>
      </c>
      <c r="N2334">
        <v>-8898203</v>
      </c>
      <c r="O2334">
        <v>-69258451</v>
      </c>
      <c r="P2334">
        <v>299</v>
      </c>
      <c r="Q2334" t="s">
        <v>4712</v>
      </c>
    </row>
    <row r="2335" spans="1:17" x14ac:dyDescent="0.3">
      <c r="A2335" t="s">
        <v>4446</v>
      </c>
      <c r="B2335" t="str">
        <f>"000530"</f>
        <v>000530</v>
      </c>
      <c r="C2335" t="s">
        <v>4713</v>
      </c>
      <c r="D2335" t="s">
        <v>78</v>
      </c>
      <c r="F2335">
        <v>-28422562</v>
      </c>
      <c r="G2335">
        <v>-26386688</v>
      </c>
      <c r="H2335">
        <v>-99574300</v>
      </c>
      <c r="I2335">
        <v>-269181041</v>
      </c>
      <c r="J2335">
        <v>-328519882</v>
      </c>
      <c r="K2335">
        <v>-345823216</v>
      </c>
      <c r="L2335">
        <v>-110968791</v>
      </c>
      <c r="M2335">
        <v>-9563276</v>
      </c>
      <c r="N2335">
        <v>-2756897</v>
      </c>
      <c r="O2335">
        <v>-108024237</v>
      </c>
      <c r="P2335">
        <v>129</v>
      </c>
      <c r="Q2335" t="s">
        <v>4714</v>
      </c>
    </row>
    <row r="2336" spans="1:17" x14ac:dyDescent="0.3">
      <c r="A2336" t="s">
        <v>4446</v>
      </c>
      <c r="B2336" t="str">
        <f>"000531"</f>
        <v>000531</v>
      </c>
      <c r="C2336" t="s">
        <v>4715</v>
      </c>
      <c r="D2336" t="s">
        <v>41</v>
      </c>
      <c r="F2336">
        <v>-1415355164</v>
      </c>
      <c r="G2336">
        <v>-110006556</v>
      </c>
      <c r="H2336">
        <v>451793958</v>
      </c>
      <c r="I2336">
        <v>177181692</v>
      </c>
      <c r="J2336">
        <v>273987312</v>
      </c>
      <c r="K2336">
        <v>612434555</v>
      </c>
      <c r="L2336">
        <v>106204819</v>
      </c>
      <c r="M2336">
        <v>331691574</v>
      </c>
      <c r="N2336">
        <v>1279845770</v>
      </c>
      <c r="O2336">
        <v>1575794790</v>
      </c>
      <c r="P2336">
        <v>277</v>
      </c>
      <c r="Q2336" t="s">
        <v>4716</v>
      </c>
    </row>
    <row r="2337" spans="1:17" x14ac:dyDescent="0.3">
      <c r="A2337" t="s">
        <v>4446</v>
      </c>
      <c r="B2337" t="str">
        <f>"000532"</f>
        <v>000532</v>
      </c>
      <c r="C2337" t="s">
        <v>4717</v>
      </c>
      <c r="D2337" t="s">
        <v>75</v>
      </c>
      <c r="F2337">
        <v>-34090039</v>
      </c>
      <c r="G2337">
        <v>-39460726</v>
      </c>
      <c r="H2337">
        <v>21148715</v>
      </c>
      <c r="I2337">
        <v>48866230</v>
      </c>
      <c r="J2337">
        <v>69483671</v>
      </c>
      <c r="K2337">
        <v>76060885</v>
      </c>
      <c r="L2337">
        <v>-8940066</v>
      </c>
      <c r="M2337">
        <v>-37993085</v>
      </c>
      <c r="N2337">
        <v>-27141290</v>
      </c>
      <c r="O2337">
        <v>33977176</v>
      </c>
      <c r="P2337">
        <v>140</v>
      </c>
      <c r="Q2337" t="s">
        <v>4718</v>
      </c>
    </row>
    <row r="2338" spans="1:17" x14ac:dyDescent="0.3">
      <c r="A2338" t="s">
        <v>4446</v>
      </c>
      <c r="B2338" t="str">
        <f>"000533"</f>
        <v>000533</v>
      </c>
      <c r="C2338" t="s">
        <v>4719</v>
      </c>
      <c r="D2338" t="s">
        <v>188</v>
      </c>
      <c r="F2338">
        <v>48711738</v>
      </c>
      <c r="G2338">
        <v>35534390</v>
      </c>
      <c r="H2338">
        <v>134051829</v>
      </c>
      <c r="I2338">
        <v>-52049367</v>
      </c>
      <c r="J2338">
        <v>-169229687</v>
      </c>
      <c r="K2338">
        <v>105490677</v>
      </c>
      <c r="L2338">
        <v>420049384</v>
      </c>
      <c r="M2338">
        <v>-85824865</v>
      </c>
      <c r="N2338">
        <v>26355731</v>
      </c>
      <c r="O2338">
        <v>-89451039</v>
      </c>
      <c r="P2338">
        <v>101</v>
      </c>
      <c r="Q2338" t="s">
        <v>4720</v>
      </c>
    </row>
    <row r="2339" spans="1:17" x14ac:dyDescent="0.3">
      <c r="A2339" t="s">
        <v>4446</v>
      </c>
      <c r="B2339" t="str">
        <f>"000534"</f>
        <v>000534</v>
      </c>
      <c r="C2339" t="s">
        <v>4721</v>
      </c>
      <c r="D2339" t="s">
        <v>113</v>
      </c>
      <c r="F2339">
        <v>-79965707</v>
      </c>
      <c r="G2339">
        <v>-12242021</v>
      </c>
      <c r="H2339">
        <v>-242600224</v>
      </c>
      <c r="I2339">
        <v>-364017858</v>
      </c>
      <c r="J2339">
        <v>-212048418</v>
      </c>
      <c r="K2339">
        <v>-329577968</v>
      </c>
      <c r="L2339">
        <v>-56709480</v>
      </c>
      <c r="M2339">
        <v>309378499</v>
      </c>
      <c r="N2339">
        <v>502463055</v>
      </c>
      <c r="O2339">
        <v>232540335</v>
      </c>
      <c r="P2339">
        <v>120</v>
      </c>
      <c r="Q2339" t="s">
        <v>4722</v>
      </c>
    </row>
    <row r="2340" spans="1:17" x14ac:dyDescent="0.3">
      <c r="A2340" t="s">
        <v>4446</v>
      </c>
      <c r="B2340" t="str">
        <f>"000536"</f>
        <v>000536</v>
      </c>
      <c r="C2340" t="s">
        <v>4723</v>
      </c>
      <c r="D2340" t="s">
        <v>150</v>
      </c>
      <c r="F2340">
        <v>590770048</v>
      </c>
      <c r="G2340">
        <v>-254667479</v>
      </c>
      <c r="H2340">
        <v>-743577926</v>
      </c>
      <c r="I2340">
        <v>-3064494445</v>
      </c>
      <c r="J2340">
        <v>-6248104731</v>
      </c>
      <c r="K2340">
        <v>-2542944527</v>
      </c>
      <c r="L2340">
        <v>1625490811</v>
      </c>
      <c r="M2340">
        <v>1362643230</v>
      </c>
      <c r="N2340">
        <v>-147028179</v>
      </c>
      <c r="O2340">
        <v>95015327</v>
      </c>
      <c r="P2340">
        <v>142</v>
      </c>
      <c r="Q2340" t="s">
        <v>4724</v>
      </c>
    </row>
    <row r="2341" spans="1:17" x14ac:dyDescent="0.3">
      <c r="A2341" t="s">
        <v>4446</v>
      </c>
      <c r="B2341" t="str">
        <f>"000537"</f>
        <v>000537</v>
      </c>
      <c r="C2341" t="s">
        <v>4725</v>
      </c>
      <c r="D2341" t="s">
        <v>30</v>
      </c>
      <c r="F2341">
        <v>-159692688</v>
      </c>
      <c r="G2341">
        <v>-6574707756</v>
      </c>
      <c r="H2341">
        <v>-1946814888</v>
      </c>
      <c r="I2341">
        <v>5676108545</v>
      </c>
      <c r="J2341">
        <v>7731094502</v>
      </c>
      <c r="K2341">
        <v>-6632965775</v>
      </c>
      <c r="L2341">
        <v>-2616427457</v>
      </c>
      <c r="M2341">
        <v>-466132628</v>
      </c>
      <c r="N2341">
        <v>865897438</v>
      </c>
      <c r="O2341">
        <v>769926279</v>
      </c>
      <c r="P2341">
        <v>604</v>
      </c>
      <c r="Q2341" t="s">
        <v>4726</v>
      </c>
    </row>
    <row r="2342" spans="1:17" x14ac:dyDescent="0.3">
      <c r="A2342" t="s">
        <v>4446</v>
      </c>
      <c r="B2342" t="str">
        <f>"000538"</f>
        <v>000538</v>
      </c>
      <c r="C2342" t="s">
        <v>4727</v>
      </c>
      <c r="D2342" t="s">
        <v>113</v>
      </c>
      <c r="F2342">
        <v>4693583697</v>
      </c>
      <c r="G2342">
        <v>3357974177</v>
      </c>
      <c r="H2342">
        <v>1334452122</v>
      </c>
      <c r="I2342">
        <v>2090347273</v>
      </c>
      <c r="J2342">
        <v>1024834088</v>
      </c>
      <c r="K2342">
        <v>2850644683</v>
      </c>
      <c r="L2342">
        <v>2043822716</v>
      </c>
      <c r="M2342">
        <v>1406836648</v>
      </c>
      <c r="N2342">
        <v>266609111</v>
      </c>
      <c r="O2342">
        <v>688690099</v>
      </c>
      <c r="P2342">
        <v>30718</v>
      </c>
      <c r="Q2342" t="s">
        <v>4728</v>
      </c>
    </row>
    <row r="2343" spans="1:17" x14ac:dyDescent="0.3">
      <c r="A2343" t="s">
        <v>4446</v>
      </c>
      <c r="B2343" t="str">
        <f>"000539"</f>
        <v>000539</v>
      </c>
      <c r="C2343" t="s">
        <v>4729</v>
      </c>
      <c r="D2343" t="s">
        <v>41</v>
      </c>
      <c r="F2343">
        <v>-9116060514</v>
      </c>
      <c r="G2343">
        <v>-1371281486</v>
      </c>
      <c r="H2343">
        <v>3527080796</v>
      </c>
      <c r="I2343">
        <v>2356305155</v>
      </c>
      <c r="J2343">
        <v>272308072</v>
      </c>
      <c r="K2343">
        <v>5409651306</v>
      </c>
      <c r="L2343">
        <v>5082608505</v>
      </c>
      <c r="M2343">
        <v>1753997764</v>
      </c>
      <c r="N2343">
        <v>5349770833</v>
      </c>
      <c r="O2343">
        <v>5026821520</v>
      </c>
      <c r="P2343">
        <v>203</v>
      </c>
      <c r="Q2343" t="s">
        <v>4730</v>
      </c>
    </row>
    <row r="2344" spans="1:17" x14ac:dyDescent="0.3">
      <c r="A2344" t="s">
        <v>4446</v>
      </c>
      <c r="B2344" t="str">
        <f>"000540"</f>
        <v>000540</v>
      </c>
      <c r="C2344" t="s">
        <v>4731</v>
      </c>
      <c r="D2344" t="s">
        <v>30</v>
      </c>
      <c r="F2344">
        <v>15197709602</v>
      </c>
      <c r="G2344">
        <v>11033345182</v>
      </c>
      <c r="H2344">
        <v>10520092891</v>
      </c>
      <c r="I2344">
        <v>-647317869</v>
      </c>
      <c r="J2344">
        <v>-3257720276</v>
      </c>
      <c r="K2344">
        <v>414776370</v>
      </c>
      <c r="L2344">
        <v>-113477790</v>
      </c>
      <c r="M2344">
        <v>1533631907</v>
      </c>
      <c r="N2344">
        <v>-286642360</v>
      </c>
      <c r="O2344">
        <v>-1593441853</v>
      </c>
      <c r="P2344">
        <v>5239</v>
      </c>
      <c r="Q2344" t="s">
        <v>4732</v>
      </c>
    </row>
    <row r="2345" spans="1:17" x14ac:dyDescent="0.3">
      <c r="A2345" t="s">
        <v>4446</v>
      </c>
      <c r="B2345" t="str">
        <f>"000541"</f>
        <v>000541</v>
      </c>
      <c r="C2345" t="s">
        <v>4733</v>
      </c>
      <c r="D2345" t="s">
        <v>126</v>
      </c>
      <c r="F2345">
        <v>-488129766</v>
      </c>
      <c r="G2345">
        <v>171964823</v>
      </c>
      <c r="H2345">
        <v>454649425</v>
      </c>
      <c r="I2345">
        <v>449907898</v>
      </c>
      <c r="J2345">
        <v>-5728390</v>
      </c>
      <c r="K2345">
        <v>190545029</v>
      </c>
      <c r="L2345">
        <v>120766813</v>
      </c>
      <c r="M2345">
        <v>220312704</v>
      </c>
      <c r="N2345">
        <v>160753911</v>
      </c>
      <c r="O2345">
        <v>387005199</v>
      </c>
      <c r="P2345">
        <v>437</v>
      </c>
      <c r="Q2345" t="s">
        <v>4734</v>
      </c>
    </row>
    <row r="2346" spans="1:17" x14ac:dyDescent="0.3">
      <c r="A2346" t="s">
        <v>4446</v>
      </c>
      <c r="B2346" t="str">
        <f>"000543"</f>
        <v>000543</v>
      </c>
      <c r="C2346" t="s">
        <v>4735</v>
      </c>
      <c r="D2346" t="s">
        <v>41</v>
      </c>
      <c r="F2346">
        <v>-3740128815</v>
      </c>
      <c r="G2346">
        <v>1887038059</v>
      </c>
      <c r="H2346">
        <v>2178560532</v>
      </c>
      <c r="I2346">
        <v>594274817</v>
      </c>
      <c r="J2346">
        <v>-681679998</v>
      </c>
      <c r="K2346">
        <v>560630668</v>
      </c>
      <c r="L2346">
        <v>2568243602</v>
      </c>
      <c r="M2346">
        <v>2841978061</v>
      </c>
      <c r="N2346">
        <v>1389027145</v>
      </c>
      <c r="O2346">
        <v>-455624332</v>
      </c>
      <c r="P2346">
        <v>322</v>
      </c>
      <c r="Q2346" t="s">
        <v>4736</v>
      </c>
    </row>
    <row r="2347" spans="1:17" x14ac:dyDescent="0.3">
      <c r="A2347" t="s">
        <v>4446</v>
      </c>
      <c r="B2347" t="str">
        <f>"000544"</f>
        <v>000544</v>
      </c>
      <c r="C2347" t="s">
        <v>4737</v>
      </c>
      <c r="D2347" t="s">
        <v>33</v>
      </c>
      <c r="F2347">
        <v>-3144208597</v>
      </c>
      <c r="G2347">
        <v>-1877837311</v>
      </c>
      <c r="H2347">
        <v>-766064477</v>
      </c>
      <c r="I2347">
        <v>-401724858</v>
      </c>
      <c r="J2347">
        <v>-12812748</v>
      </c>
      <c r="K2347">
        <v>-35429695</v>
      </c>
      <c r="L2347">
        <v>360443859</v>
      </c>
      <c r="M2347">
        <v>-182747559</v>
      </c>
      <c r="N2347">
        <v>-274167615</v>
      </c>
      <c r="O2347">
        <v>-121522373</v>
      </c>
      <c r="P2347">
        <v>247</v>
      </c>
      <c r="Q2347" t="s">
        <v>4738</v>
      </c>
    </row>
    <row r="2348" spans="1:17" x14ac:dyDescent="0.3">
      <c r="A2348" t="s">
        <v>4446</v>
      </c>
      <c r="B2348" t="str">
        <f>"000545"</f>
        <v>000545</v>
      </c>
      <c r="C2348" t="s">
        <v>4739</v>
      </c>
      <c r="D2348" t="s">
        <v>133</v>
      </c>
      <c r="F2348">
        <v>88157092</v>
      </c>
      <c r="G2348">
        <v>154162180</v>
      </c>
      <c r="H2348">
        <v>-20460230</v>
      </c>
      <c r="I2348">
        <v>-360121823</v>
      </c>
      <c r="J2348">
        <v>248143908</v>
      </c>
      <c r="K2348">
        <v>-343064657</v>
      </c>
      <c r="L2348">
        <v>-303280161</v>
      </c>
      <c r="M2348">
        <v>-73908202</v>
      </c>
      <c r="N2348">
        <v>165581175</v>
      </c>
      <c r="O2348">
        <v>4786170</v>
      </c>
      <c r="P2348">
        <v>106</v>
      </c>
      <c r="Q2348" t="s">
        <v>4740</v>
      </c>
    </row>
    <row r="2349" spans="1:17" x14ac:dyDescent="0.3">
      <c r="A2349" t="s">
        <v>4446</v>
      </c>
      <c r="B2349" t="str">
        <f>"000546"</f>
        <v>000546</v>
      </c>
      <c r="C2349" t="s">
        <v>4741</v>
      </c>
      <c r="D2349" t="s">
        <v>350</v>
      </c>
      <c r="F2349">
        <v>-343509359</v>
      </c>
      <c r="G2349">
        <v>206373830</v>
      </c>
      <c r="H2349">
        <v>93297228</v>
      </c>
      <c r="I2349">
        <v>-343568</v>
      </c>
      <c r="J2349">
        <v>-380789545</v>
      </c>
      <c r="K2349">
        <v>-594298973</v>
      </c>
      <c r="L2349">
        <v>-109946406</v>
      </c>
      <c r="M2349">
        <v>-104624709</v>
      </c>
      <c r="N2349">
        <v>-33139248</v>
      </c>
      <c r="O2349">
        <v>60240697</v>
      </c>
      <c r="P2349">
        <v>181</v>
      </c>
      <c r="Q2349" t="s">
        <v>4742</v>
      </c>
    </row>
    <row r="2350" spans="1:17" x14ac:dyDescent="0.3">
      <c r="A2350" t="s">
        <v>4446</v>
      </c>
      <c r="B2350" t="str">
        <f>"000547"</f>
        <v>000547</v>
      </c>
      <c r="C2350" t="s">
        <v>4743</v>
      </c>
      <c r="D2350" t="s">
        <v>92</v>
      </c>
      <c r="F2350">
        <v>-470960436</v>
      </c>
      <c r="G2350">
        <v>130946036</v>
      </c>
      <c r="H2350">
        <v>-406436287</v>
      </c>
      <c r="I2350">
        <v>-83992069</v>
      </c>
      <c r="J2350">
        <v>33458443</v>
      </c>
      <c r="K2350">
        <v>89646593</v>
      </c>
      <c r="L2350">
        <v>128187288</v>
      </c>
      <c r="M2350">
        <v>99134099</v>
      </c>
      <c r="N2350">
        <v>-153945359</v>
      </c>
      <c r="O2350">
        <v>-12547753</v>
      </c>
      <c r="P2350">
        <v>612</v>
      </c>
      <c r="Q2350" t="s">
        <v>4744</v>
      </c>
    </row>
    <row r="2351" spans="1:17" x14ac:dyDescent="0.3">
      <c r="A2351" t="s">
        <v>4446</v>
      </c>
      <c r="B2351" t="str">
        <f>"000548"</f>
        <v>000548</v>
      </c>
      <c r="C2351" t="s">
        <v>4745</v>
      </c>
      <c r="D2351" t="s">
        <v>22</v>
      </c>
      <c r="F2351">
        <v>-421349742</v>
      </c>
      <c r="G2351">
        <v>-164513765</v>
      </c>
      <c r="H2351">
        <v>-112848711</v>
      </c>
      <c r="I2351">
        <v>9356560</v>
      </c>
      <c r="J2351">
        <v>194081119</v>
      </c>
      <c r="K2351">
        <v>172170487</v>
      </c>
      <c r="L2351">
        <v>61493816</v>
      </c>
      <c r="M2351">
        <v>241612005</v>
      </c>
      <c r="N2351">
        <v>84649645</v>
      </c>
      <c r="O2351">
        <v>50013315</v>
      </c>
      <c r="P2351">
        <v>90</v>
      </c>
      <c r="Q2351" t="s">
        <v>4746</v>
      </c>
    </row>
    <row r="2352" spans="1:17" x14ac:dyDescent="0.3">
      <c r="A2352" t="s">
        <v>4446</v>
      </c>
      <c r="B2352" t="str">
        <f>"000550"</f>
        <v>000550</v>
      </c>
      <c r="C2352" t="s">
        <v>4747</v>
      </c>
      <c r="D2352" t="s">
        <v>27</v>
      </c>
      <c r="F2352">
        <v>628245793</v>
      </c>
      <c r="G2352">
        <v>2320500400</v>
      </c>
      <c r="H2352">
        <v>1123914409</v>
      </c>
      <c r="I2352">
        <v>-1484132216</v>
      </c>
      <c r="J2352">
        <v>-245290232</v>
      </c>
      <c r="K2352">
        <v>3451817418</v>
      </c>
      <c r="L2352">
        <v>426131912</v>
      </c>
      <c r="M2352">
        <v>2913541272</v>
      </c>
      <c r="N2352">
        <v>2085318230</v>
      </c>
      <c r="O2352">
        <v>874676086</v>
      </c>
      <c r="P2352">
        <v>595</v>
      </c>
      <c r="Q2352" t="s">
        <v>4748</v>
      </c>
    </row>
    <row r="2353" spans="1:17" x14ac:dyDescent="0.3">
      <c r="A2353" t="s">
        <v>4446</v>
      </c>
      <c r="B2353" t="str">
        <f>"000551"</f>
        <v>000551</v>
      </c>
      <c r="C2353" t="s">
        <v>4749</v>
      </c>
      <c r="D2353" t="s">
        <v>33</v>
      </c>
      <c r="F2353">
        <v>155321543</v>
      </c>
      <c r="G2353">
        <v>82841395</v>
      </c>
      <c r="H2353">
        <v>174478054</v>
      </c>
      <c r="I2353">
        <v>112177855</v>
      </c>
      <c r="J2353">
        <v>82668932</v>
      </c>
      <c r="K2353">
        <v>188127831</v>
      </c>
      <c r="L2353">
        <v>108509967</v>
      </c>
      <c r="M2353">
        <v>20683038</v>
      </c>
      <c r="N2353">
        <v>142701184</v>
      </c>
      <c r="O2353">
        <v>-66911519</v>
      </c>
      <c r="P2353">
        <v>122</v>
      </c>
      <c r="Q2353" t="s">
        <v>4750</v>
      </c>
    </row>
    <row r="2354" spans="1:17" x14ac:dyDescent="0.3">
      <c r="A2354" t="s">
        <v>4446</v>
      </c>
      <c r="B2354" t="str">
        <f>"000552"</f>
        <v>000552</v>
      </c>
      <c r="C2354" t="s">
        <v>4751</v>
      </c>
      <c r="D2354" t="s">
        <v>257</v>
      </c>
      <c r="F2354">
        <v>1709570983</v>
      </c>
      <c r="G2354">
        <v>536097792</v>
      </c>
      <c r="H2354">
        <v>202970528</v>
      </c>
      <c r="I2354">
        <v>394517608</v>
      </c>
      <c r="J2354">
        <v>442509811</v>
      </c>
      <c r="K2354">
        <v>277283199</v>
      </c>
      <c r="L2354">
        <v>-877482022</v>
      </c>
      <c r="M2354">
        <v>-397595940</v>
      </c>
      <c r="N2354">
        <v>133480623</v>
      </c>
      <c r="O2354">
        <v>-424473042</v>
      </c>
      <c r="P2354">
        <v>265</v>
      </c>
      <c r="Q2354" t="s">
        <v>4752</v>
      </c>
    </row>
    <row r="2355" spans="1:17" x14ac:dyDescent="0.3">
      <c r="A2355" t="s">
        <v>4446</v>
      </c>
      <c r="B2355" t="str">
        <f>"000553"</f>
        <v>000553</v>
      </c>
      <c r="C2355" t="s">
        <v>4753</v>
      </c>
      <c r="D2355" t="s">
        <v>133</v>
      </c>
      <c r="F2355">
        <v>1999871000</v>
      </c>
      <c r="G2355">
        <v>75900000</v>
      </c>
      <c r="H2355">
        <v>-729906000</v>
      </c>
      <c r="I2355">
        <v>1047661000</v>
      </c>
      <c r="J2355">
        <v>2552422000</v>
      </c>
      <c r="K2355">
        <v>160889060</v>
      </c>
      <c r="L2355">
        <v>-23343102</v>
      </c>
      <c r="M2355">
        <v>304355942</v>
      </c>
      <c r="N2355">
        <v>445542953</v>
      </c>
      <c r="O2355">
        <v>84683837</v>
      </c>
      <c r="P2355">
        <v>227</v>
      </c>
      <c r="Q2355" t="s">
        <v>4754</v>
      </c>
    </row>
    <row r="2356" spans="1:17" x14ac:dyDescent="0.3">
      <c r="A2356" t="s">
        <v>4446</v>
      </c>
      <c r="B2356" t="str">
        <f>"000554"</f>
        <v>000554</v>
      </c>
      <c r="C2356" t="s">
        <v>4755</v>
      </c>
      <c r="D2356" t="s">
        <v>70</v>
      </c>
      <c r="F2356">
        <v>-222863539</v>
      </c>
      <c r="G2356">
        <v>212662241</v>
      </c>
      <c r="H2356">
        <v>25902760</v>
      </c>
      <c r="I2356">
        <v>-14800815</v>
      </c>
      <c r="J2356">
        <v>73612375</v>
      </c>
      <c r="K2356">
        <v>2840714</v>
      </c>
      <c r="L2356">
        <v>-12329137</v>
      </c>
      <c r="M2356">
        <v>-64594949</v>
      </c>
      <c r="N2356">
        <v>12533943</v>
      </c>
      <c r="O2356">
        <v>-20271933</v>
      </c>
      <c r="P2356">
        <v>112</v>
      </c>
      <c r="Q2356" t="s">
        <v>4756</v>
      </c>
    </row>
    <row r="2357" spans="1:17" x14ac:dyDescent="0.3">
      <c r="A2357" t="s">
        <v>4446</v>
      </c>
      <c r="B2357" t="str">
        <f>"000555"</f>
        <v>000555</v>
      </c>
      <c r="C2357" t="s">
        <v>4757</v>
      </c>
      <c r="D2357" t="s">
        <v>212</v>
      </c>
      <c r="F2357">
        <v>281657707</v>
      </c>
      <c r="G2357">
        <v>265399352</v>
      </c>
      <c r="H2357">
        <v>249128791</v>
      </c>
      <c r="I2357">
        <v>197676711</v>
      </c>
      <c r="J2357">
        <v>253488436</v>
      </c>
      <c r="K2357">
        <v>350436314</v>
      </c>
      <c r="L2357">
        <v>27190904</v>
      </c>
      <c r="M2357">
        <v>467340935</v>
      </c>
      <c r="N2357">
        <v>94835246</v>
      </c>
      <c r="O2357">
        <v>-3451570</v>
      </c>
      <c r="P2357">
        <v>374</v>
      </c>
      <c r="Q2357" t="s">
        <v>4758</v>
      </c>
    </row>
    <row r="2358" spans="1:17" x14ac:dyDescent="0.3">
      <c r="A2358" t="s">
        <v>4446</v>
      </c>
      <c r="B2358" t="str">
        <f>"000556"</f>
        <v>000556</v>
      </c>
      <c r="C2358" t="s">
        <v>4759</v>
      </c>
      <c r="K2358">
        <v>12820123.41</v>
      </c>
      <c r="L2358">
        <v>1867027.77</v>
      </c>
      <c r="M2358">
        <v>-5197.7</v>
      </c>
      <c r="N2358">
        <v>-134180.56</v>
      </c>
      <c r="O2358">
        <v>1106597.8</v>
      </c>
      <c r="P2358">
        <v>4</v>
      </c>
      <c r="Q2358" t="s">
        <v>4760</v>
      </c>
    </row>
    <row r="2359" spans="1:17" x14ac:dyDescent="0.3">
      <c r="A2359" t="s">
        <v>4446</v>
      </c>
      <c r="B2359" t="str">
        <f>"000557"</f>
        <v>000557</v>
      </c>
      <c r="C2359" t="s">
        <v>4761</v>
      </c>
      <c r="D2359" t="s">
        <v>22</v>
      </c>
      <c r="F2359">
        <v>202914524</v>
      </c>
      <c r="G2359">
        <v>162779063</v>
      </c>
      <c r="H2359">
        <v>110069216</v>
      </c>
      <c r="I2359">
        <v>204923276</v>
      </c>
      <c r="J2359">
        <v>288375412</v>
      </c>
      <c r="K2359">
        <v>68438334</v>
      </c>
      <c r="L2359">
        <v>-10109777</v>
      </c>
      <c r="M2359">
        <v>-9359418</v>
      </c>
      <c r="N2359">
        <v>-37605709</v>
      </c>
      <c r="O2359">
        <v>-54117060</v>
      </c>
      <c r="P2359">
        <v>103</v>
      </c>
      <c r="Q2359" t="s">
        <v>4762</v>
      </c>
    </row>
    <row r="2360" spans="1:17" x14ac:dyDescent="0.3">
      <c r="A2360" t="s">
        <v>4446</v>
      </c>
      <c r="B2360" t="str">
        <f>"000558"</f>
        <v>000558</v>
      </c>
      <c r="C2360" t="s">
        <v>4763</v>
      </c>
      <c r="D2360" t="s">
        <v>30</v>
      </c>
      <c r="F2360">
        <v>-50273679</v>
      </c>
      <c r="G2360">
        <v>-90727338</v>
      </c>
      <c r="H2360">
        <v>-193236988</v>
      </c>
      <c r="I2360">
        <v>161605864</v>
      </c>
      <c r="J2360">
        <v>-333731094</v>
      </c>
      <c r="K2360">
        <v>270083550</v>
      </c>
      <c r="L2360">
        <v>-49024741</v>
      </c>
      <c r="M2360">
        <v>-145907768</v>
      </c>
      <c r="N2360">
        <v>754557034</v>
      </c>
      <c r="O2360">
        <v>306995265</v>
      </c>
      <c r="P2360">
        <v>118</v>
      </c>
      <c r="Q2360" t="s">
        <v>4764</v>
      </c>
    </row>
    <row r="2361" spans="1:17" x14ac:dyDescent="0.3">
      <c r="A2361" t="s">
        <v>4446</v>
      </c>
      <c r="B2361" t="str">
        <f>"000559"</f>
        <v>000559</v>
      </c>
      <c r="C2361" t="s">
        <v>4765</v>
      </c>
      <c r="D2361" t="s">
        <v>27</v>
      </c>
      <c r="F2361">
        <v>820153577</v>
      </c>
      <c r="G2361">
        <v>967775143</v>
      </c>
      <c r="H2361">
        <v>963393263</v>
      </c>
      <c r="I2361">
        <v>-425415777</v>
      </c>
      <c r="J2361">
        <v>717807844</v>
      </c>
      <c r="K2361">
        <v>745027701</v>
      </c>
      <c r="L2361">
        <v>797372428</v>
      </c>
      <c r="M2361">
        <v>962073263</v>
      </c>
      <c r="N2361">
        <v>976143834</v>
      </c>
      <c r="O2361">
        <v>328410950</v>
      </c>
      <c r="P2361">
        <v>414</v>
      </c>
      <c r="Q2361" t="s">
        <v>4766</v>
      </c>
    </row>
    <row r="2362" spans="1:17" x14ac:dyDescent="0.3">
      <c r="A2362" t="s">
        <v>4446</v>
      </c>
      <c r="B2362" t="str">
        <f>"000560"</f>
        <v>000560</v>
      </c>
      <c r="C2362" t="s">
        <v>4767</v>
      </c>
      <c r="D2362" t="s">
        <v>30</v>
      </c>
      <c r="F2362">
        <v>4772119985</v>
      </c>
      <c r="G2362">
        <v>1592317587</v>
      </c>
      <c r="H2362">
        <v>650395350</v>
      </c>
      <c r="I2362">
        <v>129787222</v>
      </c>
      <c r="J2362">
        <v>-274993081</v>
      </c>
      <c r="K2362">
        <v>-113507487</v>
      </c>
      <c r="L2362">
        <v>-59308763</v>
      </c>
      <c r="M2362">
        <v>-106954060</v>
      </c>
      <c r="N2362">
        <v>-87993121</v>
      </c>
      <c r="O2362">
        <v>-248804201</v>
      </c>
      <c r="P2362">
        <v>206</v>
      </c>
      <c r="Q2362" t="s">
        <v>4768</v>
      </c>
    </row>
    <row r="2363" spans="1:17" x14ac:dyDescent="0.3">
      <c r="A2363" t="s">
        <v>4446</v>
      </c>
      <c r="B2363" t="str">
        <f>"000561"</f>
        <v>000561</v>
      </c>
      <c r="C2363" t="s">
        <v>4769</v>
      </c>
      <c r="D2363" t="s">
        <v>92</v>
      </c>
      <c r="F2363">
        <v>18550769</v>
      </c>
      <c r="G2363">
        <v>-118193150</v>
      </c>
      <c r="H2363">
        <v>141300972</v>
      </c>
      <c r="I2363">
        <v>9789217</v>
      </c>
      <c r="J2363">
        <v>105023115</v>
      </c>
      <c r="K2363">
        <v>-188202256</v>
      </c>
      <c r="L2363">
        <v>59500295</v>
      </c>
      <c r="M2363">
        <v>2132209</v>
      </c>
      <c r="N2363">
        <v>65204298</v>
      </c>
      <c r="O2363">
        <v>-88734347</v>
      </c>
      <c r="P2363">
        <v>134</v>
      </c>
      <c r="Q2363" t="s">
        <v>4770</v>
      </c>
    </row>
    <row r="2364" spans="1:17" x14ac:dyDescent="0.3">
      <c r="A2364" t="s">
        <v>4446</v>
      </c>
      <c r="B2364" t="str">
        <f>"000562"</f>
        <v>000562</v>
      </c>
      <c r="C2364" t="s">
        <v>4771</v>
      </c>
      <c r="N2364">
        <v>-551625569.42999995</v>
      </c>
      <c r="O2364">
        <v>-6734216325.7600002</v>
      </c>
      <c r="P2364">
        <v>18</v>
      </c>
      <c r="Q2364" t="s">
        <v>4772</v>
      </c>
    </row>
    <row r="2365" spans="1:17" x14ac:dyDescent="0.3">
      <c r="A2365" t="s">
        <v>4446</v>
      </c>
      <c r="B2365" t="str">
        <f>"000563"</f>
        <v>000563</v>
      </c>
      <c r="C2365" t="s">
        <v>4773</v>
      </c>
      <c r="D2365" t="s">
        <v>75</v>
      </c>
      <c r="F2365">
        <v>-1480569371</v>
      </c>
      <c r="G2365">
        <v>-1160996685</v>
      </c>
      <c r="H2365">
        <v>-1406732187</v>
      </c>
      <c r="I2365">
        <v>-1298455405</v>
      </c>
      <c r="J2365">
        <v>1036565468</v>
      </c>
      <c r="K2365">
        <v>149329108</v>
      </c>
      <c r="L2365">
        <v>351216020</v>
      </c>
      <c r="M2365">
        <v>-303888344</v>
      </c>
      <c r="N2365">
        <v>-92407971</v>
      </c>
      <c r="O2365">
        <v>-572570999</v>
      </c>
      <c r="P2365">
        <v>205</v>
      </c>
      <c r="Q2365" t="s">
        <v>4774</v>
      </c>
    </row>
    <row r="2366" spans="1:17" x14ac:dyDescent="0.3">
      <c r="A2366" t="s">
        <v>4446</v>
      </c>
      <c r="B2366" t="str">
        <f>"000564"</f>
        <v>000564</v>
      </c>
      <c r="C2366" t="s">
        <v>4775</v>
      </c>
      <c r="D2366" t="s">
        <v>120</v>
      </c>
      <c r="F2366">
        <v>-394097141</v>
      </c>
      <c r="G2366">
        <v>124039937</v>
      </c>
      <c r="H2366">
        <v>456421058</v>
      </c>
      <c r="I2366">
        <v>3735468180</v>
      </c>
      <c r="J2366">
        <v>431801149</v>
      </c>
      <c r="K2366">
        <v>4116602158</v>
      </c>
      <c r="L2366">
        <v>-306679178</v>
      </c>
      <c r="M2366">
        <v>223051760</v>
      </c>
      <c r="N2366">
        <v>323322831</v>
      </c>
      <c r="O2366">
        <v>-6283217</v>
      </c>
      <c r="P2366">
        <v>187</v>
      </c>
      <c r="Q2366" t="s">
        <v>4776</v>
      </c>
    </row>
    <row r="2367" spans="1:17" x14ac:dyDescent="0.3">
      <c r="A2367" t="s">
        <v>4446</v>
      </c>
      <c r="B2367" t="str">
        <f>"000565"</f>
        <v>000565</v>
      </c>
      <c r="C2367" t="s">
        <v>4777</v>
      </c>
      <c r="D2367" t="s">
        <v>133</v>
      </c>
      <c r="F2367">
        <v>-13685153</v>
      </c>
      <c r="G2367">
        <v>24076227</v>
      </c>
      <c r="H2367">
        <v>6580760</v>
      </c>
      <c r="I2367">
        <v>20163892</v>
      </c>
      <c r="J2367">
        <v>45785552</v>
      </c>
      <c r="K2367">
        <v>63107555</v>
      </c>
      <c r="L2367">
        <v>7753650</v>
      </c>
      <c r="M2367">
        <v>16712890</v>
      </c>
      <c r="N2367">
        <v>-2977899</v>
      </c>
      <c r="O2367">
        <v>13343599</v>
      </c>
      <c r="P2367">
        <v>79</v>
      </c>
      <c r="Q2367" t="s">
        <v>4778</v>
      </c>
    </row>
    <row r="2368" spans="1:17" x14ac:dyDescent="0.3">
      <c r="A2368" t="s">
        <v>4446</v>
      </c>
      <c r="B2368" t="str">
        <f>"000566"</f>
        <v>000566</v>
      </c>
      <c r="C2368" t="s">
        <v>4779</v>
      </c>
      <c r="D2368" t="s">
        <v>113</v>
      </c>
      <c r="F2368">
        <v>-229308521</v>
      </c>
      <c r="G2368">
        <v>-875282915</v>
      </c>
      <c r="H2368">
        <v>-663617078</v>
      </c>
      <c r="I2368">
        <v>-1069972039</v>
      </c>
      <c r="J2368">
        <v>-242463419</v>
      </c>
      <c r="K2368">
        <v>-192702343</v>
      </c>
      <c r="L2368">
        <v>-26887327</v>
      </c>
      <c r="M2368">
        <v>-207349107</v>
      </c>
      <c r="N2368">
        <v>-94699165</v>
      </c>
      <c r="O2368">
        <v>-132734469</v>
      </c>
      <c r="P2368">
        <v>195</v>
      </c>
      <c r="Q2368" t="s">
        <v>4780</v>
      </c>
    </row>
    <row r="2369" spans="1:17" x14ac:dyDescent="0.3">
      <c r="A2369" t="s">
        <v>4446</v>
      </c>
      <c r="B2369" t="str">
        <f>"000567"</f>
        <v>000567</v>
      </c>
      <c r="C2369" t="s">
        <v>4781</v>
      </c>
      <c r="D2369" t="s">
        <v>75</v>
      </c>
      <c r="F2369">
        <v>-955598932</v>
      </c>
      <c r="G2369">
        <v>208524492</v>
      </c>
      <c r="H2369">
        <v>-706729010</v>
      </c>
      <c r="I2369">
        <v>-674095203</v>
      </c>
      <c r="J2369">
        <v>-2314905295</v>
      </c>
      <c r="K2369">
        <v>-915467026</v>
      </c>
      <c r="L2369">
        <v>4372257</v>
      </c>
      <c r="M2369">
        <v>-34760444</v>
      </c>
      <c r="N2369">
        <v>-87147688</v>
      </c>
      <c r="O2369">
        <v>-12840127</v>
      </c>
      <c r="P2369">
        <v>118</v>
      </c>
      <c r="Q2369" t="s">
        <v>4782</v>
      </c>
    </row>
    <row r="2370" spans="1:17" x14ac:dyDescent="0.3">
      <c r="A2370" t="s">
        <v>4446</v>
      </c>
      <c r="B2370" t="str">
        <f>"000568"</f>
        <v>000568</v>
      </c>
      <c r="C2370" t="s">
        <v>4783</v>
      </c>
      <c r="D2370" t="s">
        <v>123</v>
      </c>
      <c r="F2370">
        <v>5722786760</v>
      </c>
      <c r="G2370">
        <v>2792935318</v>
      </c>
      <c r="H2370">
        <v>269438246</v>
      </c>
      <c r="I2370">
        <v>2829656081</v>
      </c>
      <c r="J2370">
        <v>2277820326</v>
      </c>
      <c r="K2370">
        <v>2388130134</v>
      </c>
      <c r="L2370">
        <v>73782144</v>
      </c>
      <c r="M2370">
        <v>1143081394</v>
      </c>
      <c r="N2370">
        <v>957087524</v>
      </c>
      <c r="O2370">
        <v>4843777034</v>
      </c>
      <c r="P2370">
        <v>6442</v>
      </c>
      <c r="Q2370" t="s">
        <v>4784</v>
      </c>
    </row>
    <row r="2371" spans="1:17" x14ac:dyDescent="0.3">
      <c r="A2371" t="s">
        <v>4446</v>
      </c>
      <c r="B2371" t="str">
        <f>"000570"</f>
        <v>000570</v>
      </c>
      <c r="C2371" t="s">
        <v>4785</v>
      </c>
      <c r="D2371" t="s">
        <v>27</v>
      </c>
      <c r="F2371">
        <v>-405507402</v>
      </c>
      <c r="G2371">
        <v>118334938</v>
      </c>
      <c r="H2371">
        <v>-59234865</v>
      </c>
      <c r="I2371">
        <v>256968829</v>
      </c>
      <c r="J2371">
        <v>-177956122</v>
      </c>
      <c r="K2371">
        <v>40403903</v>
      </c>
      <c r="L2371">
        <v>98582465</v>
      </c>
      <c r="M2371">
        <v>-111782142</v>
      </c>
      <c r="N2371">
        <v>-34835513</v>
      </c>
      <c r="O2371">
        <v>216091531</v>
      </c>
      <c r="P2371">
        <v>81</v>
      </c>
      <c r="Q2371" t="s">
        <v>4786</v>
      </c>
    </row>
    <row r="2372" spans="1:17" x14ac:dyDescent="0.3">
      <c r="A2372" t="s">
        <v>4446</v>
      </c>
      <c r="B2372" t="str">
        <f>"000571"</f>
        <v>000571</v>
      </c>
      <c r="C2372" t="s">
        <v>4787</v>
      </c>
      <c r="D2372" t="s">
        <v>257</v>
      </c>
      <c r="F2372">
        <v>292336491</v>
      </c>
      <c r="G2372">
        <v>121803494</v>
      </c>
      <c r="H2372">
        <v>262118034</v>
      </c>
      <c r="I2372">
        <v>-352013649</v>
      </c>
      <c r="J2372">
        <v>137900817</v>
      </c>
      <c r="K2372">
        <v>25904457</v>
      </c>
      <c r="L2372">
        <v>-273924472</v>
      </c>
      <c r="M2372">
        <v>-795112274</v>
      </c>
      <c r="N2372">
        <v>-350642350</v>
      </c>
      <c r="O2372">
        <v>40809230</v>
      </c>
      <c r="P2372">
        <v>72</v>
      </c>
      <c r="Q2372" t="s">
        <v>4788</v>
      </c>
    </row>
    <row r="2373" spans="1:17" x14ac:dyDescent="0.3">
      <c r="A2373" t="s">
        <v>4446</v>
      </c>
      <c r="B2373" t="str">
        <f>"000572"</f>
        <v>000572</v>
      </c>
      <c r="C2373" t="s">
        <v>4789</v>
      </c>
      <c r="D2373" t="s">
        <v>27</v>
      </c>
      <c r="F2373">
        <v>-58790535</v>
      </c>
      <c r="G2373">
        <v>-234420354</v>
      </c>
      <c r="H2373">
        <v>-359988919</v>
      </c>
      <c r="I2373">
        <v>-330465515</v>
      </c>
      <c r="J2373">
        <v>-2334470341</v>
      </c>
      <c r="K2373">
        <v>-267265557</v>
      </c>
      <c r="L2373">
        <v>243213642</v>
      </c>
      <c r="M2373">
        <v>123137076</v>
      </c>
      <c r="N2373">
        <v>-435492518</v>
      </c>
      <c r="O2373">
        <v>-863245037</v>
      </c>
      <c r="P2373">
        <v>151</v>
      </c>
      <c r="Q2373" t="s">
        <v>4790</v>
      </c>
    </row>
    <row r="2374" spans="1:17" x14ac:dyDescent="0.3">
      <c r="A2374" t="s">
        <v>4446</v>
      </c>
      <c r="B2374" t="str">
        <f>"000573"</f>
        <v>000573</v>
      </c>
      <c r="C2374" t="s">
        <v>4791</v>
      </c>
      <c r="D2374" t="s">
        <v>30</v>
      </c>
      <c r="F2374">
        <v>114377782</v>
      </c>
      <c r="G2374">
        <v>259015018</v>
      </c>
      <c r="H2374">
        <v>-300467746</v>
      </c>
      <c r="I2374">
        <v>428710431</v>
      </c>
      <c r="J2374">
        <v>-158412822</v>
      </c>
      <c r="K2374">
        <v>592757000</v>
      </c>
      <c r="L2374">
        <v>129721131</v>
      </c>
      <c r="M2374">
        <v>33125592</v>
      </c>
      <c r="N2374">
        <v>143606134</v>
      </c>
      <c r="O2374">
        <v>-14809338</v>
      </c>
      <c r="P2374">
        <v>130</v>
      </c>
      <c r="Q2374" t="s">
        <v>4792</v>
      </c>
    </row>
    <row r="2375" spans="1:17" x14ac:dyDescent="0.3">
      <c r="A2375" t="s">
        <v>4446</v>
      </c>
      <c r="B2375" t="str">
        <f>"000576"</f>
        <v>000576</v>
      </c>
      <c r="C2375" t="s">
        <v>4793</v>
      </c>
      <c r="D2375" t="s">
        <v>92</v>
      </c>
      <c r="F2375">
        <v>103485081</v>
      </c>
      <c r="G2375">
        <v>855002985</v>
      </c>
      <c r="H2375">
        <v>-7291087</v>
      </c>
      <c r="I2375">
        <v>334421751</v>
      </c>
      <c r="J2375">
        <v>206400055</v>
      </c>
      <c r="K2375">
        <v>134391060</v>
      </c>
      <c r="L2375">
        <v>245364017</v>
      </c>
      <c r="M2375">
        <v>-148853315</v>
      </c>
      <c r="N2375">
        <v>-427717148</v>
      </c>
      <c r="O2375">
        <v>-167741101</v>
      </c>
      <c r="P2375">
        <v>161</v>
      </c>
      <c r="Q2375" t="s">
        <v>4794</v>
      </c>
    </row>
    <row r="2376" spans="1:17" x14ac:dyDescent="0.3">
      <c r="A2376" t="s">
        <v>4446</v>
      </c>
      <c r="B2376" t="str">
        <f>"000578"</f>
        <v>000578</v>
      </c>
      <c r="C2376" t="s">
        <v>4795</v>
      </c>
      <c r="N2376">
        <v>-9414091390.2000008</v>
      </c>
      <c r="O2376">
        <v>-7852156610.7600002</v>
      </c>
      <c r="P2376">
        <v>12</v>
      </c>
      <c r="Q2376" t="s">
        <v>4796</v>
      </c>
    </row>
    <row r="2377" spans="1:17" x14ac:dyDescent="0.3">
      <c r="A2377" t="s">
        <v>4446</v>
      </c>
      <c r="B2377" t="str">
        <f>"000581"</f>
        <v>000581</v>
      </c>
      <c r="C2377" t="s">
        <v>4797</v>
      </c>
      <c r="D2377" t="s">
        <v>27</v>
      </c>
      <c r="F2377">
        <v>-110566205</v>
      </c>
      <c r="G2377">
        <v>331979373</v>
      </c>
      <c r="H2377">
        <v>606756932</v>
      </c>
      <c r="I2377">
        <v>311461380</v>
      </c>
      <c r="J2377">
        <v>545023662</v>
      </c>
      <c r="K2377">
        <v>167213700</v>
      </c>
      <c r="L2377">
        <v>145471767</v>
      </c>
      <c r="M2377">
        <v>91969820</v>
      </c>
      <c r="N2377">
        <v>388550775</v>
      </c>
      <c r="O2377">
        <v>923924126</v>
      </c>
      <c r="P2377">
        <v>1711</v>
      </c>
      <c r="Q2377" t="s">
        <v>4798</v>
      </c>
    </row>
    <row r="2378" spans="1:17" x14ac:dyDescent="0.3">
      <c r="A2378" t="s">
        <v>4446</v>
      </c>
      <c r="B2378" t="str">
        <f>"000582"</f>
        <v>000582</v>
      </c>
      <c r="C2378" t="s">
        <v>4799</v>
      </c>
      <c r="D2378" t="s">
        <v>22</v>
      </c>
      <c r="F2378">
        <v>-2285679907</v>
      </c>
      <c r="G2378">
        <v>852885819</v>
      </c>
      <c r="H2378">
        <v>451866037</v>
      </c>
      <c r="I2378">
        <v>1426275416</v>
      </c>
      <c r="J2378">
        <v>947669276</v>
      </c>
      <c r="K2378">
        <v>448699245</v>
      </c>
      <c r="L2378">
        <v>-427363808</v>
      </c>
      <c r="M2378">
        <v>849645617</v>
      </c>
      <c r="N2378">
        <v>550643747</v>
      </c>
      <c r="O2378">
        <v>-48061270</v>
      </c>
      <c r="P2378">
        <v>227</v>
      </c>
      <c r="Q2378" t="s">
        <v>4800</v>
      </c>
    </row>
    <row r="2379" spans="1:17" x14ac:dyDescent="0.3">
      <c r="A2379" t="s">
        <v>4446</v>
      </c>
      <c r="B2379" t="str">
        <f>"000583"</f>
        <v>000583</v>
      </c>
      <c r="C2379" t="s">
        <v>4801</v>
      </c>
      <c r="K2379">
        <v>13980.68</v>
      </c>
      <c r="L2379">
        <v>1728.16</v>
      </c>
      <c r="M2379">
        <v>-7027.9</v>
      </c>
      <c r="N2379">
        <v>5995.34</v>
      </c>
      <c r="O2379">
        <v>-273.23</v>
      </c>
      <c r="P2379">
        <v>3</v>
      </c>
      <c r="Q2379" t="s">
        <v>4802</v>
      </c>
    </row>
    <row r="2380" spans="1:17" x14ac:dyDescent="0.3">
      <c r="A2380" t="s">
        <v>4446</v>
      </c>
      <c r="B2380" t="str">
        <f>"000584"</f>
        <v>000584</v>
      </c>
      <c r="C2380" t="s">
        <v>4803</v>
      </c>
      <c r="D2380" t="s">
        <v>78</v>
      </c>
      <c r="F2380">
        <v>-186579781</v>
      </c>
      <c r="G2380">
        <v>-139038826</v>
      </c>
      <c r="H2380">
        <v>-252582391</v>
      </c>
      <c r="I2380">
        <v>186586104</v>
      </c>
      <c r="J2380">
        <v>382912560</v>
      </c>
      <c r="K2380">
        <v>-95191071</v>
      </c>
      <c r="L2380">
        <v>189472408</v>
      </c>
      <c r="M2380">
        <v>233575714</v>
      </c>
      <c r="N2380">
        <v>302069243</v>
      </c>
      <c r="O2380">
        <v>-78543647</v>
      </c>
      <c r="P2380">
        <v>134</v>
      </c>
      <c r="Q2380" t="s">
        <v>4804</v>
      </c>
    </row>
    <row r="2381" spans="1:17" x14ac:dyDescent="0.3">
      <c r="A2381" t="s">
        <v>4446</v>
      </c>
      <c r="B2381" t="str">
        <f>"000585"</f>
        <v>000585</v>
      </c>
      <c r="C2381" t="s">
        <v>4805</v>
      </c>
      <c r="D2381" t="s">
        <v>188</v>
      </c>
      <c r="F2381">
        <v>10846991</v>
      </c>
      <c r="G2381">
        <v>-59855658</v>
      </c>
      <c r="H2381">
        <v>-10005564</v>
      </c>
      <c r="I2381">
        <v>-6331468</v>
      </c>
      <c r="J2381">
        <v>28616969</v>
      </c>
      <c r="K2381">
        <v>-42531725</v>
      </c>
      <c r="L2381">
        <v>-21007336</v>
      </c>
      <c r="M2381">
        <v>16715124</v>
      </c>
      <c r="N2381">
        <v>20734072</v>
      </c>
      <c r="O2381">
        <v>-7090414</v>
      </c>
      <c r="P2381">
        <v>73</v>
      </c>
      <c r="Q2381" t="s">
        <v>4806</v>
      </c>
    </row>
    <row r="2382" spans="1:17" x14ac:dyDescent="0.3">
      <c r="A2382" t="s">
        <v>4446</v>
      </c>
      <c r="B2382" t="str">
        <f>"000586"</f>
        <v>000586</v>
      </c>
      <c r="C2382" t="s">
        <v>4807</v>
      </c>
      <c r="D2382" t="s">
        <v>100</v>
      </c>
      <c r="F2382">
        <v>-20585348</v>
      </c>
      <c r="G2382">
        <v>-7246939</v>
      </c>
      <c r="H2382">
        <v>-23160953</v>
      </c>
      <c r="I2382">
        <v>-12624212</v>
      </c>
      <c r="J2382">
        <v>-42127067</v>
      </c>
      <c r="K2382">
        <v>-5603028</v>
      </c>
      <c r="L2382">
        <v>-25886099</v>
      </c>
      <c r="M2382">
        <v>20458356</v>
      </c>
      <c r="N2382">
        <v>20410628</v>
      </c>
      <c r="O2382">
        <v>35788763</v>
      </c>
      <c r="P2382">
        <v>145</v>
      </c>
      <c r="Q2382" t="s">
        <v>4808</v>
      </c>
    </row>
    <row r="2383" spans="1:17" x14ac:dyDescent="0.3">
      <c r="A2383" t="s">
        <v>4446</v>
      </c>
      <c r="B2383" t="str">
        <f>"000587"</f>
        <v>000587</v>
      </c>
      <c r="C2383" t="s">
        <v>4809</v>
      </c>
      <c r="D2383" t="s">
        <v>227</v>
      </c>
      <c r="F2383">
        <v>-14733088</v>
      </c>
      <c r="G2383">
        <v>-685282020</v>
      </c>
      <c r="H2383">
        <v>-783064584</v>
      </c>
      <c r="I2383">
        <v>-3042145906</v>
      </c>
      <c r="J2383">
        <v>1138033116</v>
      </c>
      <c r="K2383">
        <v>1282270196</v>
      </c>
      <c r="L2383">
        <v>90650112</v>
      </c>
      <c r="M2383">
        <v>-146200454</v>
      </c>
      <c r="N2383">
        <v>698401118</v>
      </c>
      <c r="O2383">
        <v>-283237676</v>
      </c>
      <c r="P2383">
        <v>114</v>
      </c>
      <c r="Q2383" t="s">
        <v>4810</v>
      </c>
    </row>
    <row r="2384" spans="1:17" x14ac:dyDescent="0.3">
      <c r="A2384" t="s">
        <v>4446</v>
      </c>
      <c r="B2384" t="str">
        <f>"000588"</f>
        <v>000588</v>
      </c>
      <c r="C2384" t="s">
        <v>4811</v>
      </c>
      <c r="K2384">
        <v>5795073.4400000004</v>
      </c>
      <c r="L2384">
        <v>-30000110.190000001</v>
      </c>
      <c r="M2384">
        <v>-28062719.27</v>
      </c>
      <c r="P2384">
        <v>5</v>
      </c>
      <c r="Q2384" t="s">
        <v>4812</v>
      </c>
    </row>
    <row r="2385" spans="1:17" x14ac:dyDescent="0.3">
      <c r="A2385" t="s">
        <v>4446</v>
      </c>
      <c r="B2385" t="str">
        <f>"000589"</f>
        <v>000589</v>
      </c>
      <c r="C2385" t="s">
        <v>4813</v>
      </c>
      <c r="D2385" t="s">
        <v>27</v>
      </c>
      <c r="F2385">
        <v>-644138551</v>
      </c>
      <c r="G2385">
        <v>1691109650</v>
      </c>
      <c r="H2385">
        <v>1424728438</v>
      </c>
      <c r="I2385">
        <v>429738093</v>
      </c>
      <c r="J2385">
        <v>57981568</v>
      </c>
      <c r="K2385">
        <v>-124338954</v>
      </c>
      <c r="L2385">
        <v>20081554</v>
      </c>
      <c r="M2385">
        <v>-168129864</v>
      </c>
      <c r="N2385">
        <v>-62182475</v>
      </c>
      <c r="O2385">
        <v>646818121</v>
      </c>
      <c r="P2385">
        <v>208</v>
      </c>
      <c r="Q2385" t="s">
        <v>4814</v>
      </c>
    </row>
    <row r="2386" spans="1:17" x14ac:dyDescent="0.3">
      <c r="A2386" t="s">
        <v>4446</v>
      </c>
      <c r="B2386" t="str">
        <f>"000590"</f>
        <v>000590</v>
      </c>
      <c r="C2386" t="s">
        <v>4815</v>
      </c>
      <c r="D2386" t="s">
        <v>113</v>
      </c>
      <c r="F2386">
        <v>34270</v>
      </c>
      <c r="G2386">
        <v>17775271</v>
      </c>
      <c r="H2386">
        <v>40433941</v>
      </c>
      <c r="I2386">
        <v>-21921640</v>
      </c>
      <c r="J2386">
        <v>-111077480</v>
      </c>
      <c r="K2386">
        <v>17809400</v>
      </c>
      <c r="L2386">
        <v>-89897209</v>
      </c>
      <c r="M2386">
        <v>-138130144</v>
      </c>
      <c r="N2386">
        <v>-10905614</v>
      </c>
      <c r="O2386">
        <v>4479051</v>
      </c>
      <c r="P2386">
        <v>148</v>
      </c>
      <c r="Q2386" t="s">
        <v>4816</v>
      </c>
    </row>
    <row r="2387" spans="1:17" x14ac:dyDescent="0.3">
      <c r="A2387" t="s">
        <v>4446</v>
      </c>
      <c r="B2387" t="str">
        <f>"000591"</f>
        <v>000591</v>
      </c>
      <c r="C2387" t="s">
        <v>4817</v>
      </c>
      <c r="D2387" t="s">
        <v>41</v>
      </c>
      <c r="F2387">
        <v>1275493875</v>
      </c>
      <c r="G2387">
        <v>635428856</v>
      </c>
      <c r="H2387">
        <v>-596550295</v>
      </c>
      <c r="I2387">
        <v>394668042</v>
      </c>
      <c r="J2387">
        <v>-1082808849</v>
      </c>
      <c r="K2387">
        <v>-2704043109</v>
      </c>
      <c r="L2387">
        <v>-2564145568</v>
      </c>
      <c r="M2387">
        <v>-38881540</v>
      </c>
      <c r="N2387">
        <v>-12154637</v>
      </c>
      <c r="O2387">
        <v>215737218</v>
      </c>
      <c r="P2387">
        <v>665</v>
      </c>
      <c r="Q2387" t="s">
        <v>4818</v>
      </c>
    </row>
    <row r="2388" spans="1:17" x14ac:dyDescent="0.3">
      <c r="A2388" t="s">
        <v>4446</v>
      </c>
      <c r="B2388" t="str">
        <f>"000592"</f>
        <v>000592</v>
      </c>
      <c r="C2388" t="s">
        <v>4819</v>
      </c>
      <c r="D2388" t="s">
        <v>205</v>
      </c>
      <c r="F2388">
        <v>1523112</v>
      </c>
      <c r="G2388">
        <v>-130824414</v>
      </c>
      <c r="H2388">
        <v>323070666</v>
      </c>
      <c r="I2388">
        <v>-783776669</v>
      </c>
      <c r="J2388">
        <v>-180011183</v>
      </c>
      <c r="K2388">
        <v>-129967250</v>
      </c>
      <c r="L2388">
        <v>-311055470</v>
      </c>
      <c r="M2388">
        <v>-31753398</v>
      </c>
      <c r="N2388">
        <v>-102387276</v>
      </c>
      <c r="O2388">
        <v>40468658</v>
      </c>
      <c r="P2388">
        <v>150</v>
      </c>
      <c r="Q2388" t="s">
        <v>4820</v>
      </c>
    </row>
    <row r="2389" spans="1:17" x14ac:dyDescent="0.3">
      <c r="A2389" t="s">
        <v>4446</v>
      </c>
      <c r="B2389" t="str">
        <f>"000593"</f>
        <v>000593</v>
      </c>
      <c r="C2389" t="s">
        <v>4821</v>
      </c>
      <c r="D2389" t="s">
        <v>41</v>
      </c>
      <c r="F2389">
        <v>137057238</v>
      </c>
      <c r="G2389">
        <v>29736618</v>
      </c>
      <c r="H2389">
        <v>6665745</v>
      </c>
      <c r="I2389">
        <v>-81833287</v>
      </c>
      <c r="J2389">
        <v>-10728475</v>
      </c>
      <c r="K2389">
        <v>-149285220</v>
      </c>
      <c r="L2389">
        <v>25293819</v>
      </c>
      <c r="M2389">
        <v>-12537480</v>
      </c>
      <c r="N2389">
        <v>-20533640</v>
      </c>
      <c r="O2389">
        <v>-8245923</v>
      </c>
      <c r="P2389">
        <v>80</v>
      </c>
      <c r="Q2389" t="s">
        <v>4822</v>
      </c>
    </row>
    <row r="2390" spans="1:17" x14ac:dyDescent="0.3">
      <c r="A2390" t="s">
        <v>4446</v>
      </c>
      <c r="B2390" t="str">
        <f>"000594"</f>
        <v>000594</v>
      </c>
      <c r="C2390" t="s">
        <v>4823</v>
      </c>
      <c r="L2390">
        <v>-43375179.859999999</v>
      </c>
      <c r="M2390">
        <v>-16726408.199999999</v>
      </c>
      <c r="N2390">
        <v>-810586798.59000003</v>
      </c>
      <c r="O2390">
        <v>482765051.83999997</v>
      </c>
      <c r="P2390">
        <v>3</v>
      </c>
      <c r="Q2390" t="s">
        <v>4824</v>
      </c>
    </row>
    <row r="2391" spans="1:17" x14ac:dyDescent="0.3">
      <c r="A2391" t="s">
        <v>4446</v>
      </c>
      <c r="B2391" t="str">
        <f>"000595"</f>
        <v>000595</v>
      </c>
      <c r="C2391" t="s">
        <v>4825</v>
      </c>
      <c r="D2391" t="s">
        <v>78</v>
      </c>
      <c r="F2391">
        <v>-66192823</v>
      </c>
      <c r="G2391">
        <v>-194467739</v>
      </c>
      <c r="H2391">
        <v>9238299</v>
      </c>
      <c r="I2391">
        <v>-9054461</v>
      </c>
      <c r="J2391">
        <v>-90840439</v>
      </c>
      <c r="K2391">
        <v>-158428698</v>
      </c>
      <c r="L2391">
        <v>-236766923</v>
      </c>
      <c r="M2391">
        <v>-79562124</v>
      </c>
      <c r="N2391">
        <v>-93486160</v>
      </c>
      <c r="O2391">
        <v>17834689</v>
      </c>
      <c r="P2391">
        <v>98</v>
      </c>
      <c r="Q2391" t="s">
        <v>4826</v>
      </c>
    </row>
    <row r="2392" spans="1:17" x14ac:dyDescent="0.3">
      <c r="A2392" t="s">
        <v>4446</v>
      </c>
      <c r="B2392" t="str">
        <f>"000596"</f>
        <v>000596</v>
      </c>
      <c r="C2392" t="s">
        <v>4827</v>
      </c>
      <c r="D2392" t="s">
        <v>123</v>
      </c>
      <c r="F2392">
        <v>4684664743</v>
      </c>
      <c r="G2392">
        <v>3066683396</v>
      </c>
      <c r="H2392">
        <v>-215530171</v>
      </c>
      <c r="I2392">
        <v>1134650682</v>
      </c>
      <c r="J2392">
        <v>733096664</v>
      </c>
      <c r="K2392">
        <v>1015276985</v>
      </c>
      <c r="L2392">
        <v>552427849</v>
      </c>
      <c r="M2392">
        <v>1200336</v>
      </c>
      <c r="N2392">
        <v>83606358</v>
      </c>
      <c r="O2392">
        <v>465887690</v>
      </c>
      <c r="P2392">
        <v>53683</v>
      </c>
      <c r="Q2392" t="s">
        <v>4828</v>
      </c>
    </row>
    <row r="2393" spans="1:17" x14ac:dyDescent="0.3">
      <c r="A2393" t="s">
        <v>4446</v>
      </c>
      <c r="B2393" t="str">
        <f>"000597"</f>
        <v>000597</v>
      </c>
      <c r="C2393" t="s">
        <v>4829</v>
      </c>
      <c r="D2393" t="s">
        <v>113</v>
      </c>
      <c r="F2393">
        <v>630533916</v>
      </c>
      <c r="G2393">
        <v>248249039</v>
      </c>
      <c r="H2393">
        <v>124530834</v>
      </c>
      <c r="I2393">
        <v>-278201800</v>
      </c>
      <c r="J2393">
        <v>-713273159</v>
      </c>
      <c r="K2393">
        <v>216658931</v>
      </c>
      <c r="L2393">
        <v>-246088216</v>
      </c>
      <c r="M2393">
        <v>-427212189</v>
      </c>
      <c r="N2393">
        <v>-715736005</v>
      </c>
      <c r="O2393">
        <v>-89764813</v>
      </c>
      <c r="P2393">
        <v>131</v>
      </c>
      <c r="Q2393" t="s">
        <v>4830</v>
      </c>
    </row>
    <row r="2394" spans="1:17" x14ac:dyDescent="0.3">
      <c r="A2394" t="s">
        <v>4446</v>
      </c>
      <c r="B2394" t="str">
        <f>"000598"</f>
        <v>000598</v>
      </c>
      <c r="C2394" t="s">
        <v>4831</v>
      </c>
      <c r="D2394" t="s">
        <v>33</v>
      </c>
      <c r="F2394">
        <v>-1017604650</v>
      </c>
      <c r="G2394">
        <v>-1220398279</v>
      </c>
      <c r="H2394">
        <v>-1108007395</v>
      </c>
      <c r="I2394">
        <v>-329953275</v>
      </c>
      <c r="J2394">
        <v>513629867</v>
      </c>
      <c r="K2394">
        <v>-1291587341</v>
      </c>
      <c r="L2394">
        <v>-299931908</v>
      </c>
      <c r="M2394">
        <v>-109240593</v>
      </c>
      <c r="N2394">
        <v>-390914281</v>
      </c>
      <c r="O2394">
        <v>-482553049</v>
      </c>
      <c r="P2394">
        <v>444</v>
      </c>
      <c r="Q2394" t="s">
        <v>4832</v>
      </c>
    </row>
    <row r="2395" spans="1:17" x14ac:dyDescent="0.3">
      <c r="A2395" t="s">
        <v>4446</v>
      </c>
      <c r="B2395" t="str">
        <f>"000599"</f>
        <v>000599</v>
      </c>
      <c r="C2395" t="s">
        <v>4833</v>
      </c>
      <c r="D2395" t="s">
        <v>27</v>
      </c>
      <c r="F2395">
        <v>-206550712</v>
      </c>
      <c r="G2395">
        <v>-332298045</v>
      </c>
      <c r="H2395">
        <v>-1084884839</v>
      </c>
      <c r="I2395">
        <v>-434411011</v>
      </c>
      <c r="J2395">
        <v>-2134913258</v>
      </c>
      <c r="K2395">
        <v>-1340755816</v>
      </c>
      <c r="L2395">
        <v>-474381944</v>
      </c>
      <c r="M2395">
        <v>299574019</v>
      </c>
      <c r="N2395">
        <v>320200057</v>
      </c>
      <c r="O2395">
        <v>166087175</v>
      </c>
      <c r="P2395">
        <v>119</v>
      </c>
      <c r="Q2395" t="s">
        <v>4834</v>
      </c>
    </row>
    <row r="2396" spans="1:17" x14ac:dyDescent="0.3">
      <c r="A2396" t="s">
        <v>4446</v>
      </c>
      <c r="B2396" t="str">
        <f>"000600"</f>
        <v>000600</v>
      </c>
      <c r="C2396" t="s">
        <v>4835</v>
      </c>
      <c r="D2396" t="s">
        <v>41</v>
      </c>
      <c r="F2396">
        <v>-1384081098</v>
      </c>
      <c r="G2396">
        <v>1596636700</v>
      </c>
      <c r="H2396">
        <v>1016173301</v>
      </c>
      <c r="I2396">
        <v>696102330</v>
      </c>
      <c r="J2396">
        <v>-569616271</v>
      </c>
      <c r="K2396">
        <v>466029435</v>
      </c>
      <c r="L2396">
        <v>552637534</v>
      </c>
      <c r="M2396">
        <v>3566910324</v>
      </c>
      <c r="N2396">
        <v>1627594015</v>
      </c>
      <c r="O2396">
        <v>-584951712</v>
      </c>
      <c r="P2396">
        <v>312</v>
      </c>
      <c r="Q2396" t="s">
        <v>4836</v>
      </c>
    </row>
    <row r="2397" spans="1:17" x14ac:dyDescent="0.3">
      <c r="A2397" t="s">
        <v>4446</v>
      </c>
      <c r="B2397" t="str">
        <f>"000601"</f>
        <v>000601</v>
      </c>
      <c r="C2397" t="s">
        <v>4837</v>
      </c>
      <c r="D2397" t="s">
        <v>41</v>
      </c>
      <c r="F2397">
        <v>-330171551</v>
      </c>
      <c r="G2397">
        <v>-577339851</v>
      </c>
      <c r="H2397">
        <v>-631286087</v>
      </c>
      <c r="I2397">
        <v>-163989229</v>
      </c>
      <c r="J2397">
        <v>193230938</v>
      </c>
      <c r="K2397">
        <v>533386421</v>
      </c>
      <c r="L2397">
        <v>601770218</v>
      </c>
      <c r="M2397">
        <v>552614641</v>
      </c>
      <c r="N2397">
        <v>452644368</v>
      </c>
      <c r="O2397">
        <v>-49360345</v>
      </c>
      <c r="P2397">
        <v>215</v>
      </c>
      <c r="Q2397" t="s">
        <v>4838</v>
      </c>
    </row>
    <row r="2398" spans="1:17" x14ac:dyDescent="0.3">
      <c r="A2398" t="s">
        <v>4446</v>
      </c>
      <c r="B2398" t="str">
        <f>"000602"</f>
        <v>000602</v>
      </c>
      <c r="C2398" t="s">
        <v>4839</v>
      </c>
      <c r="O2398">
        <v>521367670.80000001</v>
      </c>
      <c r="P2398">
        <v>5</v>
      </c>
      <c r="Q2398" t="s">
        <v>4840</v>
      </c>
    </row>
    <row r="2399" spans="1:17" x14ac:dyDescent="0.3">
      <c r="A2399" t="s">
        <v>4446</v>
      </c>
      <c r="B2399" t="str">
        <f>"000603"</f>
        <v>000603</v>
      </c>
      <c r="C2399" t="s">
        <v>4841</v>
      </c>
      <c r="D2399" t="s">
        <v>234</v>
      </c>
      <c r="F2399">
        <v>574807744</v>
      </c>
      <c r="G2399">
        <v>328252373</v>
      </c>
      <c r="H2399">
        <v>246442495</v>
      </c>
      <c r="I2399">
        <v>404556337</v>
      </c>
      <c r="J2399">
        <v>316464080</v>
      </c>
      <c r="K2399">
        <v>244856059</v>
      </c>
      <c r="L2399">
        <v>255613811</v>
      </c>
      <c r="M2399">
        <v>469636584</v>
      </c>
      <c r="N2399">
        <v>461532924</v>
      </c>
      <c r="O2399">
        <v>434058930</v>
      </c>
      <c r="P2399">
        <v>351</v>
      </c>
      <c r="Q2399" t="s">
        <v>4842</v>
      </c>
    </row>
    <row r="2400" spans="1:17" x14ac:dyDescent="0.3">
      <c r="A2400" t="s">
        <v>4446</v>
      </c>
      <c r="B2400" t="str">
        <f>"000605"</f>
        <v>000605</v>
      </c>
      <c r="C2400" t="s">
        <v>4843</v>
      </c>
      <c r="D2400" t="s">
        <v>33</v>
      </c>
      <c r="F2400">
        <v>-42518992</v>
      </c>
      <c r="G2400">
        <v>-91189042</v>
      </c>
      <c r="H2400">
        <v>129631242</v>
      </c>
      <c r="I2400">
        <v>-278257827</v>
      </c>
      <c r="J2400">
        <v>-505900007</v>
      </c>
      <c r="K2400">
        <v>8670786</v>
      </c>
      <c r="L2400">
        <v>-157108231</v>
      </c>
      <c r="M2400">
        <v>-32962633</v>
      </c>
      <c r="N2400">
        <v>-5857881</v>
      </c>
      <c r="O2400">
        <v>964288</v>
      </c>
      <c r="P2400">
        <v>85</v>
      </c>
      <c r="Q2400" t="s">
        <v>4844</v>
      </c>
    </row>
    <row r="2401" spans="1:17" x14ac:dyDescent="0.3">
      <c r="A2401" t="s">
        <v>4446</v>
      </c>
      <c r="B2401" t="str">
        <f>"000606"</f>
        <v>000606</v>
      </c>
      <c r="C2401" t="s">
        <v>4845</v>
      </c>
      <c r="D2401" t="s">
        <v>212</v>
      </c>
      <c r="F2401">
        <v>-202549554</v>
      </c>
      <c r="G2401">
        <v>162573783</v>
      </c>
      <c r="H2401">
        <v>139529047</v>
      </c>
      <c r="I2401">
        <v>-24591105</v>
      </c>
      <c r="J2401">
        <v>-143667824</v>
      </c>
      <c r="K2401">
        <v>-71592397</v>
      </c>
      <c r="L2401">
        <v>-33346170</v>
      </c>
      <c r="M2401">
        <v>-20922319</v>
      </c>
      <c r="N2401">
        <v>-75173999</v>
      </c>
      <c r="O2401">
        <v>10854144</v>
      </c>
      <c r="P2401">
        <v>99</v>
      </c>
      <c r="Q2401" t="s">
        <v>4846</v>
      </c>
    </row>
    <row r="2402" spans="1:17" x14ac:dyDescent="0.3">
      <c r="A2402" t="s">
        <v>4446</v>
      </c>
      <c r="B2402" t="str">
        <f>"000607"</f>
        <v>000607</v>
      </c>
      <c r="C2402" t="s">
        <v>4847</v>
      </c>
      <c r="D2402" t="s">
        <v>89</v>
      </c>
      <c r="F2402">
        <v>255018096</v>
      </c>
      <c r="G2402">
        <v>93002218</v>
      </c>
      <c r="H2402">
        <v>144574849</v>
      </c>
      <c r="I2402">
        <v>229874059</v>
      </c>
      <c r="J2402">
        <v>120200309</v>
      </c>
      <c r="K2402">
        <v>262631202</v>
      </c>
      <c r="L2402">
        <v>41965771</v>
      </c>
      <c r="M2402">
        <v>17796522</v>
      </c>
      <c r="N2402">
        <v>70571625</v>
      </c>
      <c r="O2402">
        <v>46969256</v>
      </c>
      <c r="P2402">
        <v>109</v>
      </c>
      <c r="Q2402" t="s">
        <v>4848</v>
      </c>
    </row>
    <row r="2403" spans="1:17" x14ac:dyDescent="0.3">
      <c r="A2403" t="s">
        <v>4446</v>
      </c>
      <c r="B2403" t="str">
        <f>"000608"</f>
        <v>000608</v>
      </c>
      <c r="C2403" t="s">
        <v>4849</v>
      </c>
      <c r="D2403" t="s">
        <v>30</v>
      </c>
      <c r="F2403">
        <v>210481836</v>
      </c>
      <c r="G2403">
        <v>371849814</v>
      </c>
      <c r="H2403">
        <v>164492000</v>
      </c>
      <c r="I2403">
        <v>-9870000</v>
      </c>
      <c r="J2403">
        <v>124365000</v>
      </c>
      <c r="K2403">
        <v>166620000</v>
      </c>
      <c r="L2403">
        <v>-189676000</v>
      </c>
      <c r="M2403">
        <v>-244356000</v>
      </c>
      <c r="N2403">
        <v>-438065000</v>
      </c>
      <c r="O2403">
        <v>-708100000</v>
      </c>
      <c r="P2403">
        <v>102</v>
      </c>
      <c r="Q2403" t="s">
        <v>4850</v>
      </c>
    </row>
    <row r="2404" spans="1:17" x14ac:dyDescent="0.3">
      <c r="A2404" t="s">
        <v>4446</v>
      </c>
      <c r="B2404" t="str">
        <f>"000609"</f>
        <v>000609</v>
      </c>
      <c r="C2404" t="s">
        <v>4851</v>
      </c>
      <c r="D2404" t="s">
        <v>30</v>
      </c>
      <c r="F2404">
        <v>160146219</v>
      </c>
      <c r="G2404">
        <v>-73391289</v>
      </c>
      <c r="H2404">
        <v>-91424395</v>
      </c>
      <c r="I2404">
        <v>-1300617863</v>
      </c>
      <c r="J2404">
        <v>-431376897</v>
      </c>
      <c r="K2404">
        <v>39514304</v>
      </c>
      <c r="L2404">
        <v>29747458</v>
      </c>
      <c r="M2404">
        <v>13062089</v>
      </c>
      <c r="N2404">
        <v>82947451</v>
      </c>
      <c r="O2404">
        <v>149506726</v>
      </c>
      <c r="P2404">
        <v>95</v>
      </c>
      <c r="Q2404" t="s">
        <v>4852</v>
      </c>
    </row>
    <row r="2405" spans="1:17" x14ac:dyDescent="0.3">
      <c r="A2405" t="s">
        <v>4446</v>
      </c>
      <c r="B2405" t="str">
        <f>"000610"</f>
        <v>000610</v>
      </c>
      <c r="C2405" t="s">
        <v>4853</v>
      </c>
      <c r="D2405" t="s">
        <v>110</v>
      </c>
      <c r="F2405">
        <v>-244178984</v>
      </c>
      <c r="G2405">
        <v>-301162001</v>
      </c>
      <c r="H2405">
        <v>-50728202</v>
      </c>
      <c r="I2405">
        <v>-117392228</v>
      </c>
      <c r="J2405">
        <v>-273330690</v>
      </c>
      <c r="K2405">
        <v>-67806405</v>
      </c>
      <c r="L2405">
        <v>-95167828</v>
      </c>
      <c r="M2405">
        <v>-10434892</v>
      </c>
      <c r="N2405">
        <v>-22562897</v>
      </c>
      <c r="O2405">
        <v>31454072</v>
      </c>
      <c r="P2405">
        <v>152</v>
      </c>
      <c r="Q2405" t="s">
        <v>4854</v>
      </c>
    </row>
    <row r="2406" spans="1:17" x14ac:dyDescent="0.3">
      <c r="A2406" t="s">
        <v>4446</v>
      </c>
      <c r="B2406" t="str">
        <f>"000611"</f>
        <v>000611</v>
      </c>
      <c r="C2406" t="s">
        <v>4855</v>
      </c>
      <c r="D2406" t="s">
        <v>257</v>
      </c>
      <c r="F2406">
        <v>-200987494</v>
      </c>
      <c r="G2406">
        <v>-436692430</v>
      </c>
      <c r="H2406">
        <v>-58749082</v>
      </c>
      <c r="I2406">
        <v>-11766189</v>
      </c>
      <c r="J2406">
        <v>-15993316</v>
      </c>
      <c r="K2406">
        <v>48399050</v>
      </c>
      <c r="L2406">
        <v>2239943</v>
      </c>
      <c r="M2406">
        <v>-19412251</v>
      </c>
      <c r="N2406">
        <v>-43454677</v>
      </c>
      <c r="O2406">
        <v>-157746187</v>
      </c>
      <c r="P2406">
        <v>68</v>
      </c>
      <c r="Q2406" t="s">
        <v>4856</v>
      </c>
    </row>
    <row r="2407" spans="1:17" x14ac:dyDescent="0.3">
      <c r="A2407" t="s">
        <v>4446</v>
      </c>
      <c r="B2407" t="str">
        <f>"000612"</f>
        <v>000612</v>
      </c>
      <c r="C2407" t="s">
        <v>4857</v>
      </c>
      <c r="D2407" t="s">
        <v>234</v>
      </c>
      <c r="F2407">
        <v>47292145</v>
      </c>
      <c r="G2407">
        <v>717739644</v>
      </c>
      <c r="H2407">
        <v>682586156</v>
      </c>
      <c r="I2407">
        <v>630529667</v>
      </c>
      <c r="J2407">
        <v>52512177</v>
      </c>
      <c r="K2407">
        <v>93909366</v>
      </c>
      <c r="L2407">
        <v>-157112767</v>
      </c>
      <c r="M2407">
        <v>1406184572</v>
      </c>
      <c r="N2407">
        <v>-367476177</v>
      </c>
      <c r="O2407">
        <v>-795929978</v>
      </c>
      <c r="P2407">
        <v>199</v>
      </c>
      <c r="Q2407" t="s">
        <v>4858</v>
      </c>
    </row>
    <row r="2408" spans="1:17" x14ac:dyDescent="0.3">
      <c r="A2408" t="s">
        <v>4446</v>
      </c>
      <c r="B2408" t="str">
        <f>"000613"</f>
        <v>000613</v>
      </c>
      <c r="C2408" t="s">
        <v>4859</v>
      </c>
      <c r="D2408" t="s">
        <v>110</v>
      </c>
      <c r="F2408">
        <v>7541562</v>
      </c>
      <c r="G2408">
        <v>-20461993</v>
      </c>
      <c r="H2408">
        <v>-7941415</v>
      </c>
      <c r="I2408">
        <v>5682748</v>
      </c>
      <c r="J2408">
        <v>951359</v>
      </c>
      <c r="K2408">
        <v>6437610</v>
      </c>
      <c r="L2408">
        <v>-3189897</v>
      </c>
      <c r="M2408">
        <v>2268858</v>
      </c>
      <c r="N2408">
        <v>1641017</v>
      </c>
      <c r="O2408">
        <v>290086</v>
      </c>
      <c r="P2408">
        <v>100</v>
      </c>
      <c r="Q2408" t="s">
        <v>4860</v>
      </c>
    </row>
    <row r="2409" spans="1:17" x14ac:dyDescent="0.3">
      <c r="A2409" t="s">
        <v>4446</v>
      </c>
      <c r="B2409" t="str">
        <f>"000615"</f>
        <v>000615</v>
      </c>
      <c r="C2409" t="s">
        <v>4861</v>
      </c>
      <c r="D2409" t="s">
        <v>481</v>
      </c>
      <c r="F2409">
        <v>-285057751</v>
      </c>
      <c r="G2409">
        <v>-955016097</v>
      </c>
      <c r="H2409">
        <v>144845391</v>
      </c>
      <c r="I2409">
        <v>566499115</v>
      </c>
      <c r="J2409">
        <v>-698428122</v>
      </c>
      <c r="K2409">
        <v>816087633</v>
      </c>
      <c r="L2409">
        <v>1776406818</v>
      </c>
      <c r="M2409">
        <v>100761758</v>
      </c>
      <c r="N2409">
        <v>-87070840</v>
      </c>
      <c r="O2409">
        <v>86673809</v>
      </c>
      <c r="P2409">
        <v>188</v>
      </c>
      <c r="Q2409" t="s">
        <v>4862</v>
      </c>
    </row>
    <row r="2410" spans="1:17" x14ac:dyDescent="0.3">
      <c r="A2410" t="s">
        <v>4446</v>
      </c>
      <c r="B2410" t="str">
        <f>"000616"</f>
        <v>000616</v>
      </c>
      <c r="C2410" t="s">
        <v>4863</v>
      </c>
      <c r="D2410" t="s">
        <v>30</v>
      </c>
      <c r="F2410">
        <v>49184459</v>
      </c>
      <c r="G2410">
        <v>-64329778</v>
      </c>
      <c r="H2410">
        <v>162967239</v>
      </c>
      <c r="I2410">
        <v>671634033</v>
      </c>
      <c r="J2410">
        <v>-12561440</v>
      </c>
      <c r="K2410">
        <v>6638871</v>
      </c>
      <c r="L2410">
        <v>266051735</v>
      </c>
      <c r="M2410">
        <v>-35871019</v>
      </c>
      <c r="N2410">
        <v>-1898533835</v>
      </c>
      <c r="O2410">
        <v>1211442238</v>
      </c>
      <c r="P2410">
        <v>140</v>
      </c>
      <c r="Q2410" t="s">
        <v>4864</v>
      </c>
    </row>
    <row r="2411" spans="1:17" x14ac:dyDescent="0.3">
      <c r="A2411" t="s">
        <v>4446</v>
      </c>
      <c r="B2411" t="str">
        <f>"000617"</f>
        <v>000617</v>
      </c>
      <c r="C2411" t="s">
        <v>4865</v>
      </c>
      <c r="D2411" t="s">
        <v>75</v>
      </c>
      <c r="F2411">
        <v>38228531801</v>
      </c>
      <c r="G2411">
        <v>-33232181739</v>
      </c>
      <c r="H2411">
        <v>29302700129</v>
      </c>
      <c r="I2411">
        <v>-30237563689</v>
      </c>
      <c r="J2411">
        <v>47350757404</v>
      </c>
      <c r="K2411">
        <v>-26349927627</v>
      </c>
      <c r="L2411">
        <v>-25342206</v>
      </c>
      <c r="M2411">
        <v>16935210</v>
      </c>
      <c r="N2411">
        <v>-45995650</v>
      </c>
      <c r="O2411">
        <v>17195165</v>
      </c>
      <c r="P2411">
        <v>234</v>
      </c>
      <c r="Q2411" t="s">
        <v>4866</v>
      </c>
    </row>
    <row r="2412" spans="1:17" x14ac:dyDescent="0.3">
      <c r="A2412" t="s">
        <v>4446</v>
      </c>
      <c r="B2412" t="str">
        <f>"000619"</f>
        <v>000619</v>
      </c>
      <c r="C2412" t="s">
        <v>4867</v>
      </c>
      <c r="D2412" t="s">
        <v>350</v>
      </c>
      <c r="F2412">
        <v>-224622776</v>
      </c>
      <c r="G2412">
        <v>-145270308</v>
      </c>
      <c r="H2412">
        <v>14221354</v>
      </c>
      <c r="I2412">
        <v>-262919683</v>
      </c>
      <c r="J2412">
        <v>25825103</v>
      </c>
      <c r="K2412">
        <v>289506910</v>
      </c>
      <c r="L2412">
        <v>469377282</v>
      </c>
      <c r="M2412">
        <v>454475189</v>
      </c>
      <c r="N2412">
        <v>198172599</v>
      </c>
      <c r="O2412">
        <v>112679923</v>
      </c>
      <c r="P2412">
        <v>98</v>
      </c>
      <c r="Q2412" t="s">
        <v>4868</v>
      </c>
    </row>
    <row r="2413" spans="1:17" x14ac:dyDescent="0.3">
      <c r="A2413" t="s">
        <v>4446</v>
      </c>
      <c r="B2413" t="str">
        <f>"000620"</f>
        <v>000620</v>
      </c>
      <c r="C2413" t="s">
        <v>4869</v>
      </c>
      <c r="D2413" t="s">
        <v>30</v>
      </c>
      <c r="F2413">
        <v>2796943496</v>
      </c>
      <c r="G2413">
        <v>2732250034</v>
      </c>
      <c r="H2413">
        <v>1166029027</v>
      </c>
      <c r="I2413">
        <v>988062299</v>
      </c>
      <c r="J2413">
        <v>-566585655</v>
      </c>
      <c r="K2413">
        <v>-1269750018</v>
      </c>
      <c r="L2413">
        <v>-4708219396</v>
      </c>
      <c r="M2413">
        <v>-2452128158</v>
      </c>
      <c r="N2413">
        <v>-3899502235</v>
      </c>
      <c r="O2413">
        <v>-502429862</v>
      </c>
      <c r="P2413">
        <v>298</v>
      </c>
      <c r="Q2413" t="s">
        <v>4870</v>
      </c>
    </row>
    <row r="2414" spans="1:17" x14ac:dyDescent="0.3">
      <c r="A2414" t="s">
        <v>4446</v>
      </c>
      <c r="B2414" t="str">
        <f>"000622"</f>
        <v>000622</v>
      </c>
      <c r="C2414" t="s">
        <v>4871</v>
      </c>
      <c r="D2414" t="s">
        <v>103</v>
      </c>
      <c r="F2414">
        <v>39033794</v>
      </c>
      <c r="G2414">
        <v>6935351</v>
      </c>
      <c r="H2414">
        <v>-69996929</v>
      </c>
      <c r="I2414">
        <v>-122823872</v>
      </c>
      <c r="J2414">
        <v>-70706576</v>
      </c>
      <c r="K2414">
        <v>-6556253</v>
      </c>
      <c r="L2414">
        <v>-29761157</v>
      </c>
      <c r="M2414">
        <v>-47988425</v>
      </c>
      <c r="N2414">
        <v>-48315623</v>
      </c>
      <c r="O2414">
        <v>19160654</v>
      </c>
      <c r="P2414">
        <v>101</v>
      </c>
      <c r="Q2414" t="s">
        <v>4872</v>
      </c>
    </row>
    <row r="2415" spans="1:17" x14ac:dyDescent="0.3">
      <c r="A2415" t="s">
        <v>4446</v>
      </c>
      <c r="B2415" t="str">
        <f>"000623"</f>
        <v>000623</v>
      </c>
      <c r="C2415" t="s">
        <v>4873</v>
      </c>
      <c r="D2415" t="s">
        <v>113</v>
      </c>
      <c r="F2415">
        <v>48480636</v>
      </c>
      <c r="G2415">
        <v>164448472</v>
      </c>
      <c r="H2415">
        <v>158364653</v>
      </c>
      <c r="I2415">
        <v>132612538</v>
      </c>
      <c r="J2415">
        <v>217644103</v>
      </c>
      <c r="K2415">
        <v>178370569</v>
      </c>
      <c r="L2415">
        <v>55275968</v>
      </c>
      <c r="M2415">
        <v>-2301740</v>
      </c>
      <c r="N2415">
        <v>-40653316</v>
      </c>
      <c r="O2415">
        <v>-19965738</v>
      </c>
      <c r="P2415">
        <v>671</v>
      </c>
      <c r="Q2415" t="s">
        <v>4874</v>
      </c>
    </row>
    <row r="2416" spans="1:17" x14ac:dyDescent="0.3">
      <c r="A2416" t="s">
        <v>4446</v>
      </c>
      <c r="B2416" t="str">
        <f>"000625"</f>
        <v>000625</v>
      </c>
      <c r="C2416" t="s">
        <v>4875</v>
      </c>
      <c r="D2416" t="s">
        <v>27</v>
      </c>
      <c r="F2416">
        <v>21047083234</v>
      </c>
      <c r="G2416">
        <v>8315715532</v>
      </c>
      <c r="H2416">
        <v>-829074946</v>
      </c>
      <c r="I2416">
        <v>-10332900574</v>
      </c>
      <c r="J2416">
        <v>-4652290272</v>
      </c>
      <c r="K2416">
        <v>-2355447421</v>
      </c>
      <c r="L2416">
        <v>2398318927</v>
      </c>
      <c r="M2416">
        <v>1569005065</v>
      </c>
      <c r="N2416">
        <v>-627069103</v>
      </c>
      <c r="O2416">
        <v>-4372221483</v>
      </c>
      <c r="P2416">
        <v>3100</v>
      </c>
      <c r="Q2416" t="s">
        <v>4876</v>
      </c>
    </row>
    <row r="2417" spans="1:17" x14ac:dyDescent="0.3">
      <c r="A2417" t="s">
        <v>4446</v>
      </c>
      <c r="B2417" t="str">
        <f>"000626"</f>
        <v>000626</v>
      </c>
      <c r="C2417" t="s">
        <v>4877</v>
      </c>
      <c r="D2417" t="s">
        <v>22</v>
      </c>
      <c r="F2417">
        <v>742890177</v>
      </c>
      <c r="G2417">
        <v>-363521283</v>
      </c>
      <c r="H2417">
        <v>272566647</v>
      </c>
      <c r="I2417">
        <v>-1080922101</v>
      </c>
      <c r="J2417">
        <v>-310014490</v>
      </c>
      <c r="K2417">
        <v>9295916</v>
      </c>
      <c r="L2417">
        <v>-720386684</v>
      </c>
      <c r="M2417">
        <v>-185818917</v>
      </c>
      <c r="N2417">
        <v>-168808829</v>
      </c>
      <c r="O2417">
        <v>-13440109</v>
      </c>
      <c r="P2417">
        <v>125</v>
      </c>
      <c r="Q2417" t="s">
        <v>4878</v>
      </c>
    </row>
    <row r="2418" spans="1:17" x14ac:dyDescent="0.3">
      <c r="A2418" t="s">
        <v>4446</v>
      </c>
      <c r="B2418" t="str">
        <f>"000627"</f>
        <v>000627</v>
      </c>
      <c r="C2418" t="s">
        <v>4879</v>
      </c>
      <c r="D2418" t="s">
        <v>75</v>
      </c>
      <c r="F2418">
        <v>3887260502</v>
      </c>
      <c r="G2418">
        <v>21114255862</v>
      </c>
      <c r="H2418">
        <v>27962981238</v>
      </c>
      <c r="I2418">
        <v>14712786491</v>
      </c>
      <c r="J2418">
        <v>-345984846</v>
      </c>
      <c r="K2418">
        <v>-6017173877</v>
      </c>
      <c r="L2418">
        <v>-80436904</v>
      </c>
      <c r="M2418">
        <v>-203744161</v>
      </c>
      <c r="N2418">
        <v>5790832</v>
      </c>
      <c r="O2418">
        <v>-32191862</v>
      </c>
      <c r="P2418">
        <v>288</v>
      </c>
      <c r="Q2418" t="s">
        <v>4880</v>
      </c>
    </row>
    <row r="2419" spans="1:17" x14ac:dyDescent="0.3">
      <c r="A2419" t="s">
        <v>4446</v>
      </c>
      <c r="B2419" t="str">
        <f>"000628"</f>
        <v>000628</v>
      </c>
      <c r="C2419" t="s">
        <v>4881</v>
      </c>
      <c r="D2419" t="s">
        <v>95</v>
      </c>
      <c r="F2419">
        <v>395684058</v>
      </c>
      <c r="G2419">
        <v>162812154</v>
      </c>
      <c r="H2419">
        <v>-250498314</v>
      </c>
      <c r="I2419">
        <v>-164441365</v>
      </c>
      <c r="J2419">
        <v>103596618</v>
      </c>
      <c r="K2419">
        <v>21332079</v>
      </c>
      <c r="L2419">
        <v>-110404872</v>
      </c>
      <c r="M2419">
        <v>141943738</v>
      </c>
      <c r="N2419">
        <v>103307441</v>
      </c>
      <c r="O2419">
        <v>120766403</v>
      </c>
      <c r="P2419">
        <v>127</v>
      </c>
      <c r="Q2419" t="s">
        <v>4882</v>
      </c>
    </row>
    <row r="2420" spans="1:17" x14ac:dyDescent="0.3">
      <c r="A2420" t="s">
        <v>4446</v>
      </c>
      <c r="B2420" t="str">
        <f>"000629"</f>
        <v>000629</v>
      </c>
      <c r="C2420" t="s">
        <v>4883</v>
      </c>
      <c r="D2420" t="s">
        <v>38</v>
      </c>
      <c r="F2420">
        <v>1749907404</v>
      </c>
      <c r="G2420">
        <v>529026437</v>
      </c>
      <c r="H2420">
        <v>3283597717</v>
      </c>
      <c r="I2420">
        <v>1655505192</v>
      </c>
      <c r="J2420">
        <v>-232689271</v>
      </c>
      <c r="K2420">
        <v>-384767869</v>
      </c>
      <c r="L2420">
        <v>-1922801171</v>
      </c>
      <c r="M2420">
        <v>-1528555715</v>
      </c>
      <c r="N2420">
        <v>-1087110139</v>
      </c>
      <c r="O2420">
        <v>-995517260</v>
      </c>
      <c r="P2420">
        <v>335</v>
      </c>
      <c r="Q2420" t="s">
        <v>4884</v>
      </c>
    </row>
    <row r="2421" spans="1:17" x14ac:dyDescent="0.3">
      <c r="A2421" t="s">
        <v>4446</v>
      </c>
      <c r="B2421" t="str">
        <f>"000630"</f>
        <v>000630</v>
      </c>
      <c r="C2421" t="s">
        <v>4885</v>
      </c>
      <c r="D2421" t="s">
        <v>234</v>
      </c>
      <c r="F2421">
        <v>2047976482</v>
      </c>
      <c r="G2421">
        <v>708933198</v>
      </c>
      <c r="H2421">
        <v>1750525715</v>
      </c>
      <c r="I2421">
        <v>3843321312</v>
      </c>
      <c r="J2421">
        <v>-2884155638</v>
      </c>
      <c r="K2421">
        <v>3862225223</v>
      </c>
      <c r="L2421">
        <v>3055367376</v>
      </c>
      <c r="M2421">
        <v>224069689</v>
      </c>
      <c r="N2421">
        <v>-1676351747</v>
      </c>
      <c r="O2421">
        <v>-3581903571</v>
      </c>
      <c r="P2421">
        <v>464</v>
      </c>
      <c r="Q2421" t="s">
        <v>4886</v>
      </c>
    </row>
    <row r="2422" spans="1:17" x14ac:dyDescent="0.3">
      <c r="A2422" t="s">
        <v>4446</v>
      </c>
      <c r="B2422" t="str">
        <f>"000631"</f>
        <v>000631</v>
      </c>
      <c r="C2422" t="s">
        <v>4887</v>
      </c>
      <c r="D2422" t="s">
        <v>30</v>
      </c>
      <c r="F2422">
        <v>1494017958</v>
      </c>
      <c r="G2422">
        <v>-1806245117</v>
      </c>
      <c r="H2422">
        <v>360365131</v>
      </c>
      <c r="I2422">
        <v>1446125935</v>
      </c>
      <c r="J2422">
        <v>1971929663</v>
      </c>
      <c r="K2422">
        <v>3304672669</v>
      </c>
      <c r="L2422">
        <v>3182934680</v>
      </c>
      <c r="M2422">
        <v>-376342197</v>
      </c>
      <c r="N2422">
        <v>-953544957</v>
      </c>
      <c r="O2422">
        <v>994625419</v>
      </c>
      <c r="P2422">
        <v>359</v>
      </c>
      <c r="Q2422" t="s">
        <v>4888</v>
      </c>
    </row>
    <row r="2423" spans="1:17" x14ac:dyDescent="0.3">
      <c r="A2423" t="s">
        <v>4446</v>
      </c>
      <c r="B2423" t="str">
        <f>"000632"</f>
        <v>000632</v>
      </c>
      <c r="C2423" t="s">
        <v>4889</v>
      </c>
      <c r="D2423" t="s">
        <v>103</v>
      </c>
      <c r="F2423">
        <v>377911630</v>
      </c>
      <c r="G2423">
        <v>-1802394759</v>
      </c>
      <c r="H2423">
        <v>1470793563</v>
      </c>
      <c r="I2423">
        <v>771911768</v>
      </c>
      <c r="J2423">
        <v>314517047</v>
      </c>
      <c r="K2423">
        <v>284350275</v>
      </c>
      <c r="L2423">
        <v>353293931</v>
      </c>
      <c r="M2423">
        <v>-445083145</v>
      </c>
      <c r="N2423">
        <v>-338015365</v>
      </c>
      <c r="O2423">
        <v>130725996</v>
      </c>
      <c r="P2423">
        <v>69</v>
      </c>
      <c r="Q2423" t="s">
        <v>4890</v>
      </c>
    </row>
    <row r="2424" spans="1:17" x14ac:dyDescent="0.3">
      <c r="A2424" t="s">
        <v>4446</v>
      </c>
      <c r="B2424" t="str">
        <f>"000633"</f>
        <v>000633</v>
      </c>
      <c r="C2424" t="s">
        <v>4891</v>
      </c>
      <c r="D2424" t="s">
        <v>234</v>
      </c>
      <c r="F2424">
        <v>-1495301</v>
      </c>
      <c r="G2424">
        <v>-7579499</v>
      </c>
      <c r="H2424">
        <v>-74087210</v>
      </c>
      <c r="I2424">
        <v>-175415802</v>
      </c>
      <c r="J2424">
        <v>-492709259</v>
      </c>
      <c r="K2424">
        <v>-55462028</v>
      </c>
      <c r="L2424">
        <v>37164033</v>
      </c>
      <c r="M2424">
        <v>-64781690</v>
      </c>
      <c r="N2424">
        <v>-11323796</v>
      </c>
      <c r="O2424">
        <v>23800990</v>
      </c>
      <c r="P2424">
        <v>72</v>
      </c>
      <c r="Q2424" t="s">
        <v>4892</v>
      </c>
    </row>
    <row r="2425" spans="1:17" x14ac:dyDescent="0.3">
      <c r="A2425" t="s">
        <v>4446</v>
      </c>
      <c r="B2425" t="str">
        <f>"000635"</f>
        <v>000635</v>
      </c>
      <c r="C2425" t="s">
        <v>4893</v>
      </c>
      <c r="D2425" t="s">
        <v>133</v>
      </c>
      <c r="F2425">
        <v>148795123</v>
      </c>
      <c r="G2425">
        <v>83786576</v>
      </c>
      <c r="H2425">
        <v>-96373572</v>
      </c>
      <c r="I2425">
        <v>158464418</v>
      </c>
      <c r="J2425">
        <v>362286250</v>
      </c>
      <c r="K2425">
        <v>190402496</v>
      </c>
      <c r="L2425">
        <v>111126367</v>
      </c>
      <c r="M2425">
        <v>451626829</v>
      </c>
      <c r="N2425">
        <v>268090841</v>
      </c>
      <c r="O2425">
        <v>182046228</v>
      </c>
      <c r="P2425">
        <v>135</v>
      </c>
      <c r="Q2425" t="s">
        <v>4894</v>
      </c>
    </row>
    <row r="2426" spans="1:17" x14ac:dyDescent="0.3">
      <c r="A2426" t="s">
        <v>4446</v>
      </c>
      <c r="B2426" t="str">
        <f>"000636"</f>
        <v>000636</v>
      </c>
      <c r="C2426" t="s">
        <v>4895</v>
      </c>
      <c r="D2426" t="s">
        <v>150</v>
      </c>
      <c r="F2426">
        <v>-1507484730</v>
      </c>
      <c r="G2426">
        <v>-590639466</v>
      </c>
      <c r="H2426">
        <v>566123008</v>
      </c>
      <c r="I2426">
        <v>985549415</v>
      </c>
      <c r="J2426">
        <v>-10176979</v>
      </c>
      <c r="K2426">
        <v>-262206403</v>
      </c>
      <c r="L2426">
        <v>-227116296</v>
      </c>
      <c r="M2426">
        <v>-73047119</v>
      </c>
      <c r="N2426">
        <v>23470907</v>
      </c>
      <c r="O2426">
        <v>10691799</v>
      </c>
      <c r="P2426">
        <v>896</v>
      </c>
      <c r="Q2426" t="s">
        <v>4896</v>
      </c>
    </row>
    <row r="2427" spans="1:17" x14ac:dyDescent="0.3">
      <c r="A2427" t="s">
        <v>4446</v>
      </c>
      <c r="B2427" t="str">
        <f>"000637"</f>
        <v>000637</v>
      </c>
      <c r="C2427" t="s">
        <v>4897</v>
      </c>
      <c r="D2427" t="s">
        <v>70</v>
      </c>
      <c r="F2427">
        <v>-228382484</v>
      </c>
      <c r="G2427">
        <v>-500830285</v>
      </c>
      <c r="H2427">
        <v>-187324072</v>
      </c>
      <c r="I2427">
        <v>75210486</v>
      </c>
      <c r="J2427">
        <v>85700949</v>
      </c>
      <c r="K2427">
        <v>234337065</v>
      </c>
      <c r="L2427">
        <v>137204086</v>
      </c>
      <c r="M2427">
        <v>131353594</v>
      </c>
      <c r="N2427">
        <v>-96219722</v>
      </c>
      <c r="O2427">
        <v>-90609080</v>
      </c>
      <c r="P2427">
        <v>93</v>
      </c>
      <c r="Q2427" t="s">
        <v>4898</v>
      </c>
    </row>
    <row r="2428" spans="1:17" x14ac:dyDescent="0.3">
      <c r="A2428" t="s">
        <v>4446</v>
      </c>
      <c r="B2428" t="str">
        <f>"000638"</f>
        <v>000638</v>
      </c>
      <c r="C2428" t="s">
        <v>4899</v>
      </c>
      <c r="D2428" t="s">
        <v>212</v>
      </c>
      <c r="F2428">
        <v>-87757411</v>
      </c>
      <c r="G2428">
        <v>-2480724</v>
      </c>
      <c r="H2428">
        <v>-943943</v>
      </c>
      <c r="I2428">
        <v>-73842545</v>
      </c>
      <c r="J2428">
        <v>76108055</v>
      </c>
      <c r="K2428">
        <v>709594708</v>
      </c>
      <c r="L2428">
        <v>-720070274</v>
      </c>
      <c r="M2428">
        <v>-270100778</v>
      </c>
      <c r="N2428">
        <v>-196207075</v>
      </c>
      <c r="O2428">
        <v>-21385401</v>
      </c>
      <c r="P2428">
        <v>87</v>
      </c>
      <c r="Q2428" t="s">
        <v>4900</v>
      </c>
    </row>
    <row r="2429" spans="1:17" x14ac:dyDescent="0.3">
      <c r="A2429" t="s">
        <v>4446</v>
      </c>
      <c r="B2429" t="str">
        <f>"000639"</f>
        <v>000639</v>
      </c>
      <c r="C2429" t="s">
        <v>4901</v>
      </c>
      <c r="D2429" t="s">
        <v>205</v>
      </c>
      <c r="F2429">
        <v>-213349640</v>
      </c>
      <c r="G2429">
        <v>520541690</v>
      </c>
      <c r="H2429">
        <v>361994724</v>
      </c>
      <c r="I2429">
        <v>1160891134</v>
      </c>
      <c r="J2429">
        <v>347564948</v>
      </c>
      <c r="K2429">
        <v>-298966989</v>
      </c>
      <c r="L2429">
        <v>91523501</v>
      </c>
      <c r="M2429">
        <v>183520730</v>
      </c>
      <c r="N2429">
        <v>217051969</v>
      </c>
      <c r="O2429">
        <v>306409149</v>
      </c>
      <c r="P2429">
        <v>328</v>
      </c>
      <c r="Q2429" t="s">
        <v>4902</v>
      </c>
    </row>
    <row r="2430" spans="1:17" x14ac:dyDescent="0.3">
      <c r="A2430" t="s">
        <v>4446</v>
      </c>
      <c r="B2430" t="str">
        <f>"000650"</f>
        <v>000650</v>
      </c>
      <c r="C2430" t="s">
        <v>4903</v>
      </c>
      <c r="D2430" t="s">
        <v>113</v>
      </c>
      <c r="F2430">
        <v>300562106</v>
      </c>
      <c r="G2430">
        <v>654036706</v>
      </c>
      <c r="H2430">
        <v>550010642</v>
      </c>
      <c r="I2430">
        <v>499662937</v>
      </c>
      <c r="J2430">
        <v>454541175</v>
      </c>
      <c r="K2430">
        <v>462470042</v>
      </c>
      <c r="L2430">
        <v>358374865</v>
      </c>
      <c r="M2430">
        <v>229371532</v>
      </c>
      <c r="N2430">
        <v>120883166</v>
      </c>
      <c r="O2430">
        <v>-28837316</v>
      </c>
      <c r="P2430">
        <v>888</v>
      </c>
      <c r="Q2430" t="s">
        <v>4904</v>
      </c>
    </row>
    <row r="2431" spans="1:17" x14ac:dyDescent="0.3">
      <c r="A2431" t="s">
        <v>4446</v>
      </c>
      <c r="B2431" t="str">
        <f>"000651"</f>
        <v>000651</v>
      </c>
      <c r="C2431" t="s">
        <v>4905</v>
      </c>
      <c r="D2431" t="s">
        <v>126</v>
      </c>
      <c r="F2431">
        <v>-3817754731</v>
      </c>
      <c r="G2431">
        <v>14716622334</v>
      </c>
      <c r="H2431">
        <v>23190140642</v>
      </c>
      <c r="I2431">
        <v>23109544449</v>
      </c>
      <c r="J2431">
        <v>13937280751</v>
      </c>
      <c r="K2431">
        <v>11610212455</v>
      </c>
      <c r="L2431">
        <v>41495097556</v>
      </c>
      <c r="M2431">
        <v>17164343490</v>
      </c>
      <c r="N2431">
        <v>10509579719</v>
      </c>
      <c r="O2431">
        <v>14806806202</v>
      </c>
      <c r="P2431">
        <v>55072</v>
      </c>
      <c r="Q2431" t="s">
        <v>4906</v>
      </c>
    </row>
    <row r="2432" spans="1:17" x14ac:dyDescent="0.3">
      <c r="A2432" t="s">
        <v>4446</v>
      </c>
      <c r="B2432" t="str">
        <f>"000652"</f>
        <v>000652</v>
      </c>
      <c r="C2432" t="s">
        <v>4907</v>
      </c>
      <c r="D2432" t="s">
        <v>103</v>
      </c>
      <c r="F2432">
        <v>-2220521413</v>
      </c>
      <c r="G2432">
        <v>-917400561</v>
      </c>
      <c r="H2432">
        <v>877560499</v>
      </c>
      <c r="I2432">
        <v>1012675936</v>
      </c>
      <c r="J2432">
        <v>342498445</v>
      </c>
      <c r="K2432">
        <v>-1268197621</v>
      </c>
      <c r="L2432">
        <v>-675064507</v>
      </c>
      <c r="M2432">
        <v>-1217077346</v>
      </c>
      <c r="N2432">
        <v>403772189</v>
      </c>
      <c r="O2432">
        <v>13425296</v>
      </c>
      <c r="P2432">
        <v>196</v>
      </c>
      <c r="Q2432" t="s">
        <v>4908</v>
      </c>
    </row>
    <row r="2433" spans="1:17" x14ac:dyDescent="0.3">
      <c r="A2433" t="s">
        <v>4446</v>
      </c>
      <c r="B2433" t="str">
        <f>"000655"</f>
        <v>000655</v>
      </c>
      <c r="C2433" t="s">
        <v>4909</v>
      </c>
      <c r="D2433" t="s">
        <v>38</v>
      </c>
      <c r="F2433">
        <v>392167214</v>
      </c>
      <c r="G2433">
        <v>109959883</v>
      </c>
      <c r="H2433">
        <v>403572032</v>
      </c>
      <c r="I2433">
        <v>301005649</v>
      </c>
      <c r="J2433">
        <v>99847381</v>
      </c>
      <c r="K2433">
        <v>-108764963</v>
      </c>
      <c r="L2433">
        <v>-148528728</v>
      </c>
      <c r="M2433">
        <v>99515620</v>
      </c>
      <c r="N2433">
        <v>-24337781</v>
      </c>
      <c r="O2433">
        <v>311698685</v>
      </c>
      <c r="P2433">
        <v>145</v>
      </c>
      <c r="Q2433" t="s">
        <v>4910</v>
      </c>
    </row>
    <row r="2434" spans="1:17" x14ac:dyDescent="0.3">
      <c r="A2434" t="s">
        <v>4446</v>
      </c>
      <c r="B2434" t="str">
        <f>"000656"</f>
        <v>000656</v>
      </c>
      <c r="C2434" t="s">
        <v>4911</v>
      </c>
      <c r="D2434" t="s">
        <v>30</v>
      </c>
      <c r="F2434">
        <v>13805708148</v>
      </c>
      <c r="G2434">
        <v>14168030723</v>
      </c>
      <c r="H2434">
        <v>1307753213</v>
      </c>
      <c r="I2434">
        <v>1053075957</v>
      </c>
      <c r="J2434">
        <v>-9013980620</v>
      </c>
      <c r="K2434">
        <v>4573529459</v>
      </c>
      <c r="L2434">
        <v>85715685</v>
      </c>
      <c r="M2434">
        <v>-8487860418</v>
      </c>
      <c r="N2434">
        <v>-4593192544</v>
      </c>
      <c r="O2434">
        <v>-430786140</v>
      </c>
      <c r="P2434">
        <v>1065</v>
      </c>
      <c r="Q2434" t="s">
        <v>4912</v>
      </c>
    </row>
    <row r="2435" spans="1:17" x14ac:dyDescent="0.3">
      <c r="A2435" t="s">
        <v>4446</v>
      </c>
      <c r="B2435" t="str">
        <f>"000657"</f>
        <v>000657</v>
      </c>
      <c r="C2435" t="s">
        <v>4913</v>
      </c>
      <c r="D2435" t="s">
        <v>234</v>
      </c>
      <c r="F2435">
        <v>381841067</v>
      </c>
      <c r="G2435">
        <v>-731892279</v>
      </c>
      <c r="H2435">
        <v>110776647</v>
      </c>
      <c r="I2435">
        <v>49654841</v>
      </c>
      <c r="J2435">
        <v>312593984</v>
      </c>
      <c r="K2435">
        <v>243989013</v>
      </c>
      <c r="L2435">
        <v>351389474</v>
      </c>
      <c r="M2435">
        <v>703385953</v>
      </c>
      <c r="N2435">
        <v>-136143482</v>
      </c>
      <c r="O2435">
        <v>8828942</v>
      </c>
      <c r="P2435">
        <v>178</v>
      </c>
      <c r="Q2435" t="s">
        <v>4914</v>
      </c>
    </row>
    <row r="2436" spans="1:17" x14ac:dyDescent="0.3">
      <c r="A2436" t="s">
        <v>4446</v>
      </c>
      <c r="B2436" t="str">
        <f>"000658"</f>
        <v>000658</v>
      </c>
      <c r="C2436" t="s">
        <v>4915</v>
      </c>
      <c r="K2436">
        <v>-65300355.259999998</v>
      </c>
      <c r="L2436">
        <v>-54545.69</v>
      </c>
      <c r="M2436">
        <v>19176021.149999999</v>
      </c>
      <c r="N2436">
        <v>2737.14</v>
      </c>
      <c r="O2436">
        <v>3338.1</v>
      </c>
      <c r="P2436">
        <v>5</v>
      </c>
      <c r="Q2436" t="s">
        <v>4916</v>
      </c>
    </row>
    <row r="2437" spans="1:17" x14ac:dyDescent="0.3">
      <c r="A2437" t="s">
        <v>4446</v>
      </c>
      <c r="B2437" t="str">
        <f>"000659"</f>
        <v>000659</v>
      </c>
      <c r="C2437" t="s">
        <v>4917</v>
      </c>
      <c r="D2437" t="s">
        <v>161</v>
      </c>
      <c r="F2437">
        <v>156313205</v>
      </c>
      <c r="G2437">
        <v>130844133</v>
      </c>
      <c r="H2437">
        <v>267189688</v>
      </c>
      <c r="I2437">
        <v>240479080</v>
      </c>
      <c r="J2437">
        <v>248386287</v>
      </c>
      <c r="K2437">
        <v>164098341</v>
      </c>
      <c r="L2437">
        <v>303557219</v>
      </c>
      <c r="M2437">
        <v>552862904</v>
      </c>
      <c r="N2437">
        <v>-7402601</v>
      </c>
      <c r="O2437">
        <v>337200876</v>
      </c>
      <c r="P2437">
        <v>77</v>
      </c>
      <c r="Q2437" t="s">
        <v>4918</v>
      </c>
    </row>
    <row r="2438" spans="1:17" x14ac:dyDescent="0.3">
      <c r="A2438" t="s">
        <v>4446</v>
      </c>
      <c r="B2438" t="str">
        <f>"000660"</f>
        <v>000660</v>
      </c>
      <c r="C2438" t="s">
        <v>4919</v>
      </c>
      <c r="K2438">
        <v>-103869638.36</v>
      </c>
      <c r="L2438">
        <v>-4666605.6500000004</v>
      </c>
      <c r="N2438">
        <v>-825389.7</v>
      </c>
      <c r="O2438">
        <v>-1966155.18</v>
      </c>
      <c r="P2438">
        <v>6</v>
      </c>
      <c r="Q2438" t="s">
        <v>4920</v>
      </c>
    </row>
    <row r="2439" spans="1:17" x14ac:dyDescent="0.3">
      <c r="A2439" t="s">
        <v>4446</v>
      </c>
      <c r="B2439" t="str">
        <f>"000661"</f>
        <v>000661</v>
      </c>
      <c r="C2439" t="s">
        <v>4921</v>
      </c>
      <c r="D2439" t="s">
        <v>113</v>
      </c>
      <c r="F2439">
        <v>1105653764</v>
      </c>
      <c r="G2439">
        <v>141436926</v>
      </c>
      <c r="H2439">
        <v>1094457906</v>
      </c>
      <c r="I2439">
        <v>225887885</v>
      </c>
      <c r="J2439">
        <v>152021244</v>
      </c>
      <c r="K2439">
        <v>123509897</v>
      </c>
      <c r="L2439">
        <v>543059606</v>
      </c>
      <c r="M2439">
        <v>197269836</v>
      </c>
      <c r="N2439">
        <v>270182555</v>
      </c>
      <c r="O2439">
        <v>236114617</v>
      </c>
      <c r="P2439">
        <v>59938</v>
      </c>
      <c r="Q2439" t="s">
        <v>4922</v>
      </c>
    </row>
    <row r="2440" spans="1:17" x14ac:dyDescent="0.3">
      <c r="A2440" t="s">
        <v>4446</v>
      </c>
      <c r="B2440" t="str">
        <f>"000662"</f>
        <v>000662</v>
      </c>
      <c r="C2440" t="s">
        <v>4923</v>
      </c>
      <c r="H2440">
        <v>-210793401</v>
      </c>
      <c r="I2440">
        <v>-703988274</v>
      </c>
      <c r="J2440">
        <v>623352835</v>
      </c>
      <c r="K2440">
        <v>629311396</v>
      </c>
      <c r="L2440">
        <v>-28245134</v>
      </c>
      <c r="M2440">
        <v>4376561</v>
      </c>
      <c r="N2440">
        <v>-311762603</v>
      </c>
      <c r="O2440">
        <v>210264092</v>
      </c>
      <c r="P2440">
        <v>146</v>
      </c>
      <c r="Q2440" t="s">
        <v>4924</v>
      </c>
    </row>
    <row r="2441" spans="1:17" x14ac:dyDescent="0.3">
      <c r="A2441" t="s">
        <v>4446</v>
      </c>
      <c r="B2441" t="str">
        <f>"000663"</f>
        <v>000663</v>
      </c>
      <c r="C2441" t="s">
        <v>4925</v>
      </c>
      <c r="D2441" t="s">
        <v>161</v>
      </c>
      <c r="F2441">
        <v>165916638</v>
      </c>
      <c r="G2441">
        <v>75661518</v>
      </c>
      <c r="H2441">
        <v>81362142</v>
      </c>
      <c r="I2441">
        <v>-194757908</v>
      </c>
      <c r="J2441">
        <v>-39453466</v>
      </c>
      <c r="K2441">
        <v>-2935131</v>
      </c>
      <c r="L2441">
        <v>45221070</v>
      </c>
      <c r="M2441">
        <v>62099669</v>
      </c>
      <c r="N2441">
        <v>51709965</v>
      </c>
      <c r="O2441">
        <v>136391134</v>
      </c>
      <c r="P2441">
        <v>93</v>
      </c>
      <c r="Q2441" t="s">
        <v>4926</v>
      </c>
    </row>
    <row r="2442" spans="1:17" x14ac:dyDescent="0.3">
      <c r="A2442" t="s">
        <v>4446</v>
      </c>
      <c r="B2442" t="str">
        <f>"000665"</f>
        <v>000665</v>
      </c>
      <c r="C2442" t="s">
        <v>4927</v>
      </c>
      <c r="D2442" t="s">
        <v>89</v>
      </c>
      <c r="F2442">
        <v>-318075325</v>
      </c>
      <c r="G2442">
        <v>-137519725</v>
      </c>
      <c r="H2442">
        <v>-1254476134</v>
      </c>
      <c r="I2442">
        <v>-1012958808</v>
      </c>
      <c r="J2442">
        <v>-377543577</v>
      </c>
      <c r="K2442">
        <v>101423761</v>
      </c>
      <c r="L2442">
        <v>95951028</v>
      </c>
      <c r="M2442">
        <v>-77659857</v>
      </c>
      <c r="N2442">
        <v>189475723</v>
      </c>
      <c r="O2442">
        <v>65943022</v>
      </c>
      <c r="P2442">
        <v>221</v>
      </c>
      <c r="Q2442" t="s">
        <v>4928</v>
      </c>
    </row>
    <row r="2443" spans="1:17" x14ac:dyDescent="0.3">
      <c r="A2443" t="s">
        <v>4446</v>
      </c>
      <c r="B2443" t="str">
        <f>"000666"</f>
        <v>000666</v>
      </c>
      <c r="C2443" t="s">
        <v>4929</v>
      </c>
      <c r="D2443" t="s">
        <v>75</v>
      </c>
      <c r="F2443">
        <v>-1048901372</v>
      </c>
      <c r="G2443">
        <v>739185865</v>
      </c>
      <c r="H2443">
        <v>-152913725</v>
      </c>
      <c r="I2443">
        <v>4610750854</v>
      </c>
      <c r="J2443">
        <v>-1927301784</v>
      </c>
      <c r="K2443">
        <v>269742961</v>
      </c>
      <c r="L2443">
        <v>2442993330</v>
      </c>
      <c r="M2443">
        <v>2396304213</v>
      </c>
      <c r="N2443">
        <v>2178506316</v>
      </c>
      <c r="O2443">
        <v>1612223561</v>
      </c>
      <c r="P2443">
        <v>186</v>
      </c>
      <c r="Q2443" t="s">
        <v>4930</v>
      </c>
    </row>
    <row r="2444" spans="1:17" x14ac:dyDescent="0.3">
      <c r="A2444" t="s">
        <v>4446</v>
      </c>
      <c r="B2444" t="str">
        <f>"000667"</f>
        <v>000667</v>
      </c>
      <c r="C2444" t="s">
        <v>4931</v>
      </c>
      <c r="D2444" t="s">
        <v>30</v>
      </c>
      <c r="F2444">
        <v>1481460137</v>
      </c>
      <c r="G2444">
        <v>-175241949</v>
      </c>
      <c r="H2444">
        <v>-1059181601</v>
      </c>
      <c r="I2444">
        <v>-1549073630</v>
      </c>
      <c r="J2444">
        <v>-1408519577</v>
      </c>
      <c r="K2444">
        <v>3065321635</v>
      </c>
      <c r="L2444">
        <v>482097677</v>
      </c>
      <c r="M2444">
        <v>871319532</v>
      </c>
      <c r="N2444">
        <v>-514405685</v>
      </c>
      <c r="O2444">
        <v>-1918936889</v>
      </c>
      <c r="P2444">
        <v>169</v>
      </c>
      <c r="Q2444" t="s">
        <v>4932</v>
      </c>
    </row>
    <row r="2445" spans="1:17" x14ac:dyDescent="0.3">
      <c r="A2445" t="s">
        <v>4446</v>
      </c>
      <c r="B2445" t="str">
        <f>"000668"</f>
        <v>000668</v>
      </c>
      <c r="C2445" t="s">
        <v>4933</v>
      </c>
      <c r="D2445" t="s">
        <v>30</v>
      </c>
      <c r="F2445">
        <v>112021757</v>
      </c>
      <c r="G2445">
        <v>-84479089</v>
      </c>
      <c r="H2445">
        <v>-186710390</v>
      </c>
      <c r="I2445">
        <v>49765483</v>
      </c>
      <c r="J2445">
        <v>115853820</v>
      </c>
      <c r="K2445">
        <v>-102377015</v>
      </c>
      <c r="L2445">
        <v>-160656417</v>
      </c>
      <c r="M2445">
        <v>160832170</v>
      </c>
      <c r="N2445">
        <v>-166160984</v>
      </c>
      <c r="O2445">
        <v>-98518141</v>
      </c>
      <c r="P2445">
        <v>96</v>
      </c>
      <c r="Q2445" t="s">
        <v>4934</v>
      </c>
    </row>
    <row r="2446" spans="1:17" x14ac:dyDescent="0.3">
      <c r="A2446" t="s">
        <v>4446</v>
      </c>
      <c r="B2446" t="str">
        <f>"000669"</f>
        <v>000669</v>
      </c>
      <c r="C2446" t="s">
        <v>4935</v>
      </c>
      <c r="D2446" t="s">
        <v>41</v>
      </c>
      <c r="F2446">
        <v>115943876</v>
      </c>
      <c r="G2446">
        <v>181926896</v>
      </c>
      <c r="H2446">
        <v>164590191</v>
      </c>
      <c r="I2446">
        <v>315578187</v>
      </c>
      <c r="J2446">
        <v>-710739639</v>
      </c>
      <c r="K2446">
        <v>-416736402</v>
      </c>
      <c r="L2446">
        <v>-707568963</v>
      </c>
      <c r="M2446">
        <v>-248987755</v>
      </c>
      <c r="N2446">
        <v>-548437714</v>
      </c>
      <c r="O2446">
        <v>-516689966</v>
      </c>
      <c r="P2446">
        <v>83</v>
      </c>
      <c r="Q2446" t="s">
        <v>4936</v>
      </c>
    </row>
    <row r="2447" spans="1:17" x14ac:dyDescent="0.3">
      <c r="A2447" t="s">
        <v>4446</v>
      </c>
      <c r="B2447" t="str">
        <f>"000670"</f>
        <v>000670</v>
      </c>
      <c r="C2447" t="s">
        <v>4937</v>
      </c>
      <c r="D2447" t="s">
        <v>150</v>
      </c>
      <c r="F2447">
        <v>-137316676</v>
      </c>
      <c r="G2447">
        <v>-100014302</v>
      </c>
      <c r="H2447">
        <v>-22965278</v>
      </c>
      <c r="I2447">
        <v>-24149603</v>
      </c>
      <c r="J2447">
        <v>-24324113</v>
      </c>
      <c r="K2447">
        <v>-71822407</v>
      </c>
      <c r="L2447">
        <v>-185615564</v>
      </c>
      <c r="M2447">
        <v>-45512664</v>
      </c>
      <c r="N2447">
        <v>21323624</v>
      </c>
      <c r="O2447">
        <v>-32663508</v>
      </c>
      <c r="P2447">
        <v>116</v>
      </c>
      <c r="Q2447" t="s">
        <v>4938</v>
      </c>
    </row>
    <row r="2448" spans="1:17" x14ac:dyDescent="0.3">
      <c r="A2448" t="s">
        <v>4446</v>
      </c>
      <c r="B2448" t="str">
        <f>"000671"</f>
        <v>000671</v>
      </c>
      <c r="C2448" t="s">
        <v>4939</v>
      </c>
      <c r="D2448" t="s">
        <v>30</v>
      </c>
      <c r="F2448">
        <v>9113962909</v>
      </c>
      <c r="G2448">
        <v>21282971120</v>
      </c>
      <c r="H2448">
        <v>15441088531</v>
      </c>
      <c r="I2448">
        <v>21745962916</v>
      </c>
      <c r="J2448">
        <v>8764837752</v>
      </c>
      <c r="K2448">
        <v>-2612962544</v>
      </c>
      <c r="L2448">
        <v>-3890133301</v>
      </c>
      <c r="M2448">
        <v>-5655051128</v>
      </c>
      <c r="N2448">
        <v>-5480528324</v>
      </c>
      <c r="O2448">
        <v>94934585</v>
      </c>
      <c r="P2448">
        <v>1191</v>
      </c>
      <c r="Q2448" t="s">
        <v>4940</v>
      </c>
    </row>
    <row r="2449" spans="1:17" x14ac:dyDescent="0.3">
      <c r="A2449" t="s">
        <v>4446</v>
      </c>
      <c r="B2449" t="str">
        <f>"000672"</f>
        <v>000672</v>
      </c>
      <c r="C2449" t="s">
        <v>4941</v>
      </c>
      <c r="D2449" t="s">
        <v>350</v>
      </c>
      <c r="F2449">
        <v>1727592021</v>
      </c>
      <c r="G2449">
        <v>1162239975</v>
      </c>
      <c r="H2449">
        <v>2769758029</v>
      </c>
      <c r="I2449">
        <v>1633192153</v>
      </c>
      <c r="J2449">
        <v>842914162</v>
      </c>
      <c r="K2449">
        <v>392063564</v>
      </c>
      <c r="L2449">
        <v>-180595955</v>
      </c>
      <c r="M2449">
        <v>557024274</v>
      </c>
      <c r="N2449">
        <v>413836198</v>
      </c>
      <c r="O2449">
        <v>7353951</v>
      </c>
      <c r="P2449">
        <v>1263</v>
      </c>
      <c r="Q2449" t="s">
        <v>4942</v>
      </c>
    </row>
    <row r="2450" spans="1:17" x14ac:dyDescent="0.3">
      <c r="A2450" t="s">
        <v>4446</v>
      </c>
      <c r="B2450" t="str">
        <f>"000673"</f>
        <v>000673</v>
      </c>
      <c r="C2450" t="s">
        <v>4943</v>
      </c>
      <c r="D2450" t="s">
        <v>89</v>
      </c>
      <c r="F2450">
        <v>-35176737</v>
      </c>
      <c r="G2450">
        <v>41514874</v>
      </c>
      <c r="H2450">
        <v>111750375</v>
      </c>
      <c r="I2450">
        <v>-156275716</v>
      </c>
      <c r="J2450">
        <v>-490646715</v>
      </c>
      <c r="K2450">
        <v>-97161955</v>
      </c>
      <c r="L2450">
        <v>-490685845</v>
      </c>
      <c r="M2450">
        <v>-10721580</v>
      </c>
      <c r="N2450">
        <v>-207242</v>
      </c>
      <c r="O2450">
        <v>4208780</v>
      </c>
      <c r="P2450">
        <v>90</v>
      </c>
      <c r="Q2450" t="s">
        <v>4944</v>
      </c>
    </row>
    <row r="2451" spans="1:17" x14ac:dyDescent="0.3">
      <c r="A2451" t="s">
        <v>4446</v>
      </c>
      <c r="B2451" t="str">
        <f>"000675"</f>
        <v>000675</v>
      </c>
      <c r="C2451" t="s">
        <v>4945</v>
      </c>
      <c r="K2451">
        <v>-392344.49</v>
      </c>
      <c r="M2451">
        <v>3402947.74</v>
      </c>
      <c r="N2451">
        <v>1728346.01</v>
      </c>
      <c r="O2451">
        <v>1518445.55</v>
      </c>
      <c r="P2451">
        <v>5</v>
      </c>
      <c r="Q2451" t="s">
        <v>4946</v>
      </c>
    </row>
    <row r="2452" spans="1:17" x14ac:dyDescent="0.3">
      <c r="A2452" t="s">
        <v>4446</v>
      </c>
      <c r="B2452" t="str">
        <f>"000676"</f>
        <v>000676</v>
      </c>
      <c r="C2452" t="s">
        <v>4947</v>
      </c>
      <c r="D2452" t="s">
        <v>89</v>
      </c>
      <c r="F2452">
        <v>81832719</v>
      </c>
      <c r="G2452">
        <v>-214563004</v>
      </c>
      <c r="H2452">
        <v>115733468</v>
      </c>
      <c r="I2452">
        <v>274063179</v>
      </c>
      <c r="J2452">
        <v>-56391828</v>
      </c>
      <c r="K2452">
        <v>9943257</v>
      </c>
      <c r="L2452">
        <v>53614888</v>
      </c>
      <c r="M2452">
        <v>62563258</v>
      </c>
      <c r="N2452">
        <v>22102120</v>
      </c>
      <c r="O2452">
        <v>-39479768</v>
      </c>
      <c r="P2452">
        <v>215</v>
      </c>
      <c r="Q2452" t="s">
        <v>4948</v>
      </c>
    </row>
    <row r="2453" spans="1:17" x14ac:dyDescent="0.3">
      <c r="A2453" t="s">
        <v>4446</v>
      </c>
      <c r="B2453" t="str">
        <f>"000677"</f>
        <v>000677</v>
      </c>
      <c r="C2453" t="s">
        <v>4949</v>
      </c>
      <c r="D2453" t="s">
        <v>133</v>
      </c>
      <c r="F2453">
        <v>69789671</v>
      </c>
      <c r="G2453">
        <v>45832076</v>
      </c>
      <c r="H2453">
        <v>76870222</v>
      </c>
      <c r="I2453">
        <v>21235895</v>
      </c>
      <c r="J2453">
        <v>-78984570</v>
      </c>
      <c r="K2453">
        <v>-3886589</v>
      </c>
      <c r="L2453">
        <v>-22266696</v>
      </c>
      <c r="M2453">
        <v>-32842368</v>
      </c>
      <c r="N2453">
        <v>-22526938</v>
      </c>
      <c r="O2453">
        <v>-430316469</v>
      </c>
      <c r="P2453">
        <v>80</v>
      </c>
      <c r="Q2453" t="s">
        <v>4950</v>
      </c>
    </row>
    <row r="2454" spans="1:17" x14ac:dyDescent="0.3">
      <c r="A2454" t="s">
        <v>4446</v>
      </c>
      <c r="B2454" t="str">
        <f>"000678"</f>
        <v>000678</v>
      </c>
      <c r="C2454" t="s">
        <v>4951</v>
      </c>
      <c r="D2454" t="s">
        <v>27</v>
      </c>
      <c r="F2454">
        <v>51272381</v>
      </c>
      <c r="G2454">
        <v>-24631428</v>
      </c>
      <c r="H2454">
        <v>61267691</v>
      </c>
      <c r="I2454">
        <v>62704220</v>
      </c>
      <c r="J2454">
        <v>-116505424</v>
      </c>
      <c r="K2454">
        <v>-131206586</v>
      </c>
      <c r="L2454">
        <v>-287327565</v>
      </c>
      <c r="M2454">
        <v>-160831006</v>
      </c>
      <c r="N2454">
        <v>-127327413</v>
      </c>
      <c r="O2454">
        <v>-174752769</v>
      </c>
      <c r="P2454">
        <v>71</v>
      </c>
      <c r="Q2454" t="s">
        <v>4952</v>
      </c>
    </row>
    <row r="2455" spans="1:17" x14ac:dyDescent="0.3">
      <c r="A2455" t="s">
        <v>4446</v>
      </c>
      <c r="B2455" t="str">
        <f>"000679"</f>
        <v>000679</v>
      </c>
      <c r="C2455" t="s">
        <v>4953</v>
      </c>
      <c r="D2455" t="s">
        <v>120</v>
      </c>
      <c r="F2455">
        <v>-19012542</v>
      </c>
      <c r="G2455">
        <v>-52500932</v>
      </c>
      <c r="H2455">
        <v>-11039165</v>
      </c>
      <c r="I2455">
        <v>53819392</v>
      </c>
      <c r="J2455">
        <v>92751798</v>
      </c>
      <c r="K2455">
        <v>183965506</v>
      </c>
      <c r="L2455">
        <v>-2353444</v>
      </c>
      <c r="M2455">
        <v>234441544</v>
      </c>
      <c r="N2455">
        <v>-968240298</v>
      </c>
      <c r="O2455">
        <v>-87995605</v>
      </c>
      <c r="P2455">
        <v>83</v>
      </c>
      <c r="Q2455" t="s">
        <v>4954</v>
      </c>
    </row>
    <row r="2456" spans="1:17" x14ac:dyDescent="0.3">
      <c r="A2456" t="s">
        <v>4446</v>
      </c>
      <c r="B2456" t="str">
        <f>"000680"</f>
        <v>000680</v>
      </c>
      <c r="C2456" t="s">
        <v>4955</v>
      </c>
      <c r="D2456" t="s">
        <v>78</v>
      </c>
      <c r="F2456">
        <v>389372824</v>
      </c>
      <c r="G2456">
        <v>574896036</v>
      </c>
      <c r="H2456">
        <v>329267637</v>
      </c>
      <c r="I2456">
        <v>277955438</v>
      </c>
      <c r="J2456">
        <v>510071856</v>
      </c>
      <c r="K2456">
        <v>315717508</v>
      </c>
      <c r="L2456">
        <v>192683758</v>
      </c>
      <c r="M2456">
        <v>512474743</v>
      </c>
      <c r="N2456">
        <v>89150667</v>
      </c>
      <c r="O2456">
        <v>349578336</v>
      </c>
      <c r="P2456">
        <v>120</v>
      </c>
      <c r="Q2456" t="s">
        <v>4956</v>
      </c>
    </row>
    <row r="2457" spans="1:17" x14ac:dyDescent="0.3">
      <c r="A2457" t="s">
        <v>4446</v>
      </c>
      <c r="B2457" t="str">
        <f>"000681"</f>
        <v>000681</v>
      </c>
      <c r="C2457" t="s">
        <v>4957</v>
      </c>
      <c r="D2457" t="s">
        <v>89</v>
      </c>
      <c r="F2457">
        <v>58243429</v>
      </c>
      <c r="G2457">
        <v>73068332</v>
      </c>
      <c r="H2457">
        <v>66090587</v>
      </c>
      <c r="I2457">
        <v>267287178</v>
      </c>
      <c r="J2457">
        <v>235056008</v>
      </c>
      <c r="K2457">
        <v>232922589</v>
      </c>
      <c r="L2457">
        <v>112180068</v>
      </c>
      <c r="M2457">
        <v>62883313</v>
      </c>
      <c r="N2457">
        <v>-6715402</v>
      </c>
      <c r="O2457">
        <v>34065691</v>
      </c>
      <c r="P2457">
        <v>449</v>
      </c>
      <c r="Q2457" t="s">
        <v>4958</v>
      </c>
    </row>
    <row r="2458" spans="1:17" x14ac:dyDescent="0.3">
      <c r="A2458" t="s">
        <v>4446</v>
      </c>
      <c r="B2458" t="str">
        <f>"000682"</f>
        <v>000682</v>
      </c>
      <c r="C2458" t="s">
        <v>4959</v>
      </c>
      <c r="D2458" t="s">
        <v>188</v>
      </c>
      <c r="F2458">
        <v>27678303</v>
      </c>
      <c r="G2458">
        <v>169041982</v>
      </c>
      <c r="H2458">
        <v>426929984</v>
      </c>
      <c r="I2458">
        <v>189367884</v>
      </c>
      <c r="J2458">
        <v>102709531</v>
      </c>
      <c r="K2458">
        <v>-127989158</v>
      </c>
      <c r="L2458">
        <v>105172012</v>
      </c>
      <c r="M2458">
        <v>53689124</v>
      </c>
      <c r="N2458">
        <v>65652535</v>
      </c>
      <c r="O2458">
        <v>-104207033</v>
      </c>
      <c r="P2458">
        <v>157</v>
      </c>
      <c r="Q2458" t="s">
        <v>4960</v>
      </c>
    </row>
    <row r="2459" spans="1:17" x14ac:dyDescent="0.3">
      <c r="A2459" t="s">
        <v>4446</v>
      </c>
      <c r="B2459" t="str">
        <f>"000683"</f>
        <v>000683</v>
      </c>
      <c r="C2459" t="s">
        <v>4961</v>
      </c>
      <c r="D2459" t="s">
        <v>133</v>
      </c>
      <c r="F2459">
        <v>2723011381</v>
      </c>
      <c r="G2459">
        <v>1172698269</v>
      </c>
      <c r="H2459">
        <v>1106513514</v>
      </c>
      <c r="I2459">
        <v>197187914</v>
      </c>
      <c r="J2459">
        <v>462366085</v>
      </c>
      <c r="K2459">
        <v>-359695391</v>
      </c>
      <c r="L2459">
        <v>-171841680</v>
      </c>
      <c r="M2459">
        <v>419190760</v>
      </c>
      <c r="N2459">
        <v>-756293352</v>
      </c>
      <c r="O2459">
        <v>-1256271999</v>
      </c>
      <c r="P2459">
        <v>314</v>
      </c>
      <c r="Q2459" t="s">
        <v>4962</v>
      </c>
    </row>
    <row r="2460" spans="1:17" x14ac:dyDescent="0.3">
      <c r="A2460" t="s">
        <v>4446</v>
      </c>
      <c r="B2460" t="str">
        <f>"000685"</f>
        <v>000685</v>
      </c>
      <c r="C2460" t="s">
        <v>4963</v>
      </c>
      <c r="D2460" t="s">
        <v>33</v>
      </c>
      <c r="F2460">
        <v>354137750</v>
      </c>
      <c r="G2460">
        <v>36173002</v>
      </c>
      <c r="H2460">
        <v>-19364200</v>
      </c>
      <c r="I2460">
        <v>-92099198</v>
      </c>
      <c r="J2460">
        <v>249739732</v>
      </c>
      <c r="K2460">
        <v>168753206</v>
      </c>
      <c r="L2460">
        <v>134025723</v>
      </c>
      <c r="M2460">
        <v>167763673</v>
      </c>
      <c r="N2460">
        <v>105191589</v>
      </c>
      <c r="O2460">
        <v>73257283</v>
      </c>
      <c r="P2460">
        <v>511</v>
      </c>
      <c r="Q2460" t="s">
        <v>4964</v>
      </c>
    </row>
    <row r="2461" spans="1:17" x14ac:dyDescent="0.3">
      <c r="A2461" t="s">
        <v>4446</v>
      </c>
      <c r="B2461" t="str">
        <f>"000686"</f>
        <v>000686</v>
      </c>
      <c r="C2461" t="s">
        <v>4965</v>
      </c>
      <c r="D2461" t="s">
        <v>75</v>
      </c>
      <c r="F2461">
        <v>4096118069</v>
      </c>
      <c r="G2461">
        <v>2185640659</v>
      </c>
      <c r="H2461">
        <v>7729565783</v>
      </c>
      <c r="I2461">
        <v>-825917339</v>
      </c>
      <c r="J2461">
        <v>4267387870</v>
      </c>
      <c r="K2461">
        <v>-16382841163</v>
      </c>
      <c r="L2461">
        <v>-4063698462</v>
      </c>
      <c r="M2461">
        <v>2258069269</v>
      </c>
      <c r="N2461">
        <v>-2415981267</v>
      </c>
      <c r="O2461">
        <v>-3303893069</v>
      </c>
      <c r="P2461">
        <v>888</v>
      </c>
      <c r="Q2461" t="s">
        <v>4966</v>
      </c>
    </row>
    <row r="2462" spans="1:17" x14ac:dyDescent="0.3">
      <c r="A2462" t="s">
        <v>4446</v>
      </c>
      <c r="B2462" t="str">
        <f>"000687"</f>
        <v>000687</v>
      </c>
      <c r="C2462" t="s">
        <v>4967</v>
      </c>
      <c r="D2462" t="s">
        <v>92</v>
      </c>
      <c r="F2462">
        <v>-8364619</v>
      </c>
      <c r="G2462">
        <v>81655125</v>
      </c>
      <c r="H2462">
        <v>-121421398</v>
      </c>
      <c r="I2462">
        <v>27521796</v>
      </c>
      <c r="J2462">
        <v>-507117967</v>
      </c>
      <c r="K2462">
        <v>-47378767</v>
      </c>
      <c r="L2462">
        <v>-354146370</v>
      </c>
      <c r="M2462">
        <v>75757566</v>
      </c>
      <c r="N2462">
        <v>-212824016</v>
      </c>
      <c r="O2462">
        <v>-407825573</v>
      </c>
      <c r="P2462">
        <v>86</v>
      </c>
      <c r="Q2462" t="s">
        <v>4968</v>
      </c>
    </row>
    <row r="2463" spans="1:17" x14ac:dyDescent="0.3">
      <c r="A2463" t="s">
        <v>4446</v>
      </c>
      <c r="B2463" t="str">
        <f>"000688"</f>
        <v>000688</v>
      </c>
      <c r="C2463" t="s">
        <v>4969</v>
      </c>
      <c r="D2463" t="s">
        <v>234</v>
      </c>
      <c r="F2463">
        <v>-278138764</v>
      </c>
      <c r="G2463">
        <v>-73418638</v>
      </c>
      <c r="H2463">
        <v>75386243</v>
      </c>
      <c r="I2463">
        <v>387073159</v>
      </c>
      <c r="J2463">
        <v>410480330</v>
      </c>
      <c r="K2463">
        <v>302409172</v>
      </c>
      <c r="L2463">
        <v>31999970</v>
      </c>
      <c r="M2463">
        <v>-202875275</v>
      </c>
      <c r="N2463">
        <v>66761126</v>
      </c>
      <c r="O2463">
        <v>-1488988</v>
      </c>
      <c r="P2463">
        <v>197</v>
      </c>
      <c r="Q2463" t="s">
        <v>4970</v>
      </c>
    </row>
    <row r="2464" spans="1:17" x14ac:dyDescent="0.3">
      <c r="A2464" t="s">
        <v>4446</v>
      </c>
      <c r="B2464" t="str">
        <f>"000689"</f>
        <v>000689</v>
      </c>
      <c r="C2464" t="s">
        <v>4971</v>
      </c>
      <c r="K2464">
        <v>-16189.47</v>
      </c>
      <c r="L2464">
        <v>71792.31</v>
      </c>
      <c r="M2464">
        <v>18811.84</v>
      </c>
      <c r="N2464">
        <v>-5990.2</v>
      </c>
      <c r="O2464">
        <v>-22119.89</v>
      </c>
      <c r="P2464">
        <v>5</v>
      </c>
      <c r="Q2464" t="s">
        <v>4972</v>
      </c>
    </row>
    <row r="2465" spans="1:17" x14ac:dyDescent="0.3">
      <c r="A2465" t="s">
        <v>4446</v>
      </c>
      <c r="B2465" t="str">
        <f>"000690"</f>
        <v>000690</v>
      </c>
      <c r="C2465" t="s">
        <v>4973</v>
      </c>
      <c r="D2465" t="s">
        <v>41</v>
      </c>
      <c r="F2465">
        <v>1153567145</v>
      </c>
      <c r="G2465">
        <v>3176178583</v>
      </c>
      <c r="H2465">
        <v>1547612583</v>
      </c>
      <c r="I2465">
        <v>-1330084895</v>
      </c>
      <c r="J2465">
        <v>-1769951683</v>
      </c>
      <c r="K2465">
        <v>-383402276</v>
      </c>
      <c r="L2465">
        <v>351497092</v>
      </c>
      <c r="M2465">
        <v>1182772706</v>
      </c>
      <c r="N2465">
        <v>2419113591</v>
      </c>
      <c r="O2465">
        <v>155692921</v>
      </c>
      <c r="P2465">
        <v>643</v>
      </c>
      <c r="Q2465" t="s">
        <v>4974</v>
      </c>
    </row>
    <row r="2466" spans="1:17" x14ac:dyDescent="0.3">
      <c r="A2466" t="s">
        <v>4446</v>
      </c>
      <c r="B2466" t="str">
        <f>"000691"</f>
        <v>000691</v>
      </c>
      <c r="C2466" t="s">
        <v>4975</v>
      </c>
      <c r="D2466" t="s">
        <v>30</v>
      </c>
      <c r="F2466">
        <v>57211823</v>
      </c>
      <c r="G2466">
        <v>-76540953</v>
      </c>
      <c r="H2466">
        <v>-6473421</v>
      </c>
      <c r="I2466">
        <v>9339396</v>
      </c>
      <c r="J2466">
        <v>14704710</v>
      </c>
      <c r="K2466">
        <v>8483527</v>
      </c>
      <c r="L2466">
        <v>-36250782</v>
      </c>
      <c r="M2466">
        <v>-7697095</v>
      </c>
      <c r="N2466">
        <v>2173218</v>
      </c>
      <c r="O2466">
        <v>-711337</v>
      </c>
      <c r="P2466">
        <v>91</v>
      </c>
      <c r="Q2466" t="s">
        <v>4976</v>
      </c>
    </row>
    <row r="2467" spans="1:17" x14ac:dyDescent="0.3">
      <c r="A2467" t="s">
        <v>4446</v>
      </c>
      <c r="B2467" t="str">
        <f>"000692"</f>
        <v>000692</v>
      </c>
      <c r="C2467" t="s">
        <v>4977</v>
      </c>
      <c r="D2467" t="s">
        <v>41</v>
      </c>
      <c r="F2467">
        <v>-128567181</v>
      </c>
      <c r="G2467">
        <v>321125824</v>
      </c>
      <c r="H2467">
        <v>-180810130</v>
      </c>
      <c r="I2467">
        <v>-210735765</v>
      </c>
      <c r="J2467">
        <v>-398757646</v>
      </c>
      <c r="K2467">
        <v>-529102887</v>
      </c>
      <c r="L2467">
        <v>-62163418</v>
      </c>
      <c r="M2467">
        <v>65985888</v>
      </c>
      <c r="N2467">
        <v>-284014901</v>
      </c>
      <c r="O2467">
        <v>-128913053</v>
      </c>
      <c r="P2467">
        <v>77</v>
      </c>
      <c r="Q2467" t="s">
        <v>4978</v>
      </c>
    </row>
    <row r="2468" spans="1:17" x14ac:dyDescent="0.3">
      <c r="A2468" t="s">
        <v>4446</v>
      </c>
      <c r="B2468" t="str">
        <f>"000693"</f>
        <v>000693</v>
      </c>
      <c r="C2468" t="s">
        <v>4979</v>
      </c>
      <c r="J2468">
        <v>-1746328</v>
      </c>
      <c r="K2468">
        <v>-816973536</v>
      </c>
      <c r="L2468">
        <v>-46995696.259999998</v>
      </c>
      <c r="M2468">
        <v>411922710.79000002</v>
      </c>
      <c r="N2468">
        <v>145263248.46000001</v>
      </c>
      <c r="O2468">
        <v>12998889.57</v>
      </c>
      <c r="P2468">
        <v>17</v>
      </c>
      <c r="Q2468" t="s">
        <v>4980</v>
      </c>
    </row>
    <row r="2469" spans="1:17" x14ac:dyDescent="0.3">
      <c r="A2469" t="s">
        <v>4446</v>
      </c>
      <c r="B2469" t="str">
        <f>"000695"</f>
        <v>000695</v>
      </c>
      <c r="C2469" t="s">
        <v>4981</v>
      </c>
      <c r="D2469" t="s">
        <v>161</v>
      </c>
      <c r="F2469">
        <v>-34260236</v>
      </c>
      <c r="G2469">
        <v>-125280885</v>
      </c>
      <c r="H2469">
        <v>-161750855</v>
      </c>
      <c r="I2469">
        <v>16394571</v>
      </c>
      <c r="J2469">
        <v>-70760868</v>
      </c>
      <c r="K2469">
        <v>60214330</v>
      </c>
      <c r="L2469">
        <v>44439548</v>
      </c>
      <c r="M2469">
        <v>49512578</v>
      </c>
      <c r="N2469">
        <v>52405912</v>
      </c>
      <c r="O2469">
        <v>115796357</v>
      </c>
      <c r="P2469">
        <v>82</v>
      </c>
      <c r="Q2469" t="s">
        <v>4982</v>
      </c>
    </row>
    <row r="2470" spans="1:17" x14ac:dyDescent="0.3">
      <c r="A2470" t="s">
        <v>4446</v>
      </c>
      <c r="B2470" t="str">
        <f>"000697"</f>
        <v>000697</v>
      </c>
      <c r="C2470" t="s">
        <v>4983</v>
      </c>
      <c r="D2470" t="s">
        <v>92</v>
      </c>
      <c r="F2470">
        <v>-284912306</v>
      </c>
      <c r="G2470">
        <v>-200794023</v>
      </c>
      <c r="H2470">
        <v>-116621327</v>
      </c>
      <c r="I2470">
        <v>-135536352</v>
      </c>
      <c r="J2470">
        <v>-184021738</v>
      </c>
      <c r="K2470">
        <v>-252211780</v>
      </c>
      <c r="L2470">
        <v>-220882452</v>
      </c>
      <c r="M2470">
        <v>-96169071</v>
      </c>
      <c r="N2470">
        <v>122846658</v>
      </c>
      <c r="O2470">
        <v>-85097861</v>
      </c>
      <c r="P2470">
        <v>110</v>
      </c>
      <c r="Q2470" t="s">
        <v>4984</v>
      </c>
    </row>
    <row r="2471" spans="1:17" x14ac:dyDescent="0.3">
      <c r="A2471" t="s">
        <v>4446</v>
      </c>
      <c r="B2471" t="str">
        <f>"000698"</f>
        <v>000698</v>
      </c>
      <c r="C2471" t="s">
        <v>4985</v>
      </c>
      <c r="D2471" t="s">
        <v>70</v>
      </c>
      <c r="F2471">
        <v>1258042122</v>
      </c>
      <c r="G2471">
        <v>-470963144</v>
      </c>
      <c r="H2471">
        <v>825440432</v>
      </c>
      <c r="I2471">
        <v>142653528</v>
      </c>
      <c r="J2471">
        <v>348821047</v>
      </c>
      <c r="K2471">
        <v>504528745</v>
      </c>
      <c r="L2471">
        <v>351575140</v>
      </c>
      <c r="M2471">
        <v>-488314059</v>
      </c>
      <c r="N2471">
        <v>541262814</v>
      </c>
      <c r="O2471">
        <v>-258338592</v>
      </c>
      <c r="P2471">
        <v>166</v>
      </c>
      <c r="Q2471" t="s">
        <v>4986</v>
      </c>
    </row>
    <row r="2472" spans="1:17" x14ac:dyDescent="0.3">
      <c r="A2472" t="s">
        <v>4446</v>
      </c>
      <c r="B2472" t="str">
        <f>"000699"</f>
        <v>000699</v>
      </c>
      <c r="C2472" t="s">
        <v>4987</v>
      </c>
      <c r="L2472">
        <v>199215.53</v>
      </c>
      <c r="P2472">
        <v>4</v>
      </c>
      <c r="Q2472" t="s">
        <v>4988</v>
      </c>
    </row>
    <row r="2473" spans="1:17" x14ac:dyDescent="0.3">
      <c r="A2473" t="s">
        <v>4446</v>
      </c>
      <c r="B2473" t="str">
        <f>"000700"</f>
        <v>000700</v>
      </c>
      <c r="C2473" t="s">
        <v>4989</v>
      </c>
      <c r="D2473" t="s">
        <v>27</v>
      </c>
      <c r="F2473">
        <v>129527405</v>
      </c>
      <c r="G2473">
        <v>-258734384</v>
      </c>
      <c r="H2473">
        <v>-172116924</v>
      </c>
      <c r="I2473">
        <v>-520220991</v>
      </c>
      <c r="J2473">
        <v>-863584435</v>
      </c>
      <c r="K2473">
        <v>-196326572</v>
      </c>
      <c r="L2473">
        <v>-37225427</v>
      </c>
      <c r="M2473">
        <v>184045219</v>
      </c>
      <c r="N2473">
        <v>383357624</v>
      </c>
      <c r="O2473">
        <v>352878529</v>
      </c>
      <c r="P2473">
        <v>259</v>
      </c>
      <c r="Q2473" t="s">
        <v>4990</v>
      </c>
    </row>
    <row r="2474" spans="1:17" x14ac:dyDescent="0.3">
      <c r="A2474" t="s">
        <v>4446</v>
      </c>
      <c r="B2474" t="str">
        <f>"000701"</f>
        <v>000701</v>
      </c>
      <c r="C2474" t="s">
        <v>4991</v>
      </c>
      <c r="D2474" t="s">
        <v>150</v>
      </c>
      <c r="F2474">
        <v>2818620855</v>
      </c>
      <c r="G2474">
        <v>-120403225</v>
      </c>
      <c r="H2474">
        <v>-3063758651</v>
      </c>
      <c r="I2474">
        <v>-766272567</v>
      </c>
      <c r="J2474">
        <v>105370760</v>
      </c>
      <c r="K2474">
        <v>-80277763</v>
      </c>
      <c r="L2474">
        <v>4379216</v>
      </c>
      <c r="M2474">
        <v>316613476</v>
      </c>
      <c r="N2474">
        <v>-171391241</v>
      </c>
      <c r="O2474">
        <v>-1160829540</v>
      </c>
      <c r="P2474">
        <v>120</v>
      </c>
      <c r="Q2474" t="s">
        <v>4992</v>
      </c>
    </row>
    <row r="2475" spans="1:17" x14ac:dyDescent="0.3">
      <c r="A2475" t="s">
        <v>4446</v>
      </c>
      <c r="B2475" t="str">
        <f>"000702"</f>
        <v>000702</v>
      </c>
      <c r="C2475" t="s">
        <v>4993</v>
      </c>
      <c r="D2475" t="s">
        <v>205</v>
      </c>
      <c r="F2475">
        <v>-174019105</v>
      </c>
      <c r="G2475">
        <v>-198898115</v>
      </c>
      <c r="H2475">
        <v>46789634</v>
      </c>
      <c r="I2475">
        <v>44705544</v>
      </c>
      <c r="J2475">
        <v>-26614887</v>
      </c>
      <c r="K2475">
        <v>35877644</v>
      </c>
      <c r="L2475">
        <v>-4215831</v>
      </c>
      <c r="M2475">
        <v>-614203</v>
      </c>
      <c r="N2475">
        <v>27697445</v>
      </c>
      <c r="O2475">
        <v>81664875</v>
      </c>
      <c r="P2475">
        <v>127</v>
      </c>
      <c r="Q2475" t="s">
        <v>4994</v>
      </c>
    </row>
    <row r="2476" spans="1:17" x14ac:dyDescent="0.3">
      <c r="A2476" t="s">
        <v>4446</v>
      </c>
      <c r="B2476" t="str">
        <f>"000703"</f>
        <v>000703</v>
      </c>
      <c r="C2476" t="s">
        <v>4995</v>
      </c>
      <c r="D2476" t="s">
        <v>70</v>
      </c>
      <c r="F2476">
        <v>1771106097</v>
      </c>
      <c r="G2476">
        <v>-3156066930</v>
      </c>
      <c r="H2476">
        <v>-11419468107</v>
      </c>
      <c r="I2476">
        <v>-10799894357</v>
      </c>
      <c r="J2476">
        <v>-3022008278</v>
      </c>
      <c r="K2476">
        <v>2454194294</v>
      </c>
      <c r="L2476">
        <v>150108295</v>
      </c>
      <c r="M2476">
        <v>1366143956</v>
      </c>
      <c r="N2476">
        <v>-860358386</v>
      </c>
      <c r="O2476">
        <v>-573314512</v>
      </c>
      <c r="P2476">
        <v>582</v>
      </c>
      <c r="Q2476" t="s">
        <v>4996</v>
      </c>
    </row>
    <row r="2477" spans="1:17" x14ac:dyDescent="0.3">
      <c r="A2477" t="s">
        <v>4446</v>
      </c>
      <c r="B2477" t="str">
        <f>"000705"</f>
        <v>000705</v>
      </c>
      <c r="C2477" t="s">
        <v>4997</v>
      </c>
      <c r="D2477" t="s">
        <v>113</v>
      </c>
      <c r="F2477">
        <v>6126663</v>
      </c>
      <c r="G2477">
        <v>121555329</v>
      </c>
      <c r="H2477">
        <v>345796794</v>
      </c>
      <c r="I2477">
        <v>-22404206</v>
      </c>
      <c r="J2477">
        <v>28246168</v>
      </c>
      <c r="K2477">
        <v>73006977</v>
      </c>
      <c r="L2477">
        <v>-140612236</v>
      </c>
      <c r="M2477">
        <v>-27393001</v>
      </c>
      <c r="N2477">
        <v>-126315824</v>
      </c>
      <c r="O2477">
        <v>73826204</v>
      </c>
      <c r="P2477">
        <v>107</v>
      </c>
      <c r="Q2477" t="s">
        <v>4998</v>
      </c>
    </row>
    <row r="2478" spans="1:17" x14ac:dyDescent="0.3">
      <c r="A2478" t="s">
        <v>4446</v>
      </c>
      <c r="B2478" t="str">
        <f>"000707"</f>
        <v>000707</v>
      </c>
      <c r="C2478" t="s">
        <v>4999</v>
      </c>
      <c r="D2478" t="s">
        <v>133</v>
      </c>
      <c r="F2478">
        <v>539138080</v>
      </c>
      <c r="G2478">
        <v>46145781</v>
      </c>
      <c r="H2478">
        <v>-25274727</v>
      </c>
      <c r="I2478">
        <v>161456752</v>
      </c>
      <c r="J2478">
        <v>-733702900</v>
      </c>
      <c r="K2478">
        <v>52166016</v>
      </c>
      <c r="L2478">
        <v>62967336</v>
      </c>
      <c r="M2478">
        <v>186546263</v>
      </c>
      <c r="N2478">
        <v>-373145001</v>
      </c>
      <c r="O2478">
        <v>330546502</v>
      </c>
      <c r="P2478">
        <v>83</v>
      </c>
      <c r="Q2478" t="s">
        <v>5000</v>
      </c>
    </row>
    <row r="2479" spans="1:17" x14ac:dyDescent="0.3">
      <c r="A2479" t="s">
        <v>4446</v>
      </c>
      <c r="B2479" t="str">
        <f>"000708"</f>
        <v>000708</v>
      </c>
      <c r="C2479" t="s">
        <v>5001</v>
      </c>
      <c r="D2479" t="s">
        <v>38</v>
      </c>
      <c r="F2479">
        <v>10612753802</v>
      </c>
      <c r="G2479">
        <v>4036540907</v>
      </c>
      <c r="H2479">
        <v>5517679300</v>
      </c>
      <c r="I2479">
        <v>694290580</v>
      </c>
      <c r="J2479">
        <v>305894220</v>
      </c>
      <c r="K2479">
        <v>733945745</v>
      </c>
      <c r="L2479">
        <v>-34750892</v>
      </c>
      <c r="M2479">
        <v>358159215</v>
      </c>
      <c r="N2479">
        <v>5947886</v>
      </c>
      <c r="O2479">
        <v>-130312925</v>
      </c>
      <c r="P2479">
        <v>681</v>
      </c>
      <c r="Q2479" t="s">
        <v>5002</v>
      </c>
    </row>
    <row r="2480" spans="1:17" x14ac:dyDescent="0.3">
      <c r="A2480" t="s">
        <v>4446</v>
      </c>
      <c r="B2480" t="str">
        <f>"000709"</f>
        <v>000709</v>
      </c>
      <c r="C2480" t="s">
        <v>5003</v>
      </c>
      <c r="D2480" t="s">
        <v>38</v>
      </c>
      <c r="F2480">
        <v>19518613169</v>
      </c>
      <c r="G2480">
        <v>-3542395297</v>
      </c>
      <c r="H2480">
        <v>-1022573321</v>
      </c>
      <c r="I2480">
        <v>-1116796314</v>
      </c>
      <c r="J2480">
        <v>2815765578</v>
      </c>
      <c r="K2480">
        <v>-9351040486</v>
      </c>
      <c r="L2480">
        <v>1614969246</v>
      </c>
      <c r="M2480">
        <v>6574698990</v>
      </c>
      <c r="N2480">
        <v>366760058</v>
      </c>
      <c r="O2480">
        <v>-6067690017</v>
      </c>
      <c r="P2480">
        <v>524</v>
      </c>
      <c r="Q2480" t="s">
        <v>5004</v>
      </c>
    </row>
    <row r="2481" spans="1:17" x14ac:dyDescent="0.3">
      <c r="A2481" t="s">
        <v>4446</v>
      </c>
      <c r="B2481" t="str">
        <f>"000710"</f>
        <v>000710</v>
      </c>
      <c r="C2481" t="s">
        <v>5005</v>
      </c>
      <c r="D2481" t="s">
        <v>113</v>
      </c>
      <c r="F2481">
        <v>-242234223</v>
      </c>
      <c r="G2481">
        <v>48791468</v>
      </c>
      <c r="H2481">
        <v>-172177765</v>
      </c>
      <c r="I2481">
        <v>-335172</v>
      </c>
      <c r="J2481">
        <v>-130468752</v>
      </c>
      <c r="K2481">
        <v>2704724</v>
      </c>
      <c r="L2481">
        <v>-64577134</v>
      </c>
      <c r="M2481">
        <v>38337415</v>
      </c>
      <c r="N2481">
        <v>8714631</v>
      </c>
      <c r="O2481">
        <v>30559169</v>
      </c>
      <c r="P2481">
        <v>460</v>
      </c>
      <c r="Q2481" t="s">
        <v>5006</v>
      </c>
    </row>
    <row r="2482" spans="1:17" x14ac:dyDescent="0.3">
      <c r="A2482" t="s">
        <v>4446</v>
      </c>
      <c r="B2482" t="str">
        <f>"000711"</f>
        <v>000711</v>
      </c>
      <c r="C2482" t="s">
        <v>5007</v>
      </c>
      <c r="D2482" t="s">
        <v>33</v>
      </c>
      <c r="F2482">
        <v>37580616</v>
      </c>
      <c r="G2482">
        <v>-48854585</v>
      </c>
      <c r="H2482">
        <v>-228544487</v>
      </c>
      <c r="I2482">
        <v>-948440693</v>
      </c>
      <c r="J2482">
        <v>-530244840</v>
      </c>
      <c r="K2482">
        <v>-404748283</v>
      </c>
      <c r="L2482">
        <v>-76423766</v>
      </c>
      <c r="M2482">
        <v>-65418004</v>
      </c>
      <c r="N2482">
        <v>-33421252</v>
      </c>
      <c r="O2482">
        <v>13328499</v>
      </c>
      <c r="P2482">
        <v>109</v>
      </c>
      <c r="Q2482" t="s">
        <v>5008</v>
      </c>
    </row>
    <row r="2483" spans="1:17" x14ac:dyDescent="0.3">
      <c r="A2483" t="s">
        <v>4446</v>
      </c>
      <c r="B2483" t="str">
        <f>"000712"</f>
        <v>000712</v>
      </c>
      <c r="C2483" t="s">
        <v>5009</v>
      </c>
      <c r="D2483" t="s">
        <v>75</v>
      </c>
      <c r="F2483">
        <v>-2554392843</v>
      </c>
      <c r="G2483">
        <v>3439503857</v>
      </c>
      <c r="H2483">
        <v>2420242892</v>
      </c>
      <c r="I2483">
        <v>1717441449</v>
      </c>
      <c r="J2483">
        <v>-4175677126</v>
      </c>
      <c r="K2483">
        <v>-1528524248</v>
      </c>
      <c r="L2483">
        <v>1024635125.76</v>
      </c>
      <c r="M2483">
        <v>1450898199.4100001</v>
      </c>
      <c r="N2483">
        <v>225973487.03</v>
      </c>
      <c r="O2483">
        <v>22390453.93</v>
      </c>
      <c r="P2483">
        <v>557</v>
      </c>
      <c r="Q2483" t="s">
        <v>5010</v>
      </c>
    </row>
    <row r="2484" spans="1:17" x14ac:dyDescent="0.3">
      <c r="A2484" t="s">
        <v>4446</v>
      </c>
      <c r="B2484" t="str">
        <f>"000713"</f>
        <v>000713</v>
      </c>
      <c r="C2484" t="s">
        <v>5011</v>
      </c>
      <c r="D2484" t="s">
        <v>205</v>
      </c>
      <c r="F2484">
        <v>125023040</v>
      </c>
      <c r="G2484">
        <v>121553104</v>
      </c>
      <c r="H2484">
        <v>12597029</v>
      </c>
      <c r="I2484">
        <v>-222889914</v>
      </c>
      <c r="J2484">
        <v>-192953787</v>
      </c>
      <c r="K2484">
        <v>-252733652</v>
      </c>
      <c r="L2484">
        <v>91418948</v>
      </c>
      <c r="M2484">
        <v>178682034</v>
      </c>
      <c r="N2484">
        <v>191773573</v>
      </c>
      <c r="O2484">
        <v>-1353999</v>
      </c>
      <c r="P2484">
        <v>237</v>
      </c>
      <c r="Q2484" t="s">
        <v>5012</v>
      </c>
    </row>
    <row r="2485" spans="1:17" x14ac:dyDescent="0.3">
      <c r="A2485" t="s">
        <v>4446</v>
      </c>
      <c r="B2485" t="str">
        <f>"000715"</f>
        <v>000715</v>
      </c>
      <c r="C2485" t="s">
        <v>5013</v>
      </c>
      <c r="D2485" t="s">
        <v>120</v>
      </c>
      <c r="F2485">
        <v>155599380</v>
      </c>
      <c r="G2485">
        <v>135297977</v>
      </c>
      <c r="H2485">
        <v>105833434</v>
      </c>
      <c r="I2485">
        <v>85262490</v>
      </c>
      <c r="J2485">
        <v>-38895144</v>
      </c>
      <c r="K2485">
        <v>41401828</v>
      </c>
      <c r="L2485">
        <v>53693593</v>
      </c>
      <c r="M2485">
        <v>10455064</v>
      </c>
      <c r="N2485">
        <v>112274034</v>
      </c>
      <c r="O2485">
        <v>238306338</v>
      </c>
      <c r="P2485">
        <v>103</v>
      </c>
      <c r="Q2485" t="s">
        <v>5014</v>
      </c>
    </row>
    <row r="2486" spans="1:17" x14ac:dyDescent="0.3">
      <c r="A2486" t="s">
        <v>4446</v>
      </c>
      <c r="B2486" t="str">
        <f>"000716"</f>
        <v>000716</v>
      </c>
      <c r="C2486" t="s">
        <v>5015</v>
      </c>
      <c r="D2486" t="s">
        <v>123</v>
      </c>
      <c r="F2486">
        <v>455062829</v>
      </c>
      <c r="G2486">
        <v>344420085</v>
      </c>
      <c r="H2486">
        <v>-59339467</v>
      </c>
      <c r="I2486">
        <v>-162372774</v>
      </c>
      <c r="J2486">
        <v>-23150074</v>
      </c>
      <c r="K2486">
        <v>-300896853</v>
      </c>
      <c r="L2486">
        <v>-123157945</v>
      </c>
      <c r="M2486">
        <v>-251243308</v>
      </c>
      <c r="N2486">
        <v>69847979</v>
      </c>
      <c r="O2486">
        <v>-57148428</v>
      </c>
      <c r="P2486">
        <v>163</v>
      </c>
      <c r="Q2486" t="s">
        <v>5016</v>
      </c>
    </row>
    <row r="2487" spans="1:17" x14ac:dyDescent="0.3">
      <c r="A2487" t="s">
        <v>4446</v>
      </c>
      <c r="B2487" t="str">
        <f>"000717"</f>
        <v>000717</v>
      </c>
      <c r="C2487" t="s">
        <v>5017</v>
      </c>
      <c r="D2487" t="s">
        <v>38</v>
      </c>
      <c r="F2487">
        <v>1577885161</v>
      </c>
      <c r="G2487">
        <v>1645030327</v>
      </c>
      <c r="H2487">
        <v>916914589</v>
      </c>
      <c r="I2487">
        <v>3294772097</v>
      </c>
      <c r="J2487">
        <v>3011256591</v>
      </c>
      <c r="K2487">
        <v>1124063424</v>
      </c>
      <c r="L2487">
        <v>-127878628</v>
      </c>
      <c r="M2487">
        <v>873254010</v>
      </c>
      <c r="N2487">
        <v>247021985</v>
      </c>
      <c r="O2487">
        <v>384086695</v>
      </c>
      <c r="P2487">
        <v>681</v>
      </c>
      <c r="Q2487" t="s">
        <v>5018</v>
      </c>
    </row>
    <row r="2488" spans="1:17" x14ac:dyDescent="0.3">
      <c r="A2488" t="s">
        <v>4446</v>
      </c>
      <c r="B2488" t="str">
        <f>"000718"</f>
        <v>000718</v>
      </c>
      <c r="C2488" t="s">
        <v>5019</v>
      </c>
      <c r="D2488" t="s">
        <v>30</v>
      </c>
      <c r="F2488">
        <v>358052355</v>
      </c>
      <c r="G2488">
        <v>64035367</v>
      </c>
      <c r="H2488">
        <v>-666604873</v>
      </c>
      <c r="I2488">
        <v>788950737</v>
      </c>
      <c r="J2488">
        <v>1972339810</v>
      </c>
      <c r="K2488">
        <v>3544448412</v>
      </c>
      <c r="L2488">
        <v>3146598405</v>
      </c>
      <c r="M2488">
        <v>791690098</v>
      </c>
      <c r="N2488">
        <v>2362662288</v>
      </c>
      <c r="O2488">
        <v>2048995136</v>
      </c>
      <c r="P2488">
        <v>659</v>
      </c>
      <c r="Q2488" t="s">
        <v>5020</v>
      </c>
    </row>
    <row r="2489" spans="1:17" x14ac:dyDescent="0.3">
      <c r="A2489" t="s">
        <v>4446</v>
      </c>
      <c r="B2489" t="str">
        <f>"000719"</f>
        <v>000719</v>
      </c>
      <c r="C2489" t="s">
        <v>5021</v>
      </c>
      <c r="D2489" t="s">
        <v>89</v>
      </c>
      <c r="F2489">
        <v>924027554</v>
      </c>
      <c r="G2489">
        <v>1234590314</v>
      </c>
      <c r="H2489">
        <v>499413483</v>
      </c>
      <c r="I2489">
        <v>434340958</v>
      </c>
      <c r="J2489">
        <v>608237521</v>
      </c>
      <c r="K2489">
        <v>438068990</v>
      </c>
      <c r="L2489">
        <v>641663986</v>
      </c>
      <c r="M2489">
        <v>921196784</v>
      </c>
      <c r="N2489">
        <v>73160753</v>
      </c>
      <c r="O2489">
        <v>259928220</v>
      </c>
      <c r="P2489">
        <v>695</v>
      </c>
      <c r="Q2489" t="s">
        <v>5022</v>
      </c>
    </row>
    <row r="2490" spans="1:17" x14ac:dyDescent="0.3">
      <c r="A2490" t="s">
        <v>4446</v>
      </c>
      <c r="B2490" t="str">
        <f>"000720"</f>
        <v>000720</v>
      </c>
      <c r="C2490" t="s">
        <v>5023</v>
      </c>
      <c r="D2490" t="s">
        <v>30</v>
      </c>
      <c r="F2490">
        <v>-719801085</v>
      </c>
      <c r="G2490">
        <v>405331077</v>
      </c>
      <c r="H2490">
        <v>-286356373</v>
      </c>
      <c r="I2490">
        <v>1328508576</v>
      </c>
      <c r="J2490">
        <v>354133566</v>
      </c>
      <c r="K2490">
        <v>287149245</v>
      </c>
      <c r="L2490">
        <v>551318715</v>
      </c>
      <c r="M2490">
        <v>336293596</v>
      </c>
      <c r="N2490">
        <v>461645592</v>
      </c>
      <c r="O2490">
        <v>180576971</v>
      </c>
      <c r="P2490">
        <v>122</v>
      </c>
      <c r="Q2490" t="s">
        <v>5024</v>
      </c>
    </row>
    <row r="2491" spans="1:17" x14ac:dyDescent="0.3">
      <c r="A2491" t="s">
        <v>4446</v>
      </c>
      <c r="B2491" t="str">
        <f>"000721"</f>
        <v>000721</v>
      </c>
      <c r="C2491" t="s">
        <v>5025</v>
      </c>
      <c r="D2491" t="s">
        <v>110</v>
      </c>
      <c r="F2491">
        <v>-213548335</v>
      </c>
      <c r="G2491">
        <v>-19622648</v>
      </c>
      <c r="H2491">
        <v>-156253587</v>
      </c>
      <c r="I2491">
        <v>-65662121</v>
      </c>
      <c r="J2491">
        <v>3446070</v>
      </c>
      <c r="K2491">
        <v>61340716</v>
      </c>
      <c r="L2491">
        <v>-75991460</v>
      </c>
      <c r="M2491">
        <v>9882709</v>
      </c>
      <c r="N2491">
        <v>-76119495</v>
      </c>
      <c r="O2491">
        <v>-74608569</v>
      </c>
      <c r="P2491">
        <v>130</v>
      </c>
      <c r="Q2491" t="s">
        <v>5026</v>
      </c>
    </row>
    <row r="2492" spans="1:17" x14ac:dyDescent="0.3">
      <c r="A2492" t="s">
        <v>4446</v>
      </c>
      <c r="B2492" t="str">
        <f>"000722"</f>
        <v>000722</v>
      </c>
      <c r="C2492" t="s">
        <v>5027</v>
      </c>
      <c r="D2492" t="s">
        <v>41</v>
      </c>
      <c r="F2492">
        <v>-221390047</v>
      </c>
      <c r="G2492">
        <v>-193160828</v>
      </c>
      <c r="H2492">
        <v>125627361</v>
      </c>
      <c r="I2492">
        <v>97617583</v>
      </c>
      <c r="J2492">
        <v>36261729</v>
      </c>
      <c r="K2492">
        <v>91534380</v>
      </c>
      <c r="L2492">
        <v>109244065</v>
      </c>
      <c r="M2492">
        <v>161444658</v>
      </c>
      <c r="N2492">
        <v>98843900</v>
      </c>
      <c r="O2492">
        <v>196357432</v>
      </c>
      <c r="P2492">
        <v>104</v>
      </c>
      <c r="Q2492" t="s">
        <v>5028</v>
      </c>
    </row>
    <row r="2493" spans="1:17" x14ac:dyDescent="0.3">
      <c r="A2493" t="s">
        <v>4446</v>
      </c>
      <c r="B2493" t="str">
        <f>"000723"</f>
        <v>000723</v>
      </c>
      <c r="C2493" t="s">
        <v>5029</v>
      </c>
      <c r="D2493" t="s">
        <v>257</v>
      </c>
      <c r="F2493">
        <v>3009386921</v>
      </c>
      <c r="G2493">
        <v>-1399364468</v>
      </c>
      <c r="H2493">
        <v>1015921620</v>
      </c>
      <c r="I2493">
        <v>787164487</v>
      </c>
      <c r="J2493">
        <v>647666640</v>
      </c>
      <c r="K2493">
        <v>-593934558</v>
      </c>
      <c r="L2493">
        <v>832038986</v>
      </c>
      <c r="M2493">
        <v>-29757648</v>
      </c>
      <c r="N2493">
        <v>131769522</v>
      </c>
      <c r="O2493">
        <v>-66431934</v>
      </c>
      <c r="P2493">
        <v>673</v>
      </c>
      <c r="Q2493" t="s">
        <v>5030</v>
      </c>
    </row>
    <row r="2494" spans="1:17" x14ac:dyDescent="0.3">
      <c r="A2494" t="s">
        <v>4446</v>
      </c>
      <c r="B2494" t="str">
        <f>"000725"</f>
        <v>000725</v>
      </c>
      <c r="C2494" t="s">
        <v>5031</v>
      </c>
      <c r="D2494" t="s">
        <v>150</v>
      </c>
      <c r="F2494">
        <v>26669721522</v>
      </c>
      <c r="G2494">
        <v>-4785687040</v>
      </c>
      <c r="H2494">
        <v>-23312996110</v>
      </c>
      <c r="I2494">
        <v>-28737853148</v>
      </c>
      <c r="J2494">
        <v>-21468007935</v>
      </c>
      <c r="K2494">
        <v>-20415190262</v>
      </c>
      <c r="L2494">
        <v>-8087983236</v>
      </c>
      <c r="M2494">
        <v>-13165356665</v>
      </c>
      <c r="N2494">
        <v>-9355414992</v>
      </c>
      <c r="O2494">
        <v>-1079820023</v>
      </c>
      <c r="P2494">
        <v>4544</v>
      </c>
      <c r="Q2494" t="s">
        <v>5032</v>
      </c>
    </row>
    <row r="2495" spans="1:17" x14ac:dyDescent="0.3">
      <c r="A2495" t="s">
        <v>4446</v>
      </c>
      <c r="B2495" t="str">
        <f>"000726"</f>
        <v>000726</v>
      </c>
      <c r="C2495" t="s">
        <v>5033</v>
      </c>
      <c r="D2495" t="s">
        <v>227</v>
      </c>
      <c r="F2495">
        <v>-77808978</v>
      </c>
      <c r="G2495">
        <v>115939314</v>
      </c>
      <c r="H2495">
        <v>299409069</v>
      </c>
      <c r="I2495">
        <v>534030764</v>
      </c>
      <c r="J2495">
        <v>429566426</v>
      </c>
      <c r="K2495">
        <v>451771157</v>
      </c>
      <c r="L2495">
        <v>574246457</v>
      </c>
      <c r="M2495">
        <v>365438112</v>
      </c>
      <c r="N2495">
        <v>862917859</v>
      </c>
      <c r="O2495">
        <v>519252849</v>
      </c>
      <c r="P2495">
        <v>980</v>
      </c>
      <c r="Q2495" t="s">
        <v>5034</v>
      </c>
    </row>
    <row r="2496" spans="1:17" x14ac:dyDescent="0.3">
      <c r="A2496" t="s">
        <v>4446</v>
      </c>
      <c r="B2496" t="str">
        <f>"000727"</f>
        <v>000727</v>
      </c>
      <c r="C2496" t="s">
        <v>5035</v>
      </c>
      <c r="D2496" t="s">
        <v>150</v>
      </c>
      <c r="F2496">
        <v>-5925262952</v>
      </c>
      <c r="G2496">
        <v>4225783733</v>
      </c>
      <c r="H2496">
        <v>85798546</v>
      </c>
      <c r="I2496">
        <v>328942134</v>
      </c>
      <c r="J2496">
        <v>-994311469</v>
      </c>
      <c r="K2496">
        <v>-4780723068</v>
      </c>
      <c r="L2496">
        <v>-10611969020</v>
      </c>
      <c r="M2496">
        <v>-45971419</v>
      </c>
      <c r="N2496">
        <v>-26632838</v>
      </c>
      <c r="O2496">
        <v>90287358</v>
      </c>
      <c r="P2496">
        <v>197</v>
      </c>
      <c r="Q2496" t="s">
        <v>5036</v>
      </c>
    </row>
    <row r="2497" spans="1:17" x14ac:dyDescent="0.3">
      <c r="A2497" t="s">
        <v>4446</v>
      </c>
      <c r="B2497" t="str">
        <f>"000728"</f>
        <v>000728</v>
      </c>
      <c r="C2497" t="s">
        <v>5037</v>
      </c>
      <c r="D2497" t="s">
        <v>75</v>
      </c>
      <c r="F2497">
        <v>-1618153478</v>
      </c>
      <c r="G2497">
        <v>585973779</v>
      </c>
      <c r="H2497">
        <v>4728174461</v>
      </c>
      <c r="I2497">
        <v>-2533964998</v>
      </c>
      <c r="J2497">
        <v>-2161024246</v>
      </c>
      <c r="K2497">
        <v>-6551841909</v>
      </c>
      <c r="L2497">
        <v>959769709</v>
      </c>
      <c r="M2497">
        <v>8499908432</v>
      </c>
      <c r="N2497">
        <v>-7511553995</v>
      </c>
      <c r="O2497">
        <v>-2956036141</v>
      </c>
      <c r="P2497">
        <v>1900</v>
      </c>
      <c r="Q2497" t="s">
        <v>5038</v>
      </c>
    </row>
    <row r="2498" spans="1:17" x14ac:dyDescent="0.3">
      <c r="A2498" t="s">
        <v>4446</v>
      </c>
      <c r="B2498" t="str">
        <f>"000729"</f>
        <v>000729</v>
      </c>
      <c r="C2498" t="s">
        <v>5039</v>
      </c>
      <c r="D2498" t="s">
        <v>123</v>
      </c>
      <c r="F2498">
        <v>1231726628</v>
      </c>
      <c r="G2498">
        <v>1272118269</v>
      </c>
      <c r="H2498">
        <v>989354245</v>
      </c>
      <c r="I2498">
        <v>459832160</v>
      </c>
      <c r="J2498">
        <v>999366511</v>
      </c>
      <c r="K2498">
        <v>363284537</v>
      </c>
      <c r="L2498">
        <v>1127550941</v>
      </c>
      <c r="M2498">
        <v>321764715</v>
      </c>
      <c r="N2498">
        <v>1495669265</v>
      </c>
      <c r="O2498">
        <v>-382925437</v>
      </c>
      <c r="P2498">
        <v>607</v>
      </c>
      <c r="Q2498" t="s">
        <v>5040</v>
      </c>
    </row>
    <row r="2499" spans="1:17" x14ac:dyDescent="0.3">
      <c r="A2499" t="s">
        <v>4446</v>
      </c>
      <c r="B2499" t="str">
        <f>"000730"</f>
        <v>000730</v>
      </c>
      <c r="C2499" t="s">
        <v>5041</v>
      </c>
      <c r="K2499">
        <v>25325007.649999999</v>
      </c>
      <c r="L2499">
        <v>702616.97</v>
      </c>
      <c r="M2499">
        <v>791149.88</v>
      </c>
      <c r="O2499">
        <v>3363.28</v>
      </c>
      <c r="P2499">
        <v>4</v>
      </c>
      <c r="Q2499" t="s">
        <v>5042</v>
      </c>
    </row>
    <row r="2500" spans="1:17" x14ac:dyDescent="0.3">
      <c r="A2500" t="s">
        <v>4446</v>
      </c>
      <c r="B2500" t="str">
        <f>"000731"</f>
        <v>000731</v>
      </c>
      <c r="C2500" t="s">
        <v>5043</v>
      </c>
      <c r="D2500" t="s">
        <v>133</v>
      </c>
      <c r="F2500">
        <v>615257577</v>
      </c>
      <c r="G2500">
        <v>300195673</v>
      </c>
      <c r="H2500">
        <v>359379858</v>
      </c>
      <c r="I2500">
        <v>409200619</v>
      </c>
      <c r="J2500">
        <v>516033358</v>
      </c>
      <c r="K2500">
        <v>53940094</v>
      </c>
      <c r="L2500">
        <v>63172532</v>
      </c>
      <c r="M2500">
        <v>-460523592</v>
      </c>
      <c r="N2500">
        <v>-425644626</v>
      </c>
      <c r="O2500">
        <v>-128656370</v>
      </c>
      <c r="P2500">
        <v>126</v>
      </c>
      <c r="Q2500" t="s">
        <v>5044</v>
      </c>
    </row>
    <row r="2501" spans="1:17" x14ac:dyDescent="0.3">
      <c r="A2501" t="s">
        <v>4446</v>
      </c>
      <c r="B2501" t="str">
        <f>"000732"</f>
        <v>000732</v>
      </c>
      <c r="C2501" t="s">
        <v>5045</v>
      </c>
      <c r="D2501" t="s">
        <v>30</v>
      </c>
      <c r="F2501">
        <v>527884246</v>
      </c>
      <c r="G2501">
        <v>-3034493833</v>
      </c>
      <c r="H2501">
        <v>23927146286</v>
      </c>
      <c r="I2501">
        <v>13675452933</v>
      </c>
      <c r="J2501">
        <v>-13479354104</v>
      </c>
      <c r="K2501">
        <v>-10229700735</v>
      </c>
      <c r="L2501">
        <v>-2392964196</v>
      </c>
      <c r="M2501">
        <v>-16765240818</v>
      </c>
      <c r="N2501">
        <v>-11685848107</v>
      </c>
      <c r="O2501">
        <v>-1057550002</v>
      </c>
      <c r="P2501">
        <v>438</v>
      </c>
      <c r="Q2501" t="s">
        <v>5046</v>
      </c>
    </row>
    <row r="2502" spans="1:17" x14ac:dyDescent="0.3">
      <c r="A2502" t="s">
        <v>4446</v>
      </c>
      <c r="B2502" t="str">
        <f>"000733"</f>
        <v>000733</v>
      </c>
      <c r="C2502" t="s">
        <v>5047</v>
      </c>
      <c r="D2502" t="s">
        <v>92</v>
      </c>
      <c r="F2502">
        <v>862757220</v>
      </c>
      <c r="G2502">
        <v>-468587462</v>
      </c>
      <c r="H2502">
        <v>-69151469</v>
      </c>
      <c r="I2502">
        <v>72387104</v>
      </c>
      <c r="J2502">
        <v>-921772325</v>
      </c>
      <c r="K2502">
        <v>-194317821</v>
      </c>
      <c r="L2502">
        <v>-37474502</v>
      </c>
      <c r="M2502">
        <v>-269496812</v>
      </c>
      <c r="N2502">
        <v>-65581946</v>
      </c>
      <c r="O2502">
        <v>-107838448</v>
      </c>
      <c r="P2502">
        <v>490</v>
      </c>
      <c r="Q2502" t="s">
        <v>5048</v>
      </c>
    </row>
    <row r="2503" spans="1:17" x14ac:dyDescent="0.3">
      <c r="A2503" t="s">
        <v>4446</v>
      </c>
      <c r="B2503" t="str">
        <f>"000735"</f>
        <v>000735</v>
      </c>
      <c r="C2503" t="s">
        <v>5049</v>
      </c>
      <c r="D2503" t="s">
        <v>205</v>
      </c>
      <c r="F2503">
        <v>479042086</v>
      </c>
      <c r="G2503">
        <v>-1279430379</v>
      </c>
      <c r="H2503">
        <v>-193004811</v>
      </c>
      <c r="I2503">
        <v>-300338976</v>
      </c>
      <c r="J2503">
        <v>-263265796</v>
      </c>
      <c r="K2503">
        <v>-181044460</v>
      </c>
      <c r="L2503">
        <v>-233567934</v>
      </c>
      <c r="M2503">
        <v>-353533360</v>
      </c>
      <c r="N2503">
        <v>-127932240</v>
      </c>
      <c r="O2503">
        <v>-218645645</v>
      </c>
      <c r="P2503">
        <v>290</v>
      </c>
      <c r="Q2503" t="s">
        <v>5050</v>
      </c>
    </row>
    <row r="2504" spans="1:17" x14ac:dyDescent="0.3">
      <c r="A2504" t="s">
        <v>4446</v>
      </c>
      <c r="B2504" t="str">
        <f>"000736"</f>
        <v>000736</v>
      </c>
      <c r="C2504" t="s">
        <v>5051</v>
      </c>
      <c r="D2504" t="s">
        <v>30</v>
      </c>
      <c r="F2504">
        <v>-4525668567</v>
      </c>
      <c r="G2504">
        <v>-18766288381</v>
      </c>
      <c r="H2504">
        <v>-4636495709</v>
      </c>
      <c r="I2504">
        <v>5788419165</v>
      </c>
      <c r="J2504">
        <v>-3655561409</v>
      </c>
      <c r="K2504">
        <v>143392674</v>
      </c>
      <c r="L2504">
        <v>-588189096</v>
      </c>
      <c r="M2504">
        <v>-1387688467</v>
      </c>
      <c r="N2504">
        <v>-1591496453</v>
      </c>
      <c r="O2504">
        <v>295112996</v>
      </c>
      <c r="P2504">
        <v>189</v>
      </c>
      <c r="Q2504" t="s">
        <v>5052</v>
      </c>
    </row>
    <row r="2505" spans="1:17" x14ac:dyDescent="0.3">
      <c r="A2505" t="s">
        <v>4446</v>
      </c>
      <c r="B2505" t="str">
        <f>"000737"</f>
        <v>000737</v>
      </c>
      <c r="C2505" t="s">
        <v>5053</v>
      </c>
      <c r="D2505" t="s">
        <v>133</v>
      </c>
      <c r="F2505">
        <v>462777980</v>
      </c>
      <c r="G2505">
        <v>-14423884</v>
      </c>
      <c r="H2505">
        <v>7451717</v>
      </c>
      <c r="I2505">
        <v>-160360305</v>
      </c>
      <c r="J2505">
        <v>-167298849</v>
      </c>
      <c r="K2505">
        <v>32152332</v>
      </c>
      <c r="L2505">
        <v>271487229</v>
      </c>
      <c r="M2505">
        <v>83961018</v>
      </c>
      <c r="N2505">
        <v>-290486166</v>
      </c>
      <c r="O2505">
        <v>-82907194</v>
      </c>
      <c r="P2505">
        <v>83</v>
      </c>
      <c r="Q2505" t="s">
        <v>5054</v>
      </c>
    </row>
    <row r="2506" spans="1:17" x14ac:dyDescent="0.3">
      <c r="A2506" t="s">
        <v>4446</v>
      </c>
      <c r="B2506" t="str">
        <f>"000738"</f>
        <v>000738</v>
      </c>
      <c r="C2506" t="s">
        <v>5055</v>
      </c>
      <c r="D2506" t="s">
        <v>92</v>
      </c>
      <c r="F2506">
        <v>191587606</v>
      </c>
      <c r="G2506">
        <v>-10852911</v>
      </c>
      <c r="H2506">
        <v>575951451</v>
      </c>
      <c r="I2506">
        <v>-708187197</v>
      </c>
      <c r="J2506">
        <v>586187556</v>
      </c>
      <c r="K2506">
        <v>-13529411</v>
      </c>
      <c r="L2506">
        <v>288676840</v>
      </c>
      <c r="M2506">
        <v>-218390106</v>
      </c>
      <c r="N2506">
        <v>-180523779</v>
      </c>
      <c r="O2506">
        <v>-137319872</v>
      </c>
      <c r="P2506">
        <v>326</v>
      </c>
      <c r="Q2506" t="s">
        <v>5056</v>
      </c>
    </row>
    <row r="2507" spans="1:17" x14ac:dyDescent="0.3">
      <c r="A2507" t="s">
        <v>4446</v>
      </c>
      <c r="B2507" t="str">
        <f>"000739"</f>
        <v>000739</v>
      </c>
      <c r="C2507" t="s">
        <v>5057</v>
      </c>
      <c r="D2507" t="s">
        <v>113</v>
      </c>
      <c r="F2507">
        <v>-86300098</v>
      </c>
      <c r="G2507">
        <v>759091780</v>
      </c>
      <c r="H2507">
        <v>1334811994</v>
      </c>
      <c r="I2507">
        <v>752683568</v>
      </c>
      <c r="J2507">
        <v>129630481</v>
      </c>
      <c r="K2507">
        <v>-128924860</v>
      </c>
      <c r="L2507">
        <v>502234</v>
      </c>
      <c r="M2507">
        <v>281310657</v>
      </c>
      <c r="N2507">
        <v>-304630335</v>
      </c>
      <c r="O2507">
        <v>8693897</v>
      </c>
      <c r="P2507">
        <v>760</v>
      </c>
      <c r="Q2507" t="s">
        <v>5058</v>
      </c>
    </row>
    <row r="2508" spans="1:17" x14ac:dyDescent="0.3">
      <c r="A2508" t="s">
        <v>4446</v>
      </c>
      <c r="B2508" t="str">
        <f>"000748"</f>
        <v>000748</v>
      </c>
      <c r="C2508" t="s">
        <v>5059</v>
      </c>
      <c r="K2508">
        <v>253445076.02000001</v>
      </c>
      <c r="L2508">
        <v>281850215.33999997</v>
      </c>
      <c r="M2508">
        <v>-14815613.49</v>
      </c>
      <c r="N2508">
        <v>-382559283.02999997</v>
      </c>
      <c r="O2508">
        <v>-22410060.030000001</v>
      </c>
      <c r="P2508">
        <v>8</v>
      </c>
      <c r="Q2508" t="s">
        <v>5060</v>
      </c>
    </row>
    <row r="2509" spans="1:17" x14ac:dyDescent="0.3">
      <c r="A2509" t="s">
        <v>4446</v>
      </c>
      <c r="B2509" t="str">
        <f>"000750"</f>
        <v>000750</v>
      </c>
      <c r="C2509" t="s">
        <v>5061</v>
      </c>
      <c r="D2509" t="s">
        <v>75</v>
      </c>
      <c r="F2509">
        <v>809595587</v>
      </c>
      <c r="G2509">
        <v>-4309195726</v>
      </c>
      <c r="H2509">
        <v>3712819384</v>
      </c>
      <c r="I2509">
        <v>-1601401367</v>
      </c>
      <c r="J2509">
        <v>-5713938752</v>
      </c>
      <c r="K2509">
        <v>-5397783122</v>
      </c>
      <c r="L2509">
        <v>-6082453936</v>
      </c>
      <c r="M2509">
        <v>5407577583</v>
      </c>
      <c r="N2509">
        <v>-2989260493</v>
      </c>
      <c r="O2509">
        <v>468561191</v>
      </c>
      <c r="P2509">
        <v>1038</v>
      </c>
      <c r="Q2509" t="s">
        <v>5062</v>
      </c>
    </row>
    <row r="2510" spans="1:17" x14ac:dyDescent="0.3">
      <c r="A2510" t="s">
        <v>4446</v>
      </c>
      <c r="B2510" t="str">
        <f>"000751"</f>
        <v>000751</v>
      </c>
      <c r="C2510" t="s">
        <v>5063</v>
      </c>
      <c r="D2510" t="s">
        <v>234</v>
      </c>
      <c r="F2510">
        <v>107184003</v>
      </c>
      <c r="G2510">
        <v>5858625</v>
      </c>
      <c r="H2510">
        <v>838783801</v>
      </c>
      <c r="I2510">
        <v>-287699771</v>
      </c>
      <c r="J2510">
        <v>-47954380</v>
      </c>
      <c r="K2510">
        <v>-75401701</v>
      </c>
      <c r="L2510">
        <v>-17753610</v>
      </c>
      <c r="M2510">
        <v>-173073671</v>
      </c>
      <c r="N2510">
        <v>-328379980</v>
      </c>
      <c r="O2510">
        <v>-835472568</v>
      </c>
      <c r="P2510">
        <v>128</v>
      </c>
      <c r="Q2510" t="s">
        <v>5064</v>
      </c>
    </row>
    <row r="2511" spans="1:17" x14ac:dyDescent="0.3">
      <c r="A2511" t="s">
        <v>4446</v>
      </c>
      <c r="B2511" t="str">
        <f>"000752"</f>
        <v>000752</v>
      </c>
      <c r="C2511" t="s">
        <v>5065</v>
      </c>
      <c r="D2511" t="s">
        <v>123</v>
      </c>
      <c r="F2511">
        <v>36095080</v>
      </c>
      <c r="G2511">
        <v>-50425913</v>
      </c>
      <c r="H2511">
        <v>39108764</v>
      </c>
      <c r="I2511">
        <v>97667697</v>
      </c>
      <c r="J2511">
        <v>20449676</v>
      </c>
      <c r="K2511">
        <v>93915994</v>
      </c>
      <c r="L2511">
        <v>110453574</v>
      </c>
      <c r="M2511">
        <v>60971812</v>
      </c>
      <c r="N2511">
        <v>89250968</v>
      </c>
      <c r="O2511">
        <v>226558444</v>
      </c>
      <c r="P2511">
        <v>103</v>
      </c>
      <c r="Q2511" t="s">
        <v>5066</v>
      </c>
    </row>
    <row r="2512" spans="1:17" x14ac:dyDescent="0.3">
      <c r="A2512" t="s">
        <v>4446</v>
      </c>
      <c r="B2512" t="str">
        <f>"000753"</f>
        <v>000753</v>
      </c>
      <c r="C2512" t="s">
        <v>5067</v>
      </c>
      <c r="D2512" t="s">
        <v>103</v>
      </c>
      <c r="F2512">
        <v>-1190729601</v>
      </c>
      <c r="G2512">
        <v>-1102205529</v>
      </c>
      <c r="H2512">
        <v>133978090</v>
      </c>
      <c r="I2512">
        <v>-222260315</v>
      </c>
      <c r="J2512">
        <v>667027398</v>
      </c>
      <c r="K2512">
        <v>-135285604</v>
      </c>
      <c r="L2512">
        <v>-140917815</v>
      </c>
      <c r="M2512">
        <v>-539163633</v>
      </c>
      <c r="N2512">
        <v>14567696</v>
      </c>
      <c r="O2512">
        <v>-289294209</v>
      </c>
      <c r="P2512">
        <v>85</v>
      </c>
      <c r="Q2512" t="s">
        <v>5068</v>
      </c>
    </row>
    <row r="2513" spans="1:17" x14ac:dyDescent="0.3">
      <c r="A2513" t="s">
        <v>4446</v>
      </c>
      <c r="B2513" t="str">
        <f>"000755"</f>
        <v>000755</v>
      </c>
      <c r="C2513" t="s">
        <v>5069</v>
      </c>
      <c r="D2513" t="s">
        <v>22</v>
      </c>
      <c r="F2513">
        <v>1387693747</v>
      </c>
      <c r="G2513">
        <v>482293986</v>
      </c>
      <c r="H2513">
        <v>199379742</v>
      </c>
      <c r="I2513">
        <v>765597303</v>
      </c>
      <c r="J2513">
        <v>-85153959</v>
      </c>
      <c r="K2513">
        <v>49591636</v>
      </c>
      <c r="L2513">
        <v>-4788979</v>
      </c>
      <c r="M2513">
        <v>341114553</v>
      </c>
      <c r="N2513">
        <v>-474464079</v>
      </c>
      <c r="O2513">
        <v>-270752290</v>
      </c>
      <c r="P2513">
        <v>96</v>
      </c>
      <c r="Q2513" t="s">
        <v>5070</v>
      </c>
    </row>
    <row r="2514" spans="1:17" x14ac:dyDescent="0.3">
      <c r="A2514" t="s">
        <v>4446</v>
      </c>
      <c r="B2514" t="str">
        <f>"000756"</f>
        <v>000756</v>
      </c>
      <c r="C2514" t="s">
        <v>5071</v>
      </c>
      <c r="D2514" t="s">
        <v>113</v>
      </c>
      <c r="F2514">
        <v>12317904</v>
      </c>
      <c r="G2514">
        <v>143592835</v>
      </c>
      <c r="H2514">
        <v>-15415759</v>
      </c>
      <c r="I2514">
        <v>-34866636</v>
      </c>
      <c r="J2514">
        <v>182208379</v>
      </c>
      <c r="K2514">
        <v>218202564</v>
      </c>
      <c r="L2514">
        <v>212828783</v>
      </c>
      <c r="M2514">
        <v>88215652</v>
      </c>
      <c r="N2514">
        <v>-158636538</v>
      </c>
      <c r="O2514">
        <v>-347951934</v>
      </c>
      <c r="P2514">
        <v>218</v>
      </c>
      <c r="Q2514" t="s">
        <v>5072</v>
      </c>
    </row>
    <row r="2515" spans="1:17" x14ac:dyDescent="0.3">
      <c r="A2515" t="s">
        <v>4446</v>
      </c>
      <c r="B2515" t="str">
        <f>"000757"</f>
        <v>000757</v>
      </c>
      <c r="C2515" t="s">
        <v>5073</v>
      </c>
      <c r="D2515" t="s">
        <v>27</v>
      </c>
      <c r="F2515">
        <v>17546700</v>
      </c>
      <c r="G2515">
        <v>27447753</v>
      </c>
      <c r="H2515">
        <v>-72495198</v>
      </c>
      <c r="I2515">
        <v>-58973437</v>
      </c>
      <c r="J2515">
        <v>-98222922</v>
      </c>
      <c r="K2515">
        <v>-21504604</v>
      </c>
      <c r="L2515">
        <v>-29568589</v>
      </c>
      <c r="M2515">
        <v>-65386122</v>
      </c>
      <c r="N2515">
        <v>15517577</v>
      </c>
      <c r="O2515">
        <v>55811039</v>
      </c>
      <c r="P2515">
        <v>88</v>
      </c>
      <c r="Q2515" t="s">
        <v>5074</v>
      </c>
    </row>
    <row r="2516" spans="1:17" x14ac:dyDescent="0.3">
      <c r="A2516" t="s">
        <v>4446</v>
      </c>
      <c r="B2516" t="str">
        <f>"000758"</f>
        <v>000758</v>
      </c>
      <c r="C2516" t="s">
        <v>5075</v>
      </c>
      <c r="D2516" t="s">
        <v>234</v>
      </c>
      <c r="F2516">
        <v>2435450278</v>
      </c>
      <c r="G2516">
        <v>-524533168</v>
      </c>
      <c r="H2516">
        <v>546727081</v>
      </c>
      <c r="I2516">
        <v>2641685116</v>
      </c>
      <c r="J2516">
        <v>1721939652</v>
      </c>
      <c r="K2516">
        <v>-2190697925</v>
      </c>
      <c r="L2516">
        <v>1179014749</v>
      </c>
      <c r="M2516">
        <v>-156635908</v>
      </c>
      <c r="N2516">
        <v>-550503225</v>
      </c>
      <c r="O2516">
        <v>-1489179108</v>
      </c>
      <c r="P2516">
        <v>177</v>
      </c>
      <c r="Q2516" t="s">
        <v>5076</v>
      </c>
    </row>
    <row r="2517" spans="1:17" x14ac:dyDescent="0.3">
      <c r="A2517" t="s">
        <v>4446</v>
      </c>
      <c r="B2517" t="str">
        <f>"000759"</f>
        <v>000759</v>
      </c>
      <c r="C2517" t="s">
        <v>5077</v>
      </c>
      <c r="D2517" t="s">
        <v>120</v>
      </c>
      <c r="F2517">
        <v>473554604</v>
      </c>
      <c r="G2517">
        <v>377640403</v>
      </c>
      <c r="H2517">
        <v>91868350</v>
      </c>
      <c r="I2517">
        <v>854631310</v>
      </c>
      <c r="J2517">
        <v>394749487</v>
      </c>
      <c r="K2517">
        <v>702765496</v>
      </c>
      <c r="L2517">
        <v>-379050582</v>
      </c>
      <c r="M2517">
        <v>-487572414</v>
      </c>
      <c r="N2517">
        <v>-399954247</v>
      </c>
      <c r="O2517">
        <v>90263723</v>
      </c>
      <c r="P2517">
        <v>153</v>
      </c>
      <c r="Q2517" t="s">
        <v>5078</v>
      </c>
    </row>
    <row r="2518" spans="1:17" x14ac:dyDescent="0.3">
      <c r="A2518" t="s">
        <v>4446</v>
      </c>
      <c r="B2518" t="str">
        <f>"000760"</f>
        <v>000760</v>
      </c>
      <c r="C2518" t="s">
        <v>5079</v>
      </c>
      <c r="G2518">
        <v>-68832</v>
      </c>
      <c r="H2518">
        <v>5053054</v>
      </c>
      <c r="I2518">
        <v>-318703633</v>
      </c>
      <c r="J2518">
        <v>-514521366</v>
      </c>
      <c r="K2518">
        <v>-466197996</v>
      </c>
      <c r="L2518">
        <v>-512370209</v>
      </c>
      <c r="M2518">
        <v>-395975630</v>
      </c>
      <c r="N2518">
        <v>-72854402</v>
      </c>
      <c r="O2518">
        <v>-81265103</v>
      </c>
      <c r="P2518">
        <v>59</v>
      </c>
      <c r="Q2518" t="s">
        <v>5080</v>
      </c>
    </row>
    <row r="2519" spans="1:17" x14ac:dyDescent="0.3">
      <c r="A2519" t="s">
        <v>4446</v>
      </c>
      <c r="B2519" t="str">
        <f>"000761"</f>
        <v>000761</v>
      </c>
      <c r="C2519" t="s">
        <v>5081</v>
      </c>
      <c r="D2519" t="s">
        <v>38</v>
      </c>
      <c r="F2519">
        <v>-891500136</v>
      </c>
      <c r="G2519">
        <v>-3052743601</v>
      </c>
      <c r="H2519">
        <v>2432078119</v>
      </c>
      <c r="I2519">
        <v>3030948993</v>
      </c>
      <c r="J2519">
        <v>2166280878</v>
      </c>
      <c r="K2519">
        <v>7220988576</v>
      </c>
      <c r="L2519">
        <v>-5755998005</v>
      </c>
      <c r="M2519">
        <v>2230020644</v>
      </c>
      <c r="N2519">
        <v>1545608403</v>
      </c>
      <c r="O2519">
        <v>-990729602</v>
      </c>
      <c r="P2519">
        <v>237</v>
      </c>
      <c r="Q2519" t="s">
        <v>5082</v>
      </c>
    </row>
    <row r="2520" spans="1:17" x14ac:dyDescent="0.3">
      <c r="A2520" t="s">
        <v>4446</v>
      </c>
      <c r="B2520" t="str">
        <f>"000762"</f>
        <v>000762</v>
      </c>
      <c r="C2520" t="s">
        <v>5083</v>
      </c>
      <c r="D2520" t="s">
        <v>234</v>
      </c>
      <c r="F2520">
        <v>4984554</v>
      </c>
      <c r="G2520">
        <v>13137587</v>
      </c>
      <c r="H2520">
        <v>4923741</v>
      </c>
      <c r="I2520">
        <v>-102876612</v>
      </c>
      <c r="J2520">
        <v>-129497919</v>
      </c>
      <c r="K2520">
        <v>182569269</v>
      </c>
      <c r="L2520">
        <v>293649136</v>
      </c>
      <c r="M2520">
        <v>-187004537</v>
      </c>
      <c r="N2520">
        <v>-245111986</v>
      </c>
      <c r="O2520">
        <v>-110462867</v>
      </c>
      <c r="P2520">
        <v>257</v>
      </c>
      <c r="Q2520" t="s">
        <v>5084</v>
      </c>
    </row>
    <row r="2521" spans="1:17" x14ac:dyDescent="0.3">
      <c r="A2521" t="s">
        <v>4446</v>
      </c>
      <c r="B2521" t="str">
        <f>"000765"</f>
        <v>000765</v>
      </c>
      <c r="C2521" t="s">
        <v>5085</v>
      </c>
      <c r="K2521">
        <v>-31859055.609999999</v>
      </c>
      <c r="L2521">
        <v>-6452404.3499999996</v>
      </c>
      <c r="M2521">
        <v>34652242.5</v>
      </c>
      <c r="N2521">
        <v>-114980.61</v>
      </c>
      <c r="O2521">
        <v>402188.1</v>
      </c>
      <c r="P2521">
        <v>4</v>
      </c>
      <c r="Q2521" t="s">
        <v>5086</v>
      </c>
    </row>
    <row r="2522" spans="1:17" x14ac:dyDescent="0.3">
      <c r="A2522" t="s">
        <v>4446</v>
      </c>
      <c r="B2522" t="str">
        <f>"000766"</f>
        <v>000766</v>
      </c>
      <c r="C2522" t="s">
        <v>5087</v>
      </c>
      <c r="D2522" t="s">
        <v>113</v>
      </c>
      <c r="F2522">
        <v>113860525</v>
      </c>
      <c r="G2522">
        <v>91825540</v>
      </c>
      <c r="H2522">
        <v>84902473</v>
      </c>
      <c r="I2522">
        <v>246954677</v>
      </c>
      <c r="J2522">
        <v>-89427632</v>
      </c>
      <c r="K2522">
        <v>-76697317</v>
      </c>
      <c r="L2522">
        <v>-188905981</v>
      </c>
      <c r="M2522">
        <v>-149060171</v>
      </c>
      <c r="N2522">
        <v>-54535368</v>
      </c>
      <c r="O2522">
        <v>-25857862</v>
      </c>
      <c r="P2522">
        <v>146</v>
      </c>
      <c r="Q2522" t="s">
        <v>5088</v>
      </c>
    </row>
    <row r="2523" spans="1:17" x14ac:dyDescent="0.3">
      <c r="A2523" t="s">
        <v>4446</v>
      </c>
      <c r="B2523" t="str">
        <f>"000767"</f>
        <v>000767</v>
      </c>
      <c r="C2523" t="s">
        <v>5089</v>
      </c>
      <c r="D2523" t="s">
        <v>41</v>
      </c>
      <c r="F2523">
        <v>577289393</v>
      </c>
      <c r="G2523">
        <v>-504460800</v>
      </c>
      <c r="H2523">
        <v>-955968931</v>
      </c>
      <c r="I2523">
        <v>-11515528</v>
      </c>
      <c r="J2523">
        <v>-4090993116</v>
      </c>
      <c r="K2523">
        <v>-5139172384</v>
      </c>
      <c r="L2523">
        <v>-228376135</v>
      </c>
      <c r="M2523">
        <v>145427909</v>
      </c>
      <c r="N2523">
        <v>177601412</v>
      </c>
      <c r="O2523">
        <v>352475397</v>
      </c>
      <c r="P2523">
        <v>173</v>
      </c>
      <c r="Q2523" t="s">
        <v>5090</v>
      </c>
    </row>
    <row r="2524" spans="1:17" x14ac:dyDescent="0.3">
      <c r="A2524" t="s">
        <v>4446</v>
      </c>
      <c r="B2524" t="str">
        <f>"000768"</f>
        <v>000768</v>
      </c>
      <c r="C2524" t="s">
        <v>5091</v>
      </c>
      <c r="D2524" t="s">
        <v>92</v>
      </c>
      <c r="F2524">
        <v>-15599120234</v>
      </c>
      <c r="G2524">
        <v>1713172022</v>
      </c>
      <c r="H2524">
        <v>-151271433</v>
      </c>
      <c r="I2524">
        <v>642445436</v>
      </c>
      <c r="J2524">
        <v>138059979</v>
      </c>
      <c r="K2524">
        <v>781691701</v>
      </c>
      <c r="L2524">
        <v>558312672</v>
      </c>
      <c r="M2524">
        <v>-2014900253</v>
      </c>
      <c r="N2524">
        <v>1114932325</v>
      </c>
      <c r="O2524">
        <v>-1355080266</v>
      </c>
      <c r="P2524">
        <v>662</v>
      </c>
      <c r="Q2524" t="s">
        <v>5092</v>
      </c>
    </row>
    <row r="2525" spans="1:17" x14ac:dyDescent="0.3">
      <c r="A2525" t="s">
        <v>4446</v>
      </c>
      <c r="B2525" t="str">
        <f>"000769"</f>
        <v>000769</v>
      </c>
      <c r="C2525" t="s">
        <v>5093</v>
      </c>
      <c r="K2525">
        <v>30429.31</v>
      </c>
      <c r="L2525">
        <v>63785</v>
      </c>
      <c r="P2525">
        <v>3</v>
      </c>
      <c r="Q2525" t="s">
        <v>5094</v>
      </c>
    </row>
    <row r="2526" spans="1:17" x14ac:dyDescent="0.3">
      <c r="A2526" t="s">
        <v>4446</v>
      </c>
      <c r="B2526" t="str">
        <f>"000776"</f>
        <v>000776</v>
      </c>
      <c r="C2526" t="s">
        <v>5095</v>
      </c>
      <c r="D2526" t="s">
        <v>75</v>
      </c>
      <c r="F2526">
        <v>-27987665301</v>
      </c>
      <c r="G2526">
        <v>16826538845</v>
      </c>
      <c r="H2526">
        <v>39821678015</v>
      </c>
      <c r="I2526">
        <v>32594986975</v>
      </c>
      <c r="J2526">
        <v>-39181137082</v>
      </c>
      <c r="K2526">
        <v>-21541665945</v>
      </c>
      <c r="L2526">
        <v>37758140721</v>
      </c>
      <c r="M2526">
        <v>25182217562</v>
      </c>
      <c r="N2526">
        <v>-8926887839</v>
      </c>
      <c r="O2526">
        <v>-7303584673</v>
      </c>
      <c r="P2526">
        <v>3522</v>
      </c>
      <c r="Q2526" t="s">
        <v>5096</v>
      </c>
    </row>
    <row r="2527" spans="1:17" x14ac:dyDescent="0.3">
      <c r="A2527" t="s">
        <v>4446</v>
      </c>
      <c r="B2527" t="str">
        <f>"000777"</f>
        <v>000777</v>
      </c>
      <c r="C2527" t="s">
        <v>5097</v>
      </c>
      <c r="D2527" t="s">
        <v>78</v>
      </c>
      <c r="F2527">
        <v>126805245</v>
      </c>
      <c r="G2527">
        <v>-35997624</v>
      </c>
      <c r="H2527">
        <v>-95592003</v>
      </c>
      <c r="I2527">
        <v>38718719</v>
      </c>
      <c r="J2527">
        <v>-86641784</v>
      </c>
      <c r="K2527">
        <v>-2817111</v>
      </c>
      <c r="L2527">
        <v>59531272</v>
      </c>
      <c r="M2527">
        <v>-32653941</v>
      </c>
      <c r="N2527">
        <v>109101177</v>
      </c>
      <c r="O2527">
        <v>-178368903</v>
      </c>
      <c r="P2527">
        <v>131</v>
      </c>
      <c r="Q2527" t="s">
        <v>5098</v>
      </c>
    </row>
    <row r="2528" spans="1:17" x14ac:dyDescent="0.3">
      <c r="A2528" t="s">
        <v>4446</v>
      </c>
      <c r="B2528" t="str">
        <f>"000778"</f>
        <v>000778</v>
      </c>
      <c r="C2528" t="s">
        <v>5099</v>
      </c>
      <c r="D2528" t="s">
        <v>38</v>
      </c>
      <c r="F2528">
        <v>76288068</v>
      </c>
      <c r="G2528">
        <v>2264278434</v>
      </c>
      <c r="H2528">
        <v>190022421</v>
      </c>
      <c r="I2528">
        <v>1914113729</v>
      </c>
      <c r="J2528">
        <v>2079186177</v>
      </c>
      <c r="K2528">
        <v>-816290739</v>
      </c>
      <c r="L2528">
        <v>909004744</v>
      </c>
      <c r="M2528">
        <v>303316188</v>
      </c>
      <c r="N2528">
        <v>-2762603854</v>
      </c>
      <c r="O2528">
        <v>-1935704256</v>
      </c>
      <c r="P2528">
        <v>676</v>
      </c>
      <c r="Q2528" t="s">
        <v>5100</v>
      </c>
    </row>
    <row r="2529" spans="1:17" x14ac:dyDescent="0.3">
      <c r="A2529" t="s">
        <v>4446</v>
      </c>
      <c r="B2529" t="str">
        <f>"000779"</f>
        <v>000779</v>
      </c>
      <c r="C2529" t="s">
        <v>5101</v>
      </c>
      <c r="D2529" t="s">
        <v>95</v>
      </c>
      <c r="F2529">
        <v>-150801763</v>
      </c>
      <c r="G2529">
        <v>180932023</v>
      </c>
      <c r="H2529">
        <v>112808801</v>
      </c>
      <c r="I2529">
        <v>74046861</v>
      </c>
      <c r="J2529">
        <v>144580044</v>
      </c>
      <c r="K2529">
        <v>85145098</v>
      </c>
      <c r="L2529">
        <v>-45078481</v>
      </c>
      <c r="M2529">
        <v>-284471772</v>
      </c>
      <c r="N2529">
        <v>-35337837</v>
      </c>
      <c r="O2529">
        <v>-2494063</v>
      </c>
      <c r="P2529">
        <v>165</v>
      </c>
      <c r="Q2529" t="s">
        <v>5102</v>
      </c>
    </row>
    <row r="2530" spans="1:17" x14ac:dyDescent="0.3">
      <c r="A2530" t="s">
        <v>4446</v>
      </c>
      <c r="B2530" t="str">
        <f>"000780"</f>
        <v>000780</v>
      </c>
      <c r="C2530" t="s">
        <v>5103</v>
      </c>
      <c r="D2530" t="s">
        <v>257</v>
      </c>
      <c r="G2530">
        <v>-398701484</v>
      </c>
      <c r="H2530">
        <v>-409022523</v>
      </c>
      <c r="I2530">
        <v>-419419676</v>
      </c>
      <c r="J2530">
        <v>1159973185</v>
      </c>
      <c r="K2530">
        <v>233667660</v>
      </c>
      <c r="L2530">
        <v>317100111</v>
      </c>
      <c r="M2530">
        <v>172993719</v>
      </c>
      <c r="N2530">
        <v>-426641397</v>
      </c>
      <c r="O2530">
        <v>-430926318</v>
      </c>
      <c r="P2530">
        <v>99</v>
      </c>
      <c r="Q2530" t="s">
        <v>5104</v>
      </c>
    </row>
    <row r="2531" spans="1:17" x14ac:dyDescent="0.3">
      <c r="A2531" t="s">
        <v>4446</v>
      </c>
      <c r="B2531" t="str">
        <f>"000782"</f>
        <v>000782</v>
      </c>
      <c r="C2531" t="s">
        <v>5105</v>
      </c>
      <c r="D2531" t="s">
        <v>133</v>
      </c>
      <c r="F2531">
        <v>12745207</v>
      </c>
      <c r="G2531">
        <v>-250767164</v>
      </c>
      <c r="H2531">
        <v>138535325</v>
      </c>
      <c r="I2531">
        <v>195603919</v>
      </c>
      <c r="J2531">
        <v>-290006297</v>
      </c>
      <c r="K2531">
        <v>316212233</v>
      </c>
      <c r="L2531">
        <v>-147718450</v>
      </c>
      <c r="M2531">
        <v>20846240</v>
      </c>
      <c r="N2531">
        <v>-308868627</v>
      </c>
      <c r="O2531">
        <v>110921390</v>
      </c>
      <c r="P2531">
        <v>64</v>
      </c>
      <c r="Q2531" t="s">
        <v>5106</v>
      </c>
    </row>
    <row r="2532" spans="1:17" x14ac:dyDescent="0.3">
      <c r="A2532" t="s">
        <v>4446</v>
      </c>
      <c r="B2532" t="str">
        <f>"000783"</f>
        <v>000783</v>
      </c>
      <c r="C2532" t="s">
        <v>5107</v>
      </c>
      <c r="D2532" t="s">
        <v>75</v>
      </c>
      <c r="F2532">
        <v>7858501573</v>
      </c>
      <c r="G2532">
        <v>-4665499118</v>
      </c>
      <c r="H2532">
        <v>2543101585</v>
      </c>
      <c r="I2532">
        <v>11390968089</v>
      </c>
      <c r="J2532">
        <v>-17903430068</v>
      </c>
      <c r="K2532">
        <v>-13908502165</v>
      </c>
      <c r="L2532">
        <v>1113789963</v>
      </c>
      <c r="M2532">
        <v>10818908126</v>
      </c>
      <c r="N2532">
        <v>-2453829581</v>
      </c>
      <c r="O2532">
        <v>-1895702734</v>
      </c>
      <c r="P2532">
        <v>1208</v>
      </c>
      <c r="Q2532" t="s">
        <v>5108</v>
      </c>
    </row>
    <row r="2533" spans="1:17" x14ac:dyDescent="0.3">
      <c r="A2533" t="s">
        <v>4446</v>
      </c>
      <c r="B2533" t="str">
        <f>"000785"</f>
        <v>000785</v>
      </c>
      <c r="C2533" t="s">
        <v>5109</v>
      </c>
      <c r="D2533" t="s">
        <v>120</v>
      </c>
      <c r="F2533">
        <v>4371357750</v>
      </c>
      <c r="G2533">
        <v>577173583</v>
      </c>
      <c r="H2533">
        <v>171526440</v>
      </c>
      <c r="I2533">
        <v>228306463</v>
      </c>
      <c r="J2533">
        <v>478763344</v>
      </c>
      <c r="K2533">
        <v>384256666</v>
      </c>
      <c r="L2533">
        <v>18334614</v>
      </c>
      <c r="M2533">
        <v>-91355005</v>
      </c>
      <c r="N2533">
        <v>-39624960</v>
      </c>
      <c r="O2533">
        <v>188934869</v>
      </c>
      <c r="P2533">
        <v>333</v>
      </c>
      <c r="Q2533" t="s">
        <v>5110</v>
      </c>
    </row>
    <row r="2534" spans="1:17" x14ac:dyDescent="0.3">
      <c r="A2534" t="s">
        <v>4446</v>
      </c>
      <c r="B2534" t="str">
        <f>"000786"</f>
        <v>000786</v>
      </c>
      <c r="C2534" t="s">
        <v>5111</v>
      </c>
      <c r="D2534" t="s">
        <v>350</v>
      </c>
      <c r="F2534">
        <v>2207041670</v>
      </c>
      <c r="G2534">
        <v>484300215</v>
      </c>
      <c r="H2534">
        <v>-123889268</v>
      </c>
      <c r="I2534">
        <v>1225590632</v>
      </c>
      <c r="J2534">
        <v>1768097029</v>
      </c>
      <c r="K2534">
        <v>1096445869</v>
      </c>
      <c r="L2534">
        <v>1073278780</v>
      </c>
      <c r="M2534">
        <v>385322578</v>
      </c>
      <c r="N2534">
        <v>513698616</v>
      </c>
      <c r="O2534">
        <v>-10378033</v>
      </c>
      <c r="P2534">
        <v>2488</v>
      </c>
      <c r="Q2534" t="s">
        <v>5112</v>
      </c>
    </row>
    <row r="2535" spans="1:17" x14ac:dyDescent="0.3">
      <c r="A2535" t="s">
        <v>4446</v>
      </c>
      <c r="B2535" t="str">
        <f>"000787"</f>
        <v>000787</v>
      </c>
      <c r="C2535" t="s">
        <v>5113</v>
      </c>
      <c r="K2535">
        <v>-579765736.08000004</v>
      </c>
      <c r="L2535">
        <v>186092557.27000001</v>
      </c>
      <c r="M2535">
        <v>109935308.88</v>
      </c>
      <c r="N2535">
        <v>-1547473.33</v>
      </c>
      <c r="O2535">
        <v>22039646.359999999</v>
      </c>
      <c r="P2535">
        <v>3</v>
      </c>
      <c r="Q2535" t="s">
        <v>5114</v>
      </c>
    </row>
    <row r="2536" spans="1:17" x14ac:dyDescent="0.3">
      <c r="A2536" t="s">
        <v>4446</v>
      </c>
      <c r="B2536" t="str">
        <f>"000788"</f>
        <v>000788</v>
      </c>
      <c r="C2536" t="s">
        <v>5115</v>
      </c>
      <c r="D2536" t="s">
        <v>113</v>
      </c>
      <c r="F2536">
        <v>13742267</v>
      </c>
      <c r="G2536">
        <v>-126229439</v>
      </c>
      <c r="H2536">
        <v>-46552825</v>
      </c>
      <c r="I2536">
        <v>167459274</v>
      </c>
      <c r="J2536">
        <v>-37391999</v>
      </c>
      <c r="K2536">
        <v>-139235756</v>
      </c>
      <c r="L2536">
        <v>257783098</v>
      </c>
      <c r="M2536">
        <v>-51117490</v>
      </c>
      <c r="N2536">
        <v>-189754031</v>
      </c>
      <c r="O2536">
        <v>-285894299</v>
      </c>
      <c r="P2536">
        <v>137</v>
      </c>
      <c r="Q2536" t="s">
        <v>5116</v>
      </c>
    </row>
    <row r="2537" spans="1:17" x14ac:dyDescent="0.3">
      <c r="A2537" t="s">
        <v>4446</v>
      </c>
      <c r="B2537" t="str">
        <f>"000789"</f>
        <v>000789</v>
      </c>
      <c r="C2537" t="s">
        <v>5117</v>
      </c>
      <c r="D2537" t="s">
        <v>350</v>
      </c>
      <c r="F2537">
        <v>713904219</v>
      </c>
      <c r="G2537">
        <v>738143828</v>
      </c>
      <c r="H2537">
        <v>1474687491</v>
      </c>
      <c r="I2537">
        <v>2190773323</v>
      </c>
      <c r="J2537">
        <v>1486465561</v>
      </c>
      <c r="K2537">
        <v>760467625</v>
      </c>
      <c r="L2537">
        <v>545824031</v>
      </c>
      <c r="M2537">
        <v>545774188</v>
      </c>
      <c r="N2537">
        <v>573459898</v>
      </c>
      <c r="O2537">
        <v>309289483</v>
      </c>
      <c r="P2537">
        <v>1140</v>
      </c>
      <c r="Q2537" t="s">
        <v>5118</v>
      </c>
    </row>
    <row r="2538" spans="1:17" x14ac:dyDescent="0.3">
      <c r="A2538" t="s">
        <v>4446</v>
      </c>
      <c r="B2538" t="str">
        <f>"000790"</f>
        <v>000790</v>
      </c>
      <c r="C2538" t="s">
        <v>5119</v>
      </c>
      <c r="D2538" t="s">
        <v>113</v>
      </c>
      <c r="F2538">
        <v>-162552694</v>
      </c>
      <c r="G2538">
        <v>11928680</v>
      </c>
      <c r="H2538">
        <v>63612210</v>
      </c>
      <c r="I2538">
        <v>96670004</v>
      </c>
      <c r="J2538">
        <v>268112100</v>
      </c>
      <c r="K2538">
        <v>97590719</v>
      </c>
      <c r="L2538">
        <v>3550458</v>
      </c>
      <c r="M2538">
        <v>7421469</v>
      </c>
      <c r="N2538">
        <v>-10804825</v>
      </c>
      <c r="O2538">
        <v>-91877749</v>
      </c>
      <c r="P2538">
        <v>175</v>
      </c>
      <c r="Q2538" t="s">
        <v>5120</v>
      </c>
    </row>
    <row r="2539" spans="1:17" x14ac:dyDescent="0.3">
      <c r="A2539" t="s">
        <v>4446</v>
      </c>
      <c r="B2539" t="str">
        <f>"000791"</f>
        <v>000791</v>
      </c>
      <c r="C2539" t="s">
        <v>5121</v>
      </c>
      <c r="D2539" t="s">
        <v>41</v>
      </c>
      <c r="F2539">
        <v>1068017608</v>
      </c>
      <c r="G2539">
        <v>1435973019</v>
      </c>
      <c r="H2539">
        <v>1271983733</v>
      </c>
      <c r="I2539">
        <v>1050704010</v>
      </c>
      <c r="J2539">
        <v>993795740</v>
      </c>
      <c r="K2539">
        <v>600003732</v>
      </c>
      <c r="L2539">
        <v>582469587</v>
      </c>
      <c r="M2539">
        <v>281015064</v>
      </c>
      <c r="N2539">
        <v>588205552</v>
      </c>
      <c r="O2539">
        <v>300252856</v>
      </c>
      <c r="P2539">
        <v>219</v>
      </c>
      <c r="Q2539" t="s">
        <v>5122</v>
      </c>
    </row>
    <row r="2540" spans="1:17" x14ac:dyDescent="0.3">
      <c r="A2540" t="s">
        <v>4446</v>
      </c>
      <c r="B2540" t="str">
        <f>"000792"</f>
        <v>000792</v>
      </c>
      <c r="C2540" t="s">
        <v>5123</v>
      </c>
      <c r="D2540" t="s">
        <v>133</v>
      </c>
      <c r="F2540">
        <v>3963264066</v>
      </c>
      <c r="G2540">
        <v>1710523739</v>
      </c>
      <c r="H2540">
        <v>2315959614</v>
      </c>
      <c r="I2540">
        <v>6376296064</v>
      </c>
      <c r="J2540">
        <v>-926114678</v>
      </c>
      <c r="K2540">
        <v>-1291869738</v>
      </c>
      <c r="L2540">
        <v>-4366193566</v>
      </c>
      <c r="M2540">
        <v>-6142452355</v>
      </c>
      <c r="N2540">
        <v>-9414091390</v>
      </c>
      <c r="O2540">
        <v>-7852156610</v>
      </c>
      <c r="P2540">
        <v>422</v>
      </c>
      <c r="Q2540" t="s">
        <v>5124</v>
      </c>
    </row>
    <row r="2541" spans="1:17" x14ac:dyDescent="0.3">
      <c r="A2541" t="s">
        <v>4446</v>
      </c>
      <c r="B2541" t="str">
        <f>"000793"</f>
        <v>000793</v>
      </c>
      <c r="C2541" t="s">
        <v>5125</v>
      </c>
      <c r="D2541" t="s">
        <v>89</v>
      </c>
      <c r="F2541">
        <v>-173698544</v>
      </c>
      <c r="G2541">
        <v>-2049066</v>
      </c>
      <c r="H2541">
        <v>-474607296</v>
      </c>
      <c r="I2541">
        <v>-1217657668</v>
      </c>
      <c r="J2541">
        <v>531867589</v>
      </c>
      <c r="K2541">
        <v>518034728</v>
      </c>
      <c r="L2541">
        <v>598687656</v>
      </c>
      <c r="M2541">
        <v>661471835</v>
      </c>
      <c r="N2541">
        <v>825692892</v>
      </c>
      <c r="O2541">
        <v>-117702396</v>
      </c>
      <c r="P2541">
        <v>141</v>
      </c>
      <c r="Q2541" t="s">
        <v>5126</v>
      </c>
    </row>
    <row r="2542" spans="1:17" x14ac:dyDescent="0.3">
      <c r="A2542" t="s">
        <v>4446</v>
      </c>
      <c r="B2542" t="str">
        <f>"000795"</f>
        <v>000795</v>
      </c>
      <c r="C2542" t="s">
        <v>5127</v>
      </c>
      <c r="D2542" t="s">
        <v>234</v>
      </c>
      <c r="F2542">
        <v>-260473717</v>
      </c>
      <c r="G2542">
        <v>19143889</v>
      </c>
      <c r="H2542">
        <v>119674367</v>
      </c>
      <c r="I2542">
        <v>-59736272</v>
      </c>
      <c r="J2542">
        <v>14878927</v>
      </c>
      <c r="K2542">
        <v>104318022</v>
      </c>
      <c r="L2542">
        <v>-150205427</v>
      </c>
      <c r="M2542">
        <v>90598394</v>
      </c>
      <c r="N2542">
        <v>-198799255</v>
      </c>
      <c r="O2542">
        <v>20528058</v>
      </c>
      <c r="P2542">
        <v>145</v>
      </c>
      <c r="Q2542" t="s">
        <v>5128</v>
      </c>
    </row>
    <row r="2543" spans="1:17" x14ac:dyDescent="0.3">
      <c r="A2543" t="s">
        <v>4446</v>
      </c>
      <c r="B2543" t="str">
        <f>"000796"</f>
        <v>000796</v>
      </c>
      <c r="C2543" t="s">
        <v>5129</v>
      </c>
      <c r="D2543" t="s">
        <v>110</v>
      </c>
      <c r="F2543">
        <v>-65267396</v>
      </c>
      <c r="G2543">
        <v>289296434</v>
      </c>
      <c r="H2543">
        <v>-481659989</v>
      </c>
      <c r="I2543">
        <v>164330238</v>
      </c>
      <c r="J2543">
        <v>371831667</v>
      </c>
      <c r="K2543">
        <v>230668955</v>
      </c>
      <c r="L2543">
        <v>205879456</v>
      </c>
      <c r="M2543">
        <v>135107356</v>
      </c>
      <c r="N2543">
        <v>56087413</v>
      </c>
      <c r="O2543">
        <v>62336308</v>
      </c>
      <c r="P2543">
        <v>224</v>
      </c>
      <c r="Q2543" t="s">
        <v>5130</v>
      </c>
    </row>
    <row r="2544" spans="1:17" x14ac:dyDescent="0.3">
      <c r="A2544" t="s">
        <v>4446</v>
      </c>
      <c r="B2544" t="str">
        <f>"000797"</f>
        <v>000797</v>
      </c>
      <c r="C2544" t="s">
        <v>5131</v>
      </c>
      <c r="D2544" t="s">
        <v>30</v>
      </c>
      <c r="F2544">
        <v>589638626</v>
      </c>
      <c r="G2544">
        <v>1471799598</v>
      </c>
      <c r="H2544">
        <v>-1672917822</v>
      </c>
      <c r="I2544">
        <v>-1519555558</v>
      </c>
      <c r="J2544">
        <v>-2179903479</v>
      </c>
      <c r="K2544">
        <v>1192769983</v>
      </c>
      <c r="L2544">
        <v>-647320381</v>
      </c>
      <c r="M2544">
        <v>-169398434</v>
      </c>
      <c r="N2544">
        <v>-1079769661</v>
      </c>
      <c r="O2544">
        <v>300422549</v>
      </c>
      <c r="P2544">
        <v>121</v>
      </c>
      <c r="Q2544" t="s">
        <v>5132</v>
      </c>
    </row>
    <row r="2545" spans="1:17" x14ac:dyDescent="0.3">
      <c r="A2545" t="s">
        <v>4446</v>
      </c>
      <c r="B2545" t="str">
        <f>"000798"</f>
        <v>000798</v>
      </c>
      <c r="C2545" t="s">
        <v>5133</v>
      </c>
      <c r="D2545" t="s">
        <v>205</v>
      </c>
      <c r="F2545">
        <v>70551779</v>
      </c>
      <c r="G2545">
        <v>-186090591</v>
      </c>
      <c r="H2545">
        <v>-82936570</v>
      </c>
      <c r="I2545">
        <v>-33123563</v>
      </c>
      <c r="J2545">
        <v>132589460</v>
      </c>
      <c r="K2545">
        <v>25301261</v>
      </c>
      <c r="L2545">
        <v>26674862</v>
      </c>
      <c r="M2545">
        <v>-62303052</v>
      </c>
      <c r="N2545">
        <v>69008056</v>
      </c>
      <c r="O2545">
        <v>-38646945</v>
      </c>
      <c r="P2545">
        <v>83</v>
      </c>
      <c r="Q2545" t="s">
        <v>5134</v>
      </c>
    </row>
    <row r="2546" spans="1:17" x14ac:dyDescent="0.3">
      <c r="A2546" t="s">
        <v>4446</v>
      </c>
      <c r="B2546" t="str">
        <f>"000799"</f>
        <v>000799</v>
      </c>
      <c r="C2546" t="s">
        <v>5135</v>
      </c>
      <c r="D2546" t="s">
        <v>123</v>
      </c>
      <c r="F2546">
        <v>1424436362</v>
      </c>
      <c r="G2546">
        <v>900630557</v>
      </c>
      <c r="H2546">
        <v>346550816</v>
      </c>
      <c r="I2546">
        <v>91857832</v>
      </c>
      <c r="J2546">
        <v>216768282</v>
      </c>
      <c r="K2546">
        <v>164846524</v>
      </c>
      <c r="L2546">
        <v>179905057</v>
      </c>
      <c r="M2546">
        <v>-155173888</v>
      </c>
      <c r="N2546">
        <v>-602092369</v>
      </c>
      <c r="O2546">
        <v>133394424</v>
      </c>
      <c r="P2546">
        <v>1661</v>
      </c>
      <c r="Q2546" t="s">
        <v>5136</v>
      </c>
    </row>
    <row r="2547" spans="1:17" x14ac:dyDescent="0.3">
      <c r="A2547" t="s">
        <v>4446</v>
      </c>
      <c r="B2547" t="str">
        <f>"000800"</f>
        <v>000800</v>
      </c>
      <c r="C2547" t="s">
        <v>5137</v>
      </c>
      <c r="D2547" t="s">
        <v>27</v>
      </c>
      <c r="F2547">
        <v>12717063470</v>
      </c>
      <c r="G2547">
        <v>-2662486622</v>
      </c>
      <c r="H2547">
        <v>1415158559</v>
      </c>
      <c r="I2547">
        <v>-261818896</v>
      </c>
      <c r="J2547">
        <v>2097537682</v>
      </c>
      <c r="K2547">
        <v>391637089</v>
      </c>
      <c r="L2547">
        <v>191769870</v>
      </c>
      <c r="M2547">
        <v>-556624038</v>
      </c>
      <c r="N2547">
        <v>-18947977</v>
      </c>
      <c r="O2547">
        <v>-1068075286</v>
      </c>
      <c r="P2547">
        <v>446</v>
      </c>
      <c r="Q2547" t="s">
        <v>5138</v>
      </c>
    </row>
    <row r="2548" spans="1:17" x14ac:dyDescent="0.3">
      <c r="A2548" t="s">
        <v>4446</v>
      </c>
      <c r="B2548" t="str">
        <f>"000801"</f>
        <v>000801</v>
      </c>
      <c r="C2548" t="s">
        <v>5139</v>
      </c>
      <c r="D2548" t="s">
        <v>126</v>
      </c>
      <c r="F2548">
        <v>263696724</v>
      </c>
      <c r="G2548">
        <v>320258876</v>
      </c>
      <c r="H2548">
        <v>144132356</v>
      </c>
      <c r="I2548">
        <v>42862207</v>
      </c>
      <c r="J2548">
        <v>-212807626</v>
      </c>
      <c r="K2548">
        <v>516140</v>
      </c>
      <c r="L2548">
        <v>45128322</v>
      </c>
      <c r="M2548">
        <v>52498472</v>
      </c>
      <c r="N2548">
        <v>1842512</v>
      </c>
      <c r="O2548">
        <v>-187798106</v>
      </c>
      <c r="P2548">
        <v>218</v>
      </c>
      <c r="Q2548" t="s">
        <v>5140</v>
      </c>
    </row>
    <row r="2549" spans="1:17" x14ac:dyDescent="0.3">
      <c r="A2549" t="s">
        <v>4446</v>
      </c>
      <c r="B2549" t="str">
        <f>"000802"</f>
        <v>000802</v>
      </c>
      <c r="C2549" t="s">
        <v>5141</v>
      </c>
      <c r="D2549" t="s">
        <v>89</v>
      </c>
      <c r="F2549">
        <v>234489816</v>
      </c>
      <c r="G2549">
        <v>18340270</v>
      </c>
      <c r="H2549">
        <v>-533375907</v>
      </c>
      <c r="I2549">
        <v>82298736</v>
      </c>
      <c r="J2549">
        <v>-388548117</v>
      </c>
      <c r="K2549">
        <v>-23821548</v>
      </c>
      <c r="L2549">
        <v>-24506751</v>
      </c>
      <c r="M2549">
        <v>-199465919</v>
      </c>
      <c r="N2549">
        <v>-41731272</v>
      </c>
      <c r="O2549">
        <v>-67468587</v>
      </c>
      <c r="P2549">
        <v>205</v>
      </c>
      <c r="Q2549" t="s">
        <v>5142</v>
      </c>
    </row>
    <row r="2550" spans="1:17" x14ac:dyDescent="0.3">
      <c r="A2550" t="s">
        <v>4446</v>
      </c>
      <c r="B2550" t="str">
        <f>"000803"</f>
        <v>000803</v>
      </c>
      <c r="C2550" t="s">
        <v>5143</v>
      </c>
      <c r="D2550" t="s">
        <v>41</v>
      </c>
      <c r="F2550">
        <v>-238367945</v>
      </c>
      <c r="G2550">
        <v>-108762554</v>
      </c>
      <c r="H2550">
        <v>45307749</v>
      </c>
      <c r="I2550">
        <v>97458996</v>
      </c>
      <c r="J2550">
        <v>-42601647</v>
      </c>
      <c r="K2550">
        <v>-45870372</v>
      </c>
      <c r="L2550">
        <v>-31856840</v>
      </c>
      <c r="M2550">
        <v>-62430866</v>
      </c>
      <c r="N2550">
        <v>-95035989</v>
      </c>
      <c r="O2550">
        <v>-12931393</v>
      </c>
      <c r="P2550">
        <v>80</v>
      </c>
      <c r="Q2550" t="s">
        <v>5144</v>
      </c>
    </row>
    <row r="2551" spans="1:17" x14ac:dyDescent="0.3">
      <c r="A2551" t="s">
        <v>4446</v>
      </c>
      <c r="B2551" t="str">
        <f>"000805"</f>
        <v>000805</v>
      </c>
      <c r="C2551" t="s">
        <v>5145</v>
      </c>
      <c r="K2551">
        <v>8775546.5299999993</v>
      </c>
      <c r="L2551">
        <v>2980897.95</v>
      </c>
      <c r="M2551">
        <v>7993814.0300000003</v>
      </c>
      <c r="N2551">
        <v>-1838060.67</v>
      </c>
      <c r="O2551">
        <v>-33317892.309999999</v>
      </c>
      <c r="P2551">
        <v>3</v>
      </c>
      <c r="Q2551" t="s">
        <v>5146</v>
      </c>
    </row>
    <row r="2552" spans="1:17" x14ac:dyDescent="0.3">
      <c r="A2552" t="s">
        <v>4446</v>
      </c>
      <c r="B2552" t="str">
        <f>"000806"</f>
        <v>000806</v>
      </c>
      <c r="C2552" t="s">
        <v>5147</v>
      </c>
      <c r="D2552" t="s">
        <v>188</v>
      </c>
      <c r="F2552">
        <v>-47065929</v>
      </c>
      <c r="G2552">
        <v>27032142</v>
      </c>
      <c r="H2552">
        <v>56136860</v>
      </c>
      <c r="I2552">
        <v>-360709750</v>
      </c>
      <c r="J2552">
        <v>-131555772</v>
      </c>
      <c r="K2552">
        <v>48233036</v>
      </c>
      <c r="L2552">
        <v>-101342620</v>
      </c>
      <c r="M2552">
        <v>40171295</v>
      </c>
      <c r="N2552">
        <v>71164912</v>
      </c>
      <c r="O2552">
        <v>295911393</v>
      </c>
      <c r="P2552">
        <v>123</v>
      </c>
      <c r="Q2552" t="s">
        <v>5148</v>
      </c>
    </row>
    <row r="2553" spans="1:17" x14ac:dyDescent="0.3">
      <c r="A2553" t="s">
        <v>4446</v>
      </c>
      <c r="B2553" t="str">
        <f>"000807"</f>
        <v>000807</v>
      </c>
      <c r="C2553" t="s">
        <v>5149</v>
      </c>
      <c r="D2553" t="s">
        <v>234</v>
      </c>
      <c r="F2553">
        <v>5690899476</v>
      </c>
      <c r="G2553">
        <v>-288232484</v>
      </c>
      <c r="H2553">
        <v>146995210</v>
      </c>
      <c r="I2553">
        <v>-3330257462</v>
      </c>
      <c r="J2553">
        <v>-774447641</v>
      </c>
      <c r="K2553">
        <v>-496280885</v>
      </c>
      <c r="L2553">
        <v>2106673322</v>
      </c>
      <c r="M2553">
        <v>-939591715</v>
      </c>
      <c r="N2553">
        <v>439460393</v>
      </c>
      <c r="O2553">
        <v>-2026523682</v>
      </c>
      <c r="P2553">
        <v>551</v>
      </c>
      <c r="Q2553" t="s">
        <v>5150</v>
      </c>
    </row>
    <row r="2554" spans="1:17" x14ac:dyDescent="0.3">
      <c r="A2554" t="s">
        <v>4446</v>
      </c>
      <c r="B2554" t="str">
        <f>"000809"</f>
        <v>000809</v>
      </c>
      <c r="C2554" t="s">
        <v>5151</v>
      </c>
      <c r="D2554" t="s">
        <v>30</v>
      </c>
      <c r="F2554">
        <v>57047296</v>
      </c>
      <c r="G2554">
        <v>197522219</v>
      </c>
      <c r="H2554">
        <v>260233558</v>
      </c>
      <c r="I2554">
        <v>206252705</v>
      </c>
      <c r="J2554">
        <v>678213290</v>
      </c>
      <c r="K2554">
        <v>-295499488</v>
      </c>
      <c r="L2554">
        <v>102838272</v>
      </c>
      <c r="M2554">
        <v>-814710547</v>
      </c>
      <c r="N2554">
        <v>-117063248</v>
      </c>
      <c r="O2554">
        <v>-96111986</v>
      </c>
      <c r="P2554">
        <v>72</v>
      </c>
      <c r="Q2554" t="s">
        <v>5152</v>
      </c>
    </row>
    <row r="2555" spans="1:17" x14ac:dyDescent="0.3">
      <c r="A2555" t="s">
        <v>4446</v>
      </c>
      <c r="B2555" t="str">
        <f>"000810"</f>
        <v>000810</v>
      </c>
      <c r="C2555" t="s">
        <v>5153</v>
      </c>
      <c r="D2555" t="s">
        <v>126</v>
      </c>
      <c r="F2555">
        <v>-67915107</v>
      </c>
      <c r="G2555">
        <v>2242298884</v>
      </c>
      <c r="H2555">
        <v>-97180410</v>
      </c>
      <c r="I2555">
        <v>-194996833</v>
      </c>
      <c r="J2555">
        <v>-717834414</v>
      </c>
      <c r="K2555">
        <v>247726427</v>
      </c>
      <c r="L2555">
        <v>282220892</v>
      </c>
      <c r="M2555">
        <v>134682985</v>
      </c>
      <c r="N2555">
        <v>91855538</v>
      </c>
      <c r="O2555">
        <v>65241313</v>
      </c>
      <c r="P2555">
        <v>385</v>
      </c>
      <c r="Q2555" t="s">
        <v>5154</v>
      </c>
    </row>
    <row r="2556" spans="1:17" x14ac:dyDescent="0.3">
      <c r="A2556" t="s">
        <v>4446</v>
      </c>
      <c r="B2556" t="str">
        <f>"000811"</f>
        <v>000811</v>
      </c>
      <c r="C2556" t="s">
        <v>5155</v>
      </c>
      <c r="D2556" t="s">
        <v>78</v>
      </c>
      <c r="F2556">
        <v>264088786</v>
      </c>
      <c r="G2556">
        <v>372719191</v>
      </c>
      <c r="H2556">
        <v>142701111</v>
      </c>
      <c r="I2556">
        <v>206076244</v>
      </c>
      <c r="J2556">
        <v>39999954</v>
      </c>
      <c r="K2556">
        <v>242056387</v>
      </c>
      <c r="L2556">
        <v>216184042</v>
      </c>
      <c r="M2556">
        <v>138709191</v>
      </c>
      <c r="N2556">
        <v>34747357</v>
      </c>
      <c r="O2556">
        <v>105002543</v>
      </c>
      <c r="P2556">
        <v>225</v>
      </c>
      <c r="Q2556" t="s">
        <v>5156</v>
      </c>
    </row>
    <row r="2557" spans="1:17" x14ac:dyDescent="0.3">
      <c r="A2557" t="s">
        <v>4446</v>
      </c>
      <c r="B2557" t="str">
        <f>"000812"</f>
        <v>000812</v>
      </c>
      <c r="C2557" t="s">
        <v>5157</v>
      </c>
      <c r="D2557" t="s">
        <v>161</v>
      </c>
      <c r="F2557">
        <v>45775864</v>
      </c>
      <c r="G2557">
        <v>37787171</v>
      </c>
      <c r="H2557">
        <v>-206362411</v>
      </c>
      <c r="I2557">
        <v>-108148795</v>
      </c>
      <c r="J2557">
        <v>80806421</v>
      </c>
      <c r="K2557">
        <v>87592666</v>
      </c>
      <c r="L2557">
        <v>73503885</v>
      </c>
      <c r="M2557">
        <v>33503466</v>
      </c>
      <c r="N2557">
        <v>12354588</v>
      </c>
      <c r="O2557">
        <v>-20498699</v>
      </c>
      <c r="P2557">
        <v>111</v>
      </c>
      <c r="Q2557" t="s">
        <v>5158</v>
      </c>
    </row>
    <row r="2558" spans="1:17" x14ac:dyDescent="0.3">
      <c r="A2558" t="s">
        <v>4446</v>
      </c>
      <c r="B2558" t="str">
        <f>"000813"</f>
        <v>000813</v>
      </c>
      <c r="C2558" t="s">
        <v>5159</v>
      </c>
      <c r="D2558" t="s">
        <v>113</v>
      </c>
      <c r="F2558">
        <v>-84457268</v>
      </c>
      <c r="G2558">
        <v>717271930</v>
      </c>
      <c r="H2558">
        <v>1493807411</v>
      </c>
      <c r="I2558">
        <v>311303157</v>
      </c>
      <c r="J2558">
        <v>272588058</v>
      </c>
      <c r="K2558">
        <v>187407532</v>
      </c>
      <c r="L2558">
        <v>67279071</v>
      </c>
      <c r="M2558">
        <v>55514087</v>
      </c>
      <c r="N2558">
        <v>85479992</v>
      </c>
      <c r="O2558">
        <v>-27596272</v>
      </c>
      <c r="P2558">
        <v>281</v>
      </c>
      <c r="Q2558" t="s">
        <v>5160</v>
      </c>
    </row>
    <row r="2559" spans="1:17" x14ac:dyDescent="0.3">
      <c r="A2559" t="s">
        <v>4446</v>
      </c>
      <c r="B2559" t="str">
        <f>"000815"</f>
        <v>000815</v>
      </c>
      <c r="C2559" t="s">
        <v>5161</v>
      </c>
      <c r="D2559" t="s">
        <v>161</v>
      </c>
      <c r="F2559">
        <v>-21929339</v>
      </c>
      <c r="G2559">
        <v>-267796974</v>
      </c>
      <c r="H2559">
        <v>-48150565</v>
      </c>
      <c r="I2559">
        <v>-146156281</v>
      </c>
      <c r="J2559">
        <v>-278189013</v>
      </c>
      <c r="K2559">
        <v>-15012530</v>
      </c>
      <c r="L2559">
        <v>-5170581</v>
      </c>
      <c r="M2559">
        <v>-57875582</v>
      </c>
      <c r="N2559">
        <v>-293321158</v>
      </c>
      <c r="O2559">
        <v>-57918280</v>
      </c>
      <c r="P2559">
        <v>125</v>
      </c>
      <c r="Q2559" t="s">
        <v>5162</v>
      </c>
    </row>
    <row r="2560" spans="1:17" x14ac:dyDescent="0.3">
      <c r="A2560" t="s">
        <v>4446</v>
      </c>
      <c r="B2560" t="str">
        <f>"000816"</f>
        <v>000816</v>
      </c>
      <c r="C2560" t="s">
        <v>5163</v>
      </c>
      <c r="D2560" t="s">
        <v>27</v>
      </c>
      <c r="F2560">
        <v>531080372</v>
      </c>
      <c r="G2560">
        <v>176438658</v>
      </c>
      <c r="H2560">
        <v>-195625888</v>
      </c>
      <c r="I2560">
        <v>1844526</v>
      </c>
      <c r="J2560">
        <v>-148849637</v>
      </c>
      <c r="K2560">
        <v>89960280</v>
      </c>
      <c r="L2560">
        <v>116284112</v>
      </c>
      <c r="M2560">
        <v>-327994990</v>
      </c>
      <c r="N2560">
        <v>-627479074</v>
      </c>
      <c r="O2560">
        <v>152946934</v>
      </c>
      <c r="P2560">
        <v>153</v>
      </c>
      <c r="Q2560" t="s">
        <v>5164</v>
      </c>
    </row>
    <row r="2561" spans="1:17" x14ac:dyDescent="0.3">
      <c r="A2561" t="s">
        <v>4446</v>
      </c>
      <c r="B2561" t="str">
        <f>"000818"</f>
        <v>000818</v>
      </c>
      <c r="C2561" t="s">
        <v>5165</v>
      </c>
      <c r="D2561" t="s">
        <v>133</v>
      </c>
      <c r="F2561">
        <v>684347505</v>
      </c>
      <c r="G2561">
        <v>26180140</v>
      </c>
      <c r="H2561">
        <v>127416445</v>
      </c>
      <c r="I2561">
        <v>336160871</v>
      </c>
      <c r="J2561">
        <v>449180328</v>
      </c>
      <c r="K2561">
        <v>101713257</v>
      </c>
      <c r="L2561">
        <v>132254047</v>
      </c>
      <c r="M2561">
        <v>317628229</v>
      </c>
      <c r="N2561">
        <v>-69942908</v>
      </c>
      <c r="O2561">
        <v>-120415846</v>
      </c>
      <c r="P2561">
        <v>258</v>
      </c>
      <c r="Q2561" t="s">
        <v>5166</v>
      </c>
    </row>
    <row r="2562" spans="1:17" x14ac:dyDescent="0.3">
      <c r="A2562" t="s">
        <v>4446</v>
      </c>
      <c r="B2562" t="str">
        <f>"000819"</f>
        <v>000819</v>
      </c>
      <c r="C2562" t="s">
        <v>5167</v>
      </c>
      <c r="D2562" t="s">
        <v>70</v>
      </c>
      <c r="F2562">
        <v>-302572739</v>
      </c>
      <c r="G2562">
        <v>-38692756</v>
      </c>
      <c r="H2562">
        <v>15663980</v>
      </c>
      <c r="I2562">
        <v>80973421</v>
      </c>
      <c r="J2562">
        <v>5455976</v>
      </c>
      <c r="K2562">
        <v>71901378</v>
      </c>
      <c r="L2562">
        <v>52448713</v>
      </c>
      <c r="M2562">
        <v>3878643</v>
      </c>
      <c r="N2562">
        <v>28989039</v>
      </c>
      <c r="O2562">
        <v>56571384</v>
      </c>
      <c r="P2562">
        <v>81</v>
      </c>
      <c r="Q2562" t="s">
        <v>5168</v>
      </c>
    </row>
    <row r="2563" spans="1:17" x14ac:dyDescent="0.3">
      <c r="A2563" t="s">
        <v>4446</v>
      </c>
      <c r="B2563" t="str">
        <f>"000820"</f>
        <v>000820</v>
      </c>
      <c r="C2563" t="s">
        <v>5169</v>
      </c>
      <c r="D2563" t="s">
        <v>33</v>
      </c>
      <c r="F2563">
        <v>-117254209</v>
      </c>
      <c r="G2563">
        <v>3696362</v>
      </c>
      <c r="H2563">
        <v>-49764330</v>
      </c>
      <c r="I2563">
        <v>-98562302</v>
      </c>
      <c r="J2563">
        <v>-951131540</v>
      </c>
      <c r="K2563">
        <v>-109735864</v>
      </c>
      <c r="L2563">
        <v>-7034888</v>
      </c>
      <c r="M2563">
        <v>-52321399</v>
      </c>
      <c r="N2563">
        <v>-64121886</v>
      </c>
      <c r="O2563">
        <v>-44842776</v>
      </c>
      <c r="P2563">
        <v>156</v>
      </c>
      <c r="Q2563" t="s">
        <v>5170</v>
      </c>
    </row>
    <row r="2564" spans="1:17" x14ac:dyDescent="0.3">
      <c r="A2564" t="s">
        <v>4446</v>
      </c>
      <c r="B2564" t="str">
        <f>"000821"</f>
        <v>000821</v>
      </c>
      <c r="C2564" t="s">
        <v>5171</v>
      </c>
      <c r="D2564" t="s">
        <v>78</v>
      </c>
      <c r="F2564">
        <v>506542820</v>
      </c>
      <c r="G2564">
        <v>179196051</v>
      </c>
      <c r="H2564">
        <v>17455321</v>
      </c>
      <c r="I2564">
        <v>97565644</v>
      </c>
      <c r="J2564">
        <v>23903641</v>
      </c>
      <c r="K2564">
        <v>39247685</v>
      </c>
      <c r="L2564">
        <v>110219165</v>
      </c>
      <c r="M2564">
        <v>-22667103</v>
      </c>
      <c r="N2564">
        <v>-39014649</v>
      </c>
      <c r="O2564">
        <v>71365072</v>
      </c>
      <c r="P2564">
        <v>166</v>
      </c>
      <c r="Q2564" t="s">
        <v>5172</v>
      </c>
    </row>
    <row r="2565" spans="1:17" x14ac:dyDescent="0.3">
      <c r="A2565" t="s">
        <v>4446</v>
      </c>
      <c r="B2565" t="str">
        <f>"000822"</f>
        <v>000822</v>
      </c>
      <c r="C2565" t="s">
        <v>5173</v>
      </c>
      <c r="D2565" t="s">
        <v>133</v>
      </c>
      <c r="F2565">
        <v>972267003</v>
      </c>
      <c r="G2565">
        <v>-483065666</v>
      </c>
      <c r="H2565">
        <v>613644695</v>
      </c>
      <c r="I2565">
        <v>303513601</v>
      </c>
      <c r="J2565">
        <v>-76179029</v>
      </c>
      <c r="K2565">
        <v>307670294</v>
      </c>
      <c r="L2565">
        <v>162568959</v>
      </c>
      <c r="M2565">
        <v>886437205</v>
      </c>
      <c r="N2565">
        <v>70862521</v>
      </c>
      <c r="O2565">
        <v>233519056</v>
      </c>
      <c r="P2565">
        <v>211</v>
      </c>
      <c r="Q2565" t="s">
        <v>5174</v>
      </c>
    </row>
    <row r="2566" spans="1:17" x14ac:dyDescent="0.3">
      <c r="A2566" t="s">
        <v>4446</v>
      </c>
      <c r="B2566" t="str">
        <f>"000823"</f>
        <v>000823</v>
      </c>
      <c r="C2566" t="s">
        <v>5175</v>
      </c>
      <c r="D2566" t="s">
        <v>150</v>
      </c>
      <c r="F2566">
        <v>-150808145</v>
      </c>
      <c r="G2566">
        <v>-19786718</v>
      </c>
      <c r="H2566">
        <v>295031379</v>
      </c>
      <c r="I2566">
        <v>72264941</v>
      </c>
      <c r="J2566">
        <v>-35221818</v>
      </c>
      <c r="K2566">
        <v>389470613</v>
      </c>
      <c r="L2566">
        <v>207872875</v>
      </c>
      <c r="M2566">
        <v>-266329303</v>
      </c>
      <c r="N2566">
        <v>49614688</v>
      </c>
      <c r="O2566">
        <v>145912044</v>
      </c>
      <c r="P2566">
        <v>354</v>
      </c>
      <c r="Q2566" t="s">
        <v>5176</v>
      </c>
    </row>
    <row r="2567" spans="1:17" x14ac:dyDescent="0.3">
      <c r="A2567" t="s">
        <v>4446</v>
      </c>
      <c r="B2567" t="str">
        <f>"000825"</f>
        <v>000825</v>
      </c>
      <c r="C2567" t="s">
        <v>5177</v>
      </c>
      <c r="D2567" t="s">
        <v>38</v>
      </c>
      <c r="F2567">
        <v>13085142215</v>
      </c>
      <c r="G2567">
        <v>4573823931</v>
      </c>
      <c r="H2567">
        <v>2613159632</v>
      </c>
      <c r="I2567">
        <v>8610297308</v>
      </c>
      <c r="J2567">
        <v>10321056947</v>
      </c>
      <c r="K2567">
        <v>6023640561</v>
      </c>
      <c r="L2567">
        <v>1714018</v>
      </c>
      <c r="M2567">
        <v>1341602899</v>
      </c>
      <c r="N2567">
        <v>-2861494564</v>
      </c>
      <c r="O2567">
        <v>2804542088</v>
      </c>
      <c r="P2567">
        <v>581</v>
      </c>
      <c r="Q2567" t="s">
        <v>5178</v>
      </c>
    </row>
    <row r="2568" spans="1:17" x14ac:dyDescent="0.3">
      <c r="A2568" t="s">
        <v>4446</v>
      </c>
      <c r="B2568" t="str">
        <f>"000826"</f>
        <v>000826</v>
      </c>
      <c r="C2568" t="s">
        <v>5179</v>
      </c>
      <c r="D2568" t="s">
        <v>33</v>
      </c>
      <c r="F2568">
        <v>-466084033</v>
      </c>
      <c r="G2568">
        <v>-1026937835</v>
      </c>
      <c r="H2568">
        <v>-1385397953</v>
      </c>
      <c r="I2568">
        <v>-2444649978</v>
      </c>
      <c r="J2568">
        <v>-3586656954</v>
      </c>
      <c r="K2568">
        <v>-3271619690</v>
      </c>
      <c r="L2568">
        <v>-1076753896</v>
      </c>
      <c r="M2568">
        <v>-1247230844</v>
      </c>
      <c r="N2568">
        <v>-432541005</v>
      </c>
      <c r="O2568">
        <v>-200655635</v>
      </c>
      <c r="P2568">
        <v>559</v>
      </c>
      <c r="Q2568" t="s">
        <v>5180</v>
      </c>
    </row>
    <row r="2569" spans="1:17" x14ac:dyDescent="0.3">
      <c r="A2569" t="s">
        <v>4446</v>
      </c>
      <c r="B2569" t="str">
        <f>"000828"</f>
        <v>000828</v>
      </c>
      <c r="C2569" t="s">
        <v>5181</v>
      </c>
      <c r="D2569" t="s">
        <v>22</v>
      </c>
      <c r="F2569">
        <v>-2442770860</v>
      </c>
      <c r="G2569">
        <v>771228730</v>
      </c>
      <c r="H2569">
        <v>1429987081</v>
      </c>
      <c r="I2569">
        <v>2213897069</v>
      </c>
      <c r="J2569">
        <v>28974716</v>
      </c>
      <c r="K2569">
        <v>-995601985</v>
      </c>
      <c r="L2569">
        <v>-1199866050</v>
      </c>
      <c r="M2569">
        <v>266423699</v>
      </c>
      <c r="N2569">
        <v>422092662</v>
      </c>
      <c r="O2569">
        <v>526927229</v>
      </c>
      <c r="P2569">
        <v>961</v>
      </c>
      <c r="Q2569" t="s">
        <v>5182</v>
      </c>
    </row>
    <row r="2570" spans="1:17" x14ac:dyDescent="0.3">
      <c r="A2570" t="s">
        <v>4446</v>
      </c>
      <c r="B2570" t="str">
        <f>"000829"</f>
        <v>000829</v>
      </c>
      <c r="C2570" t="s">
        <v>5183</v>
      </c>
      <c r="D2570" t="s">
        <v>120</v>
      </c>
      <c r="F2570">
        <v>-4313988578</v>
      </c>
      <c r="G2570">
        <v>1301458033</v>
      </c>
      <c r="H2570">
        <v>1021814218</v>
      </c>
      <c r="I2570">
        <v>-371387993</v>
      </c>
      <c r="J2570">
        <v>439432035</v>
      </c>
      <c r="K2570">
        <v>-1511236057</v>
      </c>
      <c r="L2570">
        <v>1268715086</v>
      </c>
      <c r="M2570">
        <v>-912782118</v>
      </c>
      <c r="N2570">
        <v>442723663</v>
      </c>
      <c r="O2570">
        <v>-304494819</v>
      </c>
      <c r="P2570">
        <v>187</v>
      </c>
      <c r="Q2570" t="s">
        <v>5184</v>
      </c>
    </row>
    <row r="2571" spans="1:17" x14ac:dyDescent="0.3">
      <c r="A2571" t="s">
        <v>4446</v>
      </c>
      <c r="B2571" t="str">
        <f>"000830"</f>
        <v>000830</v>
      </c>
      <c r="C2571" t="s">
        <v>5185</v>
      </c>
      <c r="D2571" t="s">
        <v>133</v>
      </c>
      <c r="F2571">
        <v>5780558983</v>
      </c>
      <c r="G2571">
        <v>153250671</v>
      </c>
      <c r="H2571">
        <v>-159571452</v>
      </c>
      <c r="I2571">
        <v>2159580590</v>
      </c>
      <c r="J2571">
        <v>558617521</v>
      </c>
      <c r="K2571">
        <v>-1403159348</v>
      </c>
      <c r="L2571">
        <v>-1241472211</v>
      </c>
      <c r="M2571">
        <v>-790612123</v>
      </c>
      <c r="N2571">
        <v>-1507192734</v>
      </c>
      <c r="O2571">
        <v>-947672047</v>
      </c>
      <c r="P2571">
        <v>893</v>
      </c>
      <c r="Q2571" t="s">
        <v>5186</v>
      </c>
    </row>
    <row r="2572" spans="1:17" x14ac:dyDescent="0.3">
      <c r="A2572" t="s">
        <v>4446</v>
      </c>
      <c r="B2572" t="str">
        <f>"000831"</f>
        <v>000831</v>
      </c>
      <c r="C2572" t="s">
        <v>5187</v>
      </c>
      <c r="D2572" t="s">
        <v>234</v>
      </c>
      <c r="F2572">
        <v>-770503304</v>
      </c>
      <c r="G2572">
        <v>-61069825</v>
      </c>
      <c r="H2572">
        <v>-115510209</v>
      </c>
      <c r="I2572">
        <v>-289468873</v>
      </c>
      <c r="J2572">
        <v>122423773</v>
      </c>
      <c r="K2572">
        <v>147629351</v>
      </c>
      <c r="L2572">
        <v>82103841</v>
      </c>
      <c r="M2572">
        <v>393840156</v>
      </c>
      <c r="N2572">
        <v>-562580385</v>
      </c>
      <c r="O2572">
        <v>25238410</v>
      </c>
      <c r="P2572">
        <v>458</v>
      </c>
      <c r="Q2572" t="s">
        <v>5188</v>
      </c>
    </row>
    <row r="2573" spans="1:17" x14ac:dyDescent="0.3">
      <c r="A2573" t="s">
        <v>4446</v>
      </c>
      <c r="B2573" t="str">
        <f>"000832"</f>
        <v>000832</v>
      </c>
      <c r="C2573" t="s">
        <v>5189</v>
      </c>
      <c r="K2573">
        <v>786494.44</v>
      </c>
      <c r="L2573">
        <v>785376.74</v>
      </c>
      <c r="M2573">
        <v>-13666.6</v>
      </c>
      <c r="N2573">
        <v>-378904.4</v>
      </c>
      <c r="O2573">
        <v>-138344.82999999999</v>
      </c>
      <c r="P2573">
        <v>6</v>
      </c>
      <c r="Q2573" t="s">
        <v>5190</v>
      </c>
    </row>
    <row r="2574" spans="1:17" x14ac:dyDescent="0.3">
      <c r="A2574" t="s">
        <v>4446</v>
      </c>
      <c r="B2574" t="str">
        <f>"000833"</f>
        <v>000833</v>
      </c>
      <c r="C2574" t="s">
        <v>5191</v>
      </c>
      <c r="D2574" t="s">
        <v>103</v>
      </c>
      <c r="F2574">
        <v>-253232881</v>
      </c>
      <c r="G2574">
        <v>68184066</v>
      </c>
      <c r="H2574">
        <v>-95045002</v>
      </c>
      <c r="I2574">
        <v>150934201</v>
      </c>
      <c r="J2574">
        <v>-124199698</v>
      </c>
      <c r="K2574">
        <v>291306875</v>
      </c>
      <c r="L2574">
        <v>-32045931</v>
      </c>
      <c r="M2574">
        <v>14213844</v>
      </c>
      <c r="N2574">
        <v>-16196116</v>
      </c>
      <c r="O2574">
        <v>49983180</v>
      </c>
      <c r="P2574">
        <v>88</v>
      </c>
      <c r="Q2574" t="s">
        <v>5192</v>
      </c>
    </row>
    <row r="2575" spans="1:17" x14ac:dyDescent="0.3">
      <c r="A2575" t="s">
        <v>4446</v>
      </c>
      <c r="B2575" t="str">
        <f>"000835"</f>
        <v>000835</v>
      </c>
      <c r="C2575" t="s">
        <v>5193</v>
      </c>
      <c r="D2575" t="s">
        <v>89</v>
      </c>
      <c r="F2575">
        <v>169105</v>
      </c>
      <c r="G2575">
        <v>-3502655</v>
      </c>
      <c r="H2575">
        <v>-13544199</v>
      </c>
      <c r="I2575">
        <v>-21720256</v>
      </c>
      <c r="J2575">
        <v>132078070</v>
      </c>
      <c r="K2575">
        <v>-23672923</v>
      </c>
      <c r="L2575">
        <v>47079043</v>
      </c>
      <c r="M2575">
        <v>51023871</v>
      </c>
      <c r="N2575">
        <v>-71748771</v>
      </c>
      <c r="O2575">
        <v>53272229</v>
      </c>
      <c r="P2575">
        <v>69</v>
      </c>
      <c r="Q2575" t="s">
        <v>5194</v>
      </c>
    </row>
    <row r="2576" spans="1:17" x14ac:dyDescent="0.3">
      <c r="A2576" t="s">
        <v>4446</v>
      </c>
      <c r="B2576" t="str">
        <f>"000836"</f>
        <v>000836</v>
      </c>
      <c r="C2576" t="s">
        <v>5195</v>
      </c>
      <c r="D2576" t="s">
        <v>100</v>
      </c>
      <c r="F2576">
        <v>-186647480</v>
      </c>
      <c r="G2576">
        <v>93098688</v>
      </c>
      <c r="H2576">
        <v>-84599094</v>
      </c>
      <c r="I2576">
        <v>-153212520</v>
      </c>
      <c r="J2576">
        <v>50029652</v>
      </c>
      <c r="K2576">
        <v>-88700548</v>
      </c>
      <c r="L2576">
        <v>620188964</v>
      </c>
      <c r="M2576">
        <v>95580076</v>
      </c>
      <c r="N2576">
        <v>88753322</v>
      </c>
      <c r="O2576">
        <v>-137410018</v>
      </c>
      <c r="P2576">
        <v>135</v>
      </c>
      <c r="Q2576" t="s">
        <v>5196</v>
      </c>
    </row>
    <row r="2577" spans="1:17" x14ac:dyDescent="0.3">
      <c r="A2577" t="s">
        <v>4446</v>
      </c>
      <c r="B2577" t="str">
        <f>"000837"</f>
        <v>000837</v>
      </c>
      <c r="C2577" t="s">
        <v>5197</v>
      </c>
      <c r="D2577" t="s">
        <v>78</v>
      </c>
      <c r="F2577">
        <v>302444365</v>
      </c>
      <c r="G2577">
        <v>287411630</v>
      </c>
      <c r="H2577">
        <v>-16930414</v>
      </c>
      <c r="I2577">
        <v>-93806378</v>
      </c>
      <c r="J2577">
        <v>-97196926</v>
      </c>
      <c r="K2577">
        <v>-159182192</v>
      </c>
      <c r="L2577">
        <v>-231737541</v>
      </c>
      <c r="M2577">
        <v>-164398003</v>
      </c>
      <c r="N2577">
        <v>-92379303</v>
      </c>
      <c r="O2577">
        <v>-175047554</v>
      </c>
      <c r="P2577">
        <v>129</v>
      </c>
      <c r="Q2577" t="s">
        <v>5198</v>
      </c>
    </row>
    <row r="2578" spans="1:17" x14ac:dyDescent="0.3">
      <c r="A2578" t="s">
        <v>4446</v>
      </c>
      <c r="B2578" t="str">
        <f>"000838"</f>
        <v>000838</v>
      </c>
      <c r="C2578" t="s">
        <v>5199</v>
      </c>
      <c r="D2578" t="s">
        <v>30</v>
      </c>
      <c r="F2578">
        <v>2913827687</v>
      </c>
      <c r="G2578">
        <v>3102926285</v>
      </c>
      <c r="H2578">
        <v>1831514481</v>
      </c>
      <c r="I2578">
        <v>1225290679</v>
      </c>
      <c r="J2578">
        <v>-1320163386</v>
      </c>
      <c r="K2578">
        <v>-47999200</v>
      </c>
      <c r="L2578">
        <v>-58778314</v>
      </c>
      <c r="M2578">
        <v>-95538868</v>
      </c>
      <c r="N2578">
        <v>136458061</v>
      </c>
      <c r="O2578">
        <v>-24166968</v>
      </c>
      <c r="P2578">
        <v>98</v>
      </c>
      <c r="Q2578" t="s">
        <v>5200</v>
      </c>
    </row>
    <row r="2579" spans="1:17" x14ac:dyDescent="0.3">
      <c r="A2579" t="s">
        <v>4446</v>
      </c>
      <c r="B2579" t="str">
        <f>"000839"</f>
        <v>000839</v>
      </c>
      <c r="C2579" t="s">
        <v>5201</v>
      </c>
      <c r="D2579" t="s">
        <v>103</v>
      </c>
      <c r="F2579">
        <v>-85559178</v>
      </c>
      <c r="G2579">
        <v>-360466745</v>
      </c>
      <c r="H2579">
        <v>-151337222</v>
      </c>
      <c r="I2579">
        <v>-1431641880</v>
      </c>
      <c r="J2579">
        <v>-1280090054</v>
      </c>
      <c r="K2579">
        <v>-455375149</v>
      </c>
      <c r="L2579">
        <v>-92459792</v>
      </c>
      <c r="M2579">
        <v>1171964523</v>
      </c>
      <c r="N2579">
        <v>-411477308</v>
      </c>
      <c r="O2579">
        <v>-469278363</v>
      </c>
      <c r="P2579">
        <v>219</v>
      </c>
      <c r="Q2579" t="s">
        <v>5202</v>
      </c>
    </row>
    <row r="2580" spans="1:17" x14ac:dyDescent="0.3">
      <c r="A2580" t="s">
        <v>4446</v>
      </c>
      <c r="B2580" t="str">
        <f>"000848"</f>
        <v>000848</v>
      </c>
      <c r="C2580" t="s">
        <v>5203</v>
      </c>
      <c r="D2580" t="s">
        <v>123</v>
      </c>
      <c r="F2580">
        <v>680356112</v>
      </c>
      <c r="G2580">
        <v>363989864</v>
      </c>
      <c r="H2580">
        <v>666742637</v>
      </c>
      <c r="I2580">
        <v>511020352</v>
      </c>
      <c r="J2580">
        <v>135206607</v>
      </c>
      <c r="K2580">
        <v>817260073</v>
      </c>
      <c r="L2580">
        <v>743147380</v>
      </c>
      <c r="M2580">
        <v>300188033</v>
      </c>
      <c r="N2580">
        <v>290415365</v>
      </c>
      <c r="O2580">
        <v>171599601</v>
      </c>
      <c r="P2580">
        <v>41213</v>
      </c>
      <c r="Q2580" t="s">
        <v>5204</v>
      </c>
    </row>
    <row r="2581" spans="1:17" x14ac:dyDescent="0.3">
      <c r="A2581" t="s">
        <v>4446</v>
      </c>
      <c r="B2581" t="str">
        <f>"000850"</f>
        <v>000850</v>
      </c>
      <c r="C2581" t="s">
        <v>5205</v>
      </c>
      <c r="D2581" t="s">
        <v>227</v>
      </c>
      <c r="F2581">
        <v>3530496</v>
      </c>
      <c r="G2581">
        <v>208139634</v>
      </c>
      <c r="H2581">
        <v>52349436</v>
      </c>
      <c r="I2581">
        <v>-358334110</v>
      </c>
      <c r="J2581">
        <v>-261921827</v>
      </c>
      <c r="K2581">
        <v>45606466</v>
      </c>
      <c r="L2581">
        <v>84856665</v>
      </c>
      <c r="M2581">
        <v>-205713257</v>
      </c>
      <c r="N2581">
        <v>-173643938</v>
      </c>
      <c r="O2581">
        <v>370460911</v>
      </c>
      <c r="P2581">
        <v>121</v>
      </c>
      <c r="Q2581" t="s">
        <v>5206</v>
      </c>
    </row>
    <row r="2582" spans="1:17" x14ac:dyDescent="0.3">
      <c r="A2582" t="s">
        <v>4446</v>
      </c>
      <c r="B2582" t="str">
        <f>"000851"</f>
        <v>000851</v>
      </c>
      <c r="C2582" t="s">
        <v>5207</v>
      </c>
      <c r="D2582" t="s">
        <v>100</v>
      </c>
      <c r="F2582">
        <v>411266583</v>
      </c>
      <c r="G2582">
        <v>-416058848</v>
      </c>
      <c r="H2582">
        <v>-866860960</v>
      </c>
      <c r="I2582">
        <v>-595238513</v>
      </c>
      <c r="J2582">
        <v>-83034817</v>
      </c>
      <c r="K2582">
        <v>70711655</v>
      </c>
      <c r="L2582">
        <v>351229223</v>
      </c>
      <c r="M2582">
        <v>-520605491</v>
      </c>
      <c r="N2582">
        <v>5657405</v>
      </c>
      <c r="O2582">
        <v>-116568073</v>
      </c>
      <c r="P2582">
        <v>224</v>
      </c>
      <c r="Q2582" t="s">
        <v>5208</v>
      </c>
    </row>
    <row r="2583" spans="1:17" x14ac:dyDescent="0.3">
      <c r="A2583" t="s">
        <v>4446</v>
      </c>
      <c r="B2583" t="str">
        <f>"000852"</f>
        <v>000852</v>
      </c>
      <c r="C2583" t="s">
        <v>5209</v>
      </c>
      <c r="D2583" t="s">
        <v>78</v>
      </c>
      <c r="F2583">
        <v>87701901</v>
      </c>
      <c r="G2583">
        <v>173680238</v>
      </c>
      <c r="H2583">
        <v>-740475663</v>
      </c>
      <c r="I2583">
        <v>-350235828</v>
      </c>
      <c r="J2583">
        <v>44101407</v>
      </c>
      <c r="K2583">
        <v>-114912421</v>
      </c>
      <c r="L2583">
        <v>89819149</v>
      </c>
      <c r="M2583">
        <v>73425104</v>
      </c>
      <c r="N2583">
        <v>2067804</v>
      </c>
      <c r="O2583">
        <v>43130197</v>
      </c>
      <c r="P2583">
        <v>155</v>
      </c>
      <c r="Q2583" t="s">
        <v>5210</v>
      </c>
    </row>
    <row r="2584" spans="1:17" x14ac:dyDescent="0.3">
      <c r="A2584" t="s">
        <v>4446</v>
      </c>
      <c r="B2584" t="str">
        <f>"000856"</f>
        <v>000856</v>
      </c>
      <c r="C2584" t="s">
        <v>5211</v>
      </c>
      <c r="D2584" t="s">
        <v>78</v>
      </c>
      <c r="F2584">
        <v>-22979248</v>
      </c>
      <c r="G2584">
        <v>125921967</v>
      </c>
      <c r="H2584">
        <v>-141805301</v>
      </c>
      <c r="I2584">
        <v>44593518</v>
      </c>
      <c r="J2584">
        <v>-32625693</v>
      </c>
      <c r="K2584">
        <v>-10883371</v>
      </c>
      <c r="L2584">
        <v>-59938308</v>
      </c>
      <c r="M2584">
        <v>-59649044</v>
      </c>
      <c r="N2584">
        <v>-23719516</v>
      </c>
      <c r="O2584">
        <v>-17810835</v>
      </c>
      <c r="P2584">
        <v>101</v>
      </c>
      <c r="Q2584" t="s">
        <v>5212</v>
      </c>
    </row>
    <row r="2585" spans="1:17" x14ac:dyDescent="0.3">
      <c r="A2585" t="s">
        <v>4446</v>
      </c>
      <c r="B2585" t="str">
        <f>"000858"</f>
        <v>000858</v>
      </c>
      <c r="C2585" t="s">
        <v>5213</v>
      </c>
      <c r="D2585" t="s">
        <v>123</v>
      </c>
      <c r="F2585">
        <v>25241997045</v>
      </c>
      <c r="G2585">
        <v>13711006122</v>
      </c>
      <c r="H2585">
        <v>21505467727</v>
      </c>
      <c r="I2585">
        <v>11941561958</v>
      </c>
      <c r="J2585">
        <v>9565294549</v>
      </c>
      <c r="K2585">
        <v>11394776413</v>
      </c>
      <c r="L2585">
        <v>6296894161</v>
      </c>
      <c r="M2585">
        <v>414036882</v>
      </c>
      <c r="N2585">
        <v>1121158554</v>
      </c>
      <c r="O2585">
        <v>8394845593</v>
      </c>
      <c r="P2585">
        <v>11640</v>
      </c>
      <c r="Q2585" t="s">
        <v>5214</v>
      </c>
    </row>
    <row r="2586" spans="1:17" x14ac:dyDescent="0.3">
      <c r="A2586" t="s">
        <v>4446</v>
      </c>
      <c r="B2586" t="str">
        <f>"000859"</f>
        <v>000859</v>
      </c>
      <c r="C2586" t="s">
        <v>5215</v>
      </c>
      <c r="D2586" t="s">
        <v>133</v>
      </c>
      <c r="F2586">
        <v>14003107</v>
      </c>
      <c r="G2586">
        <v>80024427</v>
      </c>
      <c r="H2586">
        <v>12897304</v>
      </c>
      <c r="I2586">
        <v>-6749351</v>
      </c>
      <c r="J2586">
        <v>216567149</v>
      </c>
      <c r="K2586">
        <v>-26257943</v>
      </c>
      <c r="L2586">
        <v>-25002784</v>
      </c>
      <c r="M2586">
        <v>-62845852</v>
      </c>
      <c r="N2586">
        <v>-115287401</v>
      </c>
      <c r="O2586">
        <v>18030068</v>
      </c>
      <c r="P2586">
        <v>118</v>
      </c>
      <c r="Q2586" t="s">
        <v>5216</v>
      </c>
    </row>
    <row r="2587" spans="1:17" x14ac:dyDescent="0.3">
      <c r="A2587" t="s">
        <v>4446</v>
      </c>
      <c r="B2587" t="str">
        <f>"000860"</f>
        <v>000860</v>
      </c>
      <c r="C2587" t="s">
        <v>5217</v>
      </c>
      <c r="D2587" t="s">
        <v>123</v>
      </c>
      <c r="F2587">
        <v>-468528645</v>
      </c>
      <c r="G2587">
        <v>1382589908</v>
      </c>
      <c r="H2587">
        <v>1177837877</v>
      </c>
      <c r="I2587">
        <v>2939732667</v>
      </c>
      <c r="J2587">
        <v>2265839828</v>
      </c>
      <c r="K2587">
        <v>632588426</v>
      </c>
      <c r="L2587">
        <v>333953934</v>
      </c>
      <c r="M2587">
        <v>-156688839</v>
      </c>
      <c r="N2587">
        <v>88285032</v>
      </c>
      <c r="O2587">
        <v>-826707874</v>
      </c>
      <c r="P2587">
        <v>1515</v>
      </c>
      <c r="Q2587" t="s">
        <v>5218</v>
      </c>
    </row>
    <row r="2588" spans="1:17" x14ac:dyDescent="0.3">
      <c r="A2588" t="s">
        <v>4446</v>
      </c>
      <c r="B2588" t="str">
        <f>"000861"</f>
        <v>000861</v>
      </c>
      <c r="C2588" t="s">
        <v>5219</v>
      </c>
      <c r="D2588" t="s">
        <v>120</v>
      </c>
      <c r="F2588">
        <v>207062223</v>
      </c>
      <c r="G2588">
        <v>709692969</v>
      </c>
      <c r="H2588">
        <v>723207423</v>
      </c>
      <c r="I2588">
        <v>-160000059</v>
      </c>
      <c r="J2588">
        <v>-89821194</v>
      </c>
      <c r="K2588">
        <v>-138187727</v>
      </c>
      <c r="L2588">
        <v>-233292409</v>
      </c>
      <c r="M2588">
        <v>-680272927</v>
      </c>
      <c r="N2588">
        <v>-839747701</v>
      </c>
      <c r="O2588">
        <v>-427609842</v>
      </c>
      <c r="P2588">
        <v>184</v>
      </c>
      <c r="Q2588" t="s">
        <v>5220</v>
      </c>
    </row>
    <row r="2589" spans="1:17" x14ac:dyDescent="0.3">
      <c r="A2589" t="s">
        <v>4446</v>
      </c>
      <c r="B2589" t="str">
        <f>"000862"</f>
        <v>000862</v>
      </c>
      <c r="C2589" t="s">
        <v>5221</v>
      </c>
      <c r="D2589" t="s">
        <v>41</v>
      </c>
      <c r="F2589">
        <v>1695238750</v>
      </c>
      <c r="G2589">
        <v>525480445</v>
      </c>
      <c r="H2589">
        <v>578848533</v>
      </c>
      <c r="I2589">
        <v>656734967</v>
      </c>
      <c r="J2589">
        <v>31790302</v>
      </c>
      <c r="K2589">
        <v>375897463</v>
      </c>
      <c r="L2589">
        <v>486981213</v>
      </c>
      <c r="M2589">
        <v>294130821</v>
      </c>
      <c r="N2589">
        <v>173234200</v>
      </c>
      <c r="O2589">
        <v>-531174634</v>
      </c>
      <c r="P2589">
        <v>171</v>
      </c>
      <c r="Q2589" t="s">
        <v>5222</v>
      </c>
    </row>
    <row r="2590" spans="1:17" x14ac:dyDescent="0.3">
      <c r="A2590" t="s">
        <v>4446</v>
      </c>
      <c r="B2590" t="str">
        <f>"000863"</f>
        <v>000863</v>
      </c>
      <c r="C2590" t="s">
        <v>5223</v>
      </c>
      <c r="D2590" t="s">
        <v>30</v>
      </c>
      <c r="F2590">
        <v>172404366</v>
      </c>
      <c r="G2590">
        <v>2824702915</v>
      </c>
      <c r="H2590">
        <v>2263629590</v>
      </c>
      <c r="I2590">
        <v>1660683924</v>
      </c>
      <c r="J2590">
        <v>-2560184496</v>
      </c>
      <c r="K2590">
        <v>685568477</v>
      </c>
      <c r="L2590">
        <v>-777938260</v>
      </c>
      <c r="M2590">
        <v>-1436949893</v>
      </c>
      <c r="N2590">
        <v>-358920878</v>
      </c>
      <c r="O2590">
        <v>543383709</v>
      </c>
      <c r="P2590">
        <v>171</v>
      </c>
      <c r="Q2590" t="s">
        <v>5224</v>
      </c>
    </row>
    <row r="2591" spans="1:17" x14ac:dyDescent="0.3">
      <c r="A2591" t="s">
        <v>4446</v>
      </c>
      <c r="B2591" t="str">
        <f>"000868"</f>
        <v>000868</v>
      </c>
      <c r="C2591" t="s">
        <v>5225</v>
      </c>
      <c r="D2591" t="s">
        <v>27</v>
      </c>
      <c r="F2591">
        <v>-601057459</v>
      </c>
      <c r="G2591">
        <v>922199633</v>
      </c>
      <c r="H2591">
        <v>500226408</v>
      </c>
      <c r="I2591">
        <v>-365899301</v>
      </c>
      <c r="J2591">
        <v>200891295</v>
      </c>
      <c r="K2591">
        <v>-1346373903</v>
      </c>
      <c r="L2591">
        <v>-463913200</v>
      </c>
      <c r="M2591">
        <v>-62640822</v>
      </c>
      <c r="N2591">
        <v>-364834651</v>
      </c>
      <c r="O2591">
        <v>292810765</v>
      </c>
      <c r="P2591">
        <v>171</v>
      </c>
      <c r="Q2591" t="s">
        <v>5226</v>
      </c>
    </row>
    <row r="2592" spans="1:17" x14ac:dyDescent="0.3">
      <c r="A2592" t="s">
        <v>4446</v>
      </c>
      <c r="B2592" t="str">
        <f>"000869"</f>
        <v>000869</v>
      </c>
      <c r="C2592" t="s">
        <v>5227</v>
      </c>
      <c r="D2592" t="s">
        <v>123</v>
      </c>
      <c r="F2592">
        <v>907803616</v>
      </c>
      <c r="G2592">
        <v>398428472</v>
      </c>
      <c r="H2592">
        <v>563166630</v>
      </c>
      <c r="I2592">
        <v>648561357</v>
      </c>
      <c r="J2592">
        <v>544876675</v>
      </c>
      <c r="K2592">
        <v>192286442</v>
      </c>
      <c r="L2592">
        <v>370951431</v>
      </c>
      <c r="M2592">
        <v>-167028394</v>
      </c>
      <c r="N2592">
        <v>-226079738</v>
      </c>
      <c r="O2592">
        <v>433970729</v>
      </c>
      <c r="P2592">
        <v>833</v>
      </c>
      <c r="Q2592" t="s">
        <v>5228</v>
      </c>
    </row>
    <row r="2593" spans="1:17" x14ac:dyDescent="0.3">
      <c r="A2593" t="s">
        <v>4446</v>
      </c>
      <c r="B2593" t="str">
        <f>"000875"</f>
        <v>000875</v>
      </c>
      <c r="C2593" t="s">
        <v>5229</v>
      </c>
      <c r="D2593" t="s">
        <v>41</v>
      </c>
      <c r="F2593">
        <v>-3574165270</v>
      </c>
      <c r="G2593">
        <v>-7226846563</v>
      </c>
      <c r="H2593">
        <v>-1185402420</v>
      </c>
      <c r="I2593">
        <v>-1999917769</v>
      </c>
      <c r="J2593">
        <v>-1976338463</v>
      </c>
      <c r="K2593">
        <v>-2676442574</v>
      </c>
      <c r="L2593">
        <v>-1314419211</v>
      </c>
      <c r="M2593">
        <v>-776894192</v>
      </c>
      <c r="N2593">
        <v>-160436484</v>
      </c>
      <c r="O2593">
        <v>914014378</v>
      </c>
      <c r="P2593">
        <v>278</v>
      </c>
      <c r="Q2593" t="s">
        <v>5230</v>
      </c>
    </row>
    <row r="2594" spans="1:17" x14ac:dyDescent="0.3">
      <c r="A2594" t="s">
        <v>4446</v>
      </c>
      <c r="B2594" t="str">
        <f>"000876"</f>
        <v>000876</v>
      </c>
      <c r="C2594" t="s">
        <v>5231</v>
      </c>
      <c r="D2594" t="s">
        <v>205</v>
      </c>
      <c r="F2594">
        <v>-16270389173</v>
      </c>
      <c r="G2594">
        <v>-27752142475</v>
      </c>
      <c r="H2594">
        <v>-4383918112</v>
      </c>
      <c r="I2594">
        <v>-66140028</v>
      </c>
      <c r="J2594">
        <v>583443550</v>
      </c>
      <c r="K2594">
        <v>1288776063</v>
      </c>
      <c r="L2594">
        <v>1616744981</v>
      </c>
      <c r="M2594">
        <v>-694196275</v>
      </c>
      <c r="N2594">
        <v>-610476546</v>
      </c>
      <c r="O2594">
        <v>121513409</v>
      </c>
      <c r="P2594">
        <v>2609</v>
      </c>
      <c r="Q2594" t="s">
        <v>5232</v>
      </c>
    </row>
    <row r="2595" spans="1:17" x14ac:dyDescent="0.3">
      <c r="A2595" t="s">
        <v>4446</v>
      </c>
      <c r="B2595" t="str">
        <f>"000877"</f>
        <v>000877</v>
      </c>
      <c r="C2595" t="s">
        <v>5233</v>
      </c>
      <c r="D2595" t="s">
        <v>350</v>
      </c>
      <c r="F2595">
        <v>9469801348</v>
      </c>
      <c r="G2595">
        <v>2616587321</v>
      </c>
      <c r="H2595">
        <v>2667585369</v>
      </c>
      <c r="I2595">
        <v>1858367810</v>
      </c>
      <c r="J2595">
        <v>1163351186</v>
      </c>
      <c r="K2595">
        <v>634793672</v>
      </c>
      <c r="L2595">
        <v>185277537</v>
      </c>
      <c r="M2595">
        <v>442908082</v>
      </c>
      <c r="N2595">
        <v>-1182757405</v>
      </c>
      <c r="O2595">
        <v>-2604514330</v>
      </c>
      <c r="P2595">
        <v>743</v>
      </c>
      <c r="Q2595" t="s">
        <v>5234</v>
      </c>
    </row>
    <row r="2596" spans="1:17" x14ac:dyDescent="0.3">
      <c r="A2596" t="s">
        <v>4446</v>
      </c>
      <c r="B2596" t="str">
        <f>"000878"</f>
        <v>000878</v>
      </c>
      <c r="C2596" t="s">
        <v>5235</v>
      </c>
      <c r="D2596" t="s">
        <v>234</v>
      </c>
      <c r="F2596">
        <v>4510869273</v>
      </c>
      <c r="G2596">
        <v>3890478176</v>
      </c>
      <c r="H2596">
        <v>-1774686119</v>
      </c>
      <c r="I2596">
        <v>-2247856882</v>
      </c>
      <c r="J2596">
        <v>-3569887122</v>
      </c>
      <c r="K2596">
        <v>1689480198</v>
      </c>
      <c r="L2596">
        <v>478381386</v>
      </c>
      <c r="M2596">
        <v>3648979173</v>
      </c>
      <c r="N2596">
        <v>3384144060</v>
      </c>
      <c r="O2596">
        <v>1462675703</v>
      </c>
      <c r="P2596">
        <v>418</v>
      </c>
      <c r="Q2596" t="s">
        <v>5236</v>
      </c>
    </row>
    <row r="2597" spans="1:17" x14ac:dyDescent="0.3">
      <c r="A2597" t="s">
        <v>4446</v>
      </c>
      <c r="B2597" t="str">
        <f>"000880"</f>
        <v>000880</v>
      </c>
      <c r="C2597" t="s">
        <v>5237</v>
      </c>
      <c r="D2597" t="s">
        <v>27</v>
      </c>
      <c r="F2597">
        <v>185393988</v>
      </c>
      <c r="G2597">
        <v>190565239</v>
      </c>
      <c r="H2597">
        <v>100725392</v>
      </c>
      <c r="I2597">
        <v>-42824017</v>
      </c>
      <c r="J2597">
        <v>337826661</v>
      </c>
      <c r="K2597">
        <v>-112836346</v>
      </c>
      <c r="L2597">
        <v>-29886555</v>
      </c>
      <c r="M2597">
        <v>75683085</v>
      </c>
      <c r="N2597">
        <v>-168226091</v>
      </c>
      <c r="O2597">
        <v>-152502266</v>
      </c>
      <c r="P2597">
        <v>102</v>
      </c>
      <c r="Q2597" t="s">
        <v>5238</v>
      </c>
    </row>
    <row r="2598" spans="1:17" x14ac:dyDescent="0.3">
      <c r="A2598" t="s">
        <v>4446</v>
      </c>
      <c r="B2598" t="str">
        <f>"000881"</f>
        <v>000881</v>
      </c>
      <c r="C2598" t="s">
        <v>5239</v>
      </c>
      <c r="D2598" t="s">
        <v>133</v>
      </c>
      <c r="F2598">
        <v>-76396174</v>
      </c>
      <c r="G2598">
        <v>-236222565</v>
      </c>
      <c r="H2598">
        <v>335042782</v>
      </c>
      <c r="I2598">
        <v>-165681259</v>
      </c>
      <c r="J2598">
        <v>71940916</v>
      </c>
      <c r="K2598">
        <v>-97939221</v>
      </c>
      <c r="L2598">
        <v>356861466</v>
      </c>
      <c r="M2598">
        <v>-474834691</v>
      </c>
      <c r="N2598">
        <v>312479238</v>
      </c>
      <c r="O2598">
        <v>592231561</v>
      </c>
      <c r="P2598">
        <v>169</v>
      </c>
      <c r="Q2598" t="s">
        <v>5240</v>
      </c>
    </row>
    <row r="2599" spans="1:17" x14ac:dyDescent="0.3">
      <c r="A2599" t="s">
        <v>4446</v>
      </c>
      <c r="B2599" t="str">
        <f>"000882"</f>
        <v>000882</v>
      </c>
      <c r="C2599" t="s">
        <v>5241</v>
      </c>
      <c r="D2599" t="s">
        <v>120</v>
      </c>
      <c r="F2599">
        <v>725699848</v>
      </c>
      <c r="G2599">
        <v>86332948</v>
      </c>
      <c r="H2599">
        <v>210511752</v>
      </c>
      <c r="I2599">
        <v>-234451984</v>
      </c>
      <c r="J2599">
        <v>-307026559</v>
      </c>
      <c r="K2599">
        <v>-261137943</v>
      </c>
      <c r="L2599">
        <v>-241045805</v>
      </c>
      <c r="M2599">
        <v>-543168228</v>
      </c>
      <c r="N2599">
        <v>-1197728114</v>
      </c>
      <c r="O2599">
        <v>-263238144</v>
      </c>
      <c r="P2599">
        <v>114</v>
      </c>
      <c r="Q2599" t="s">
        <v>5242</v>
      </c>
    </row>
    <row r="2600" spans="1:17" x14ac:dyDescent="0.3">
      <c r="A2600" t="s">
        <v>4446</v>
      </c>
      <c r="B2600" t="str">
        <f>"000883"</f>
        <v>000883</v>
      </c>
      <c r="C2600" t="s">
        <v>5243</v>
      </c>
      <c r="D2600" t="s">
        <v>41</v>
      </c>
      <c r="F2600">
        <v>-202194210</v>
      </c>
      <c r="G2600">
        <v>3004167951</v>
      </c>
      <c r="H2600">
        <v>-494591566</v>
      </c>
      <c r="I2600">
        <v>-1034711347</v>
      </c>
      <c r="J2600">
        <v>-322750954</v>
      </c>
      <c r="K2600">
        <v>-969238483</v>
      </c>
      <c r="L2600">
        <v>221884770</v>
      </c>
      <c r="M2600">
        <v>259406024</v>
      </c>
      <c r="N2600">
        <v>430740763</v>
      </c>
      <c r="O2600">
        <v>1998898470</v>
      </c>
      <c r="P2600">
        <v>419</v>
      </c>
      <c r="Q2600" t="s">
        <v>5244</v>
      </c>
    </row>
    <row r="2601" spans="1:17" x14ac:dyDescent="0.3">
      <c r="A2601" t="s">
        <v>4446</v>
      </c>
      <c r="B2601" t="str">
        <f>"000885"</f>
        <v>000885</v>
      </c>
      <c r="C2601" t="s">
        <v>5245</v>
      </c>
      <c r="D2601" t="s">
        <v>22</v>
      </c>
      <c r="F2601">
        <v>-3002478598</v>
      </c>
      <c r="G2601">
        <v>-1616481479</v>
      </c>
      <c r="H2601">
        <v>263194961</v>
      </c>
      <c r="I2601">
        <v>917781901</v>
      </c>
      <c r="J2601">
        <v>1128224814</v>
      </c>
      <c r="K2601">
        <v>23306932</v>
      </c>
      <c r="L2601">
        <v>327759239</v>
      </c>
      <c r="M2601">
        <v>688685190</v>
      </c>
      <c r="N2601">
        <v>242024522</v>
      </c>
      <c r="O2601">
        <v>583295603</v>
      </c>
      <c r="P2601">
        <v>237</v>
      </c>
      <c r="Q2601" t="s">
        <v>5246</v>
      </c>
    </row>
    <row r="2602" spans="1:17" x14ac:dyDescent="0.3">
      <c r="A2602" t="s">
        <v>4446</v>
      </c>
      <c r="B2602" t="str">
        <f>"000886"</f>
        <v>000886</v>
      </c>
      <c r="C2602" t="s">
        <v>5247</v>
      </c>
      <c r="D2602" t="s">
        <v>22</v>
      </c>
      <c r="F2602">
        <v>-164597700</v>
      </c>
      <c r="G2602">
        <v>-159699917</v>
      </c>
      <c r="H2602">
        <v>-4399734</v>
      </c>
      <c r="I2602">
        <v>222573066</v>
      </c>
      <c r="J2602">
        <v>368767264</v>
      </c>
      <c r="K2602">
        <v>91909865</v>
      </c>
      <c r="L2602">
        <v>-39689959</v>
      </c>
      <c r="M2602">
        <v>-20080883</v>
      </c>
      <c r="N2602">
        <v>75579998</v>
      </c>
      <c r="O2602">
        <v>372314465</v>
      </c>
      <c r="P2602">
        <v>130</v>
      </c>
      <c r="Q2602" t="s">
        <v>5248</v>
      </c>
    </row>
    <row r="2603" spans="1:17" x14ac:dyDescent="0.3">
      <c r="A2603" t="s">
        <v>4446</v>
      </c>
      <c r="B2603" t="str">
        <f>"000887"</f>
        <v>000887</v>
      </c>
      <c r="C2603" t="s">
        <v>5249</v>
      </c>
      <c r="D2603" t="s">
        <v>27</v>
      </c>
      <c r="F2603">
        <v>132847967</v>
      </c>
      <c r="G2603">
        <v>841190664</v>
      </c>
      <c r="H2603">
        <v>413927753</v>
      </c>
      <c r="I2603">
        <v>-212833686</v>
      </c>
      <c r="J2603">
        <v>129767399</v>
      </c>
      <c r="K2603">
        <v>309841684</v>
      </c>
      <c r="L2603">
        <v>751956189</v>
      </c>
      <c r="M2603">
        <v>324251281</v>
      </c>
      <c r="N2603">
        <v>296370822</v>
      </c>
      <c r="O2603">
        <v>261675290</v>
      </c>
      <c r="P2603">
        <v>7119</v>
      </c>
      <c r="Q2603" t="s">
        <v>5250</v>
      </c>
    </row>
    <row r="2604" spans="1:17" x14ac:dyDescent="0.3">
      <c r="A2604" t="s">
        <v>4446</v>
      </c>
      <c r="B2604" t="str">
        <f>"000888"</f>
        <v>000888</v>
      </c>
      <c r="C2604" t="s">
        <v>5251</v>
      </c>
      <c r="D2604" t="s">
        <v>110</v>
      </c>
      <c r="F2604">
        <v>102343575</v>
      </c>
      <c r="G2604">
        <v>-73830676</v>
      </c>
      <c r="H2604">
        <v>342140024</v>
      </c>
      <c r="I2604">
        <v>307931733</v>
      </c>
      <c r="J2604">
        <v>115822960</v>
      </c>
      <c r="K2604">
        <v>12754409</v>
      </c>
      <c r="L2604">
        <v>59893280</v>
      </c>
      <c r="M2604">
        <v>-65923683</v>
      </c>
      <c r="N2604">
        <v>-30176575</v>
      </c>
      <c r="O2604">
        <v>64582832</v>
      </c>
      <c r="P2604">
        <v>218</v>
      </c>
      <c r="Q2604" t="s">
        <v>5252</v>
      </c>
    </row>
    <row r="2605" spans="1:17" x14ac:dyDescent="0.3">
      <c r="A2605" t="s">
        <v>4446</v>
      </c>
      <c r="B2605" t="str">
        <f>"000889"</f>
        <v>000889</v>
      </c>
      <c r="C2605" t="s">
        <v>5253</v>
      </c>
      <c r="D2605" t="s">
        <v>100</v>
      </c>
      <c r="F2605">
        <v>-109849719</v>
      </c>
      <c r="G2605">
        <v>205860534</v>
      </c>
      <c r="H2605">
        <v>379002711</v>
      </c>
      <c r="I2605">
        <v>-117388108</v>
      </c>
      <c r="J2605">
        <v>13595987</v>
      </c>
      <c r="K2605">
        <v>136545279</v>
      </c>
      <c r="L2605">
        <v>122949520</v>
      </c>
      <c r="M2605">
        <v>32180749</v>
      </c>
      <c r="N2605">
        <v>68623332</v>
      </c>
      <c r="O2605">
        <v>165776668</v>
      </c>
      <c r="P2605">
        <v>157</v>
      </c>
      <c r="Q2605" t="s">
        <v>5254</v>
      </c>
    </row>
    <row r="2606" spans="1:17" x14ac:dyDescent="0.3">
      <c r="A2606" t="s">
        <v>4446</v>
      </c>
      <c r="B2606" t="str">
        <f>"000890"</f>
        <v>000890</v>
      </c>
      <c r="C2606" t="s">
        <v>5255</v>
      </c>
      <c r="D2606" t="s">
        <v>78</v>
      </c>
      <c r="F2606">
        <v>-29652628</v>
      </c>
      <c r="G2606">
        <v>2100818362</v>
      </c>
      <c r="H2606">
        <v>1649739448</v>
      </c>
      <c r="I2606">
        <v>1314176367</v>
      </c>
      <c r="J2606">
        <v>-835400299</v>
      </c>
      <c r="K2606">
        <v>-2548204964</v>
      </c>
      <c r="L2606">
        <v>45206165</v>
      </c>
      <c r="M2606">
        <v>215977194</v>
      </c>
      <c r="N2606">
        <v>-145906506</v>
      </c>
      <c r="O2606">
        <v>305911913</v>
      </c>
      <c r="P2606">
        <v>133</v>
      </c>
      <c r="Q2606" t="s">
        <v>5256</v>
      </c>
    </row>
    <row r="2607" spans="1:17" x14ac:dyDescent="0.3">
      <c r="A2607" t="s">
        <v>4446</v>
      </c>
      <c r="B2607" t="str">
        <f>"000892"</f>
        <v>000892</v>
      </c>
      <c r="C2607" t="s">
        <v>5257</v>
      </c>
      <c r="D2607" t="s">
        <v>89</v>
      </c>
      <c r="F2607">
        <v>-274631233</v>
      </c>
      <c r="G2607">
        <v>276253098</v>
      </c>
      <c r="H2607">
        <v>-11109282</v>
      </c>
      <c r="I2607">
        <v>-670770511</v>
      </c>
      <c r="J2607">
        <v>-446348705</v>
      </c>
      <c r="K2607">
        <v>31098223</v>
      </c>
      <c r="L2607">
        <v>-1039381</v>
      </c>
      <c r="M2607">
        <v>-2737492</v>
      </c>
      <c r="N2607">
        <v>-1000429</v>
      </c>
      <c r="O2607">
        <v>151834</v>
      </c>
      <c r="P2607">
        <v>109</v>
      </c>
      <c r="Q2607" t="s">
        <v>5258</v>
      </c>
    </row>
    <row r="2608" spans="1:17" x14ac:dyDescent="0.3">
      <c r="A2608" t="s">
        <v>4446</v>
      </c>
      <c r="B2608" t="str">
        <f>"000893"</f>
        <v>000893</v>
      </c>
      <c r="C2608" t="s">
        <v>5259</v>
      </c>
      <c r="D2608" t="s">
        <v>133</v>
      </c>
      <c r="F2608">
        <v>-225598217</v>
      </c>
      <c r="G2608">
        <v>-58817539</v>
      </c>
      <c r="H2608">
        <v>-36968878</v>
      </c>
      <c r="I2608">
        <v>-19883572</v>
      </c>
      <c r="J2608">
        <v>-118424853</v>
      </c>
      <c r="K2608">
        <v>48388451</v>
      </c>
      <c r="L2608">
        <v>-474578481</v>
      </c>
      <c r="M2608">
        <v>140955822</v>
      </c>
      <c r="N2608">
        <v>-1723730692</v>
      </c>
      <c r="O2608">
        <v>-775001798</v>
      </c>
      <c r="P2608">
        <v>159</v>
      </c>
      <c r="Q2608" t="s">
        <v>5260</v>
      </c>
    </row>
    <row r="2609" spans="1:17" x14ac:dyDescent="0.3">
      <c r="A2609" t="s">
        <v>4446</v>
      </c>
      <c r="B2609" t="str">
        <f>"000895"</f>
        <v>000895</v>
      </c>
      <c r="C2609" t="s">
        <v>5261</v>
      </c>
      <c r="D2609" t="s">
        <v>123</v>
      </c>
      <c r="F2609">
        <v>2115262491</v>
      </c>
      <c r="G2609">
        <v>7684512241</v>
      </c>
      <c r="H2609">
        <v>3765097557</v>
      </c>
      <c r="I2609">
        <v>4745568980</v>
      </c>
      <c r="J2609">
        <v>5202593866</v>
      </c>
      <c r="K2609">
        <v>4664797865</v>
      </c>
      <c r="L2609">
        <v>3533131635</v>
      </c>
      <c r="M2609">
        <v>2229389468</v>
      </c>
      <c r="N2609">
        <v>2534139297</v>
      </c>
      <c r="O2609">
        <v>3357320422</v>
      </c>
      <c r="P2609">
        <v>37260</v>
      </c>
      <c r="Q2609" t="s">
        <v>5262</v>
      </c>
    </row>
    <row r="2610" spans="1:17" x14ac:dyDescent="0.3">
      <c r="A2610" t="s">
        <v>4446</v>
      </c>
      <c r="B2610" t="str">
        <f>"000897"</f>
        <v>000897</v>
      </c>
      <c r="C2610" t="s">
        <v>5263</v>
      </c>
      <c r="D2610" t="s">
        <v>30</v>
      </c>
      <c r="F2610">
        <v>1267586436</v>
      </c>
      <c r="G2610">
        <v>774205580</v>
      </c>
      <c r="H2610">
        <v>494682420</v>
      </c>
      <c r="I2610">
        <v>859485169</v>
      </c>
      <c r="J2610">
        <v>-283345138</v>
      </c>
      <c r="K2610">
        <v>820655660</v>
      </c>
      <c r="L2610">
        <v>333495439</v>
      </c>
      <c r="M2610">
        <v>1052768951</v>
      </c>
      <c r="N2610">
        <v>527071730</v>
      </c>
      <c r="O2610">
        <v>1485490248</v>
      </c>
      <c r="P2610">
        <v>171</v>
      </c>
      <c r="Q2610" t="s">
        <v>5264</v>
      </c>
    </row>
    <row r="2611" spans="1:17" x14ac:dyDescent="0.3">
      <c r="A2611" t="s">
        <v>4446</v>
      </c>
      <c r="B2611" t="str">
        <f>"000898"</f>
        <v>000898</v>
      </c>
      <c r="C2611" t="s">
        <v>5265</v>
      </c>
      <c r="D2611" t="s">
        <v>38</v>
      </c>
      <c r="F2611">
        <v>8409000000</v>
      </c>
      <c r="G2611">
        <v>6160000000</v>
      </c>
      <c r="H2611">
        <v>6608000000</v>
      </c>
      <c r="I2611">
        <v>5481000000</v>
      </c>
      <c r="J2611">
        <v>4401000000</v>
      </c>
      <c r="K2611">
        <v>3104000000</v>
      </c>
      <c r="L2611">
        <v>1334000000</v>
      </c>
      <c r="M2611">
        <v>-2275000000</v>
      </c>
      <c r="N2611">
        <v>7643000000</v>
      </c>
      <c r="O2611">
        <v>-1459000000</v>
      </c>
      <c r="P2611">
        <v>646</v>
      </c>
      <c r="Q2611" t="s">
        <v>5266</v>
      </c>
    </row>
    <row r="2612" spans="1:17" x14ac:dyDescent="0.3">
      <c r="A2612" t="s">
        <v>4446</v>
      </c>
      <c r="B2612" t="str">
        <f>"000899"</f>
        <v>000899</v>
      </c>
      <c r="C2612" t="s">
        <v>5267</v>
      </c>
      <c r="D2612" t="s">
        <v>41</v>
      </c>
      <c r="F2612">
        <v>-1358732445</v>
      </c>
      <c r="G2612">
        <v>-76604058</v>
      </c>
      <c r="H2612">
        <v>-125501745</v>
      </c>
      <c r="I2612">
        <v>22466786</v>
      </c>
      <c r="J2612">
        <v>307026840</v>
      </c>
      <c r="K2612">
        <v>-179736468</v>
      </c>
      <c r="L2612">
        <v>680516505</v>
      </c>
      <c r="M2612">
        <v>746707423</v>
      </c>
      <c r="N2612">
        <v>736567510</v>
      </c>
      <c r="O2612">
        <v>893066119</v>
      </c>
      <c r="P2612">
        <v>174</v>
      </c>
      <c r="Q2612" t="s">
        <v>5268</v>
      </c>
    </row>
    <row r="2613" spans="1:17" x14ac:dyDescent="0.3">
      <c r="A2613" t="s">
        <v>4446</v>
      </c>
      <c r="B2613" t="str">
        <f>"000900"</f>
        <v>000900</v>
      </c>
      <c r="C2613" t="s">
        <v>5269</v>
      </c>
      <c r="D2613" t="s">
        <v>22</v>
      </c>
      <c r="F2613">
        <v>3120095829</v>
      </c>
      <c r="G2613">
        <v>-869325696</v>
      </c>
      <c r="H2613">
        <v>3086600761</v>
      </c>
      <c r="I2613">
        <v>958836462</v>
      </c>
      <c r="J2613">
        <v>-546103721</v>
      </c>
      <c r="K2613">
        <v>690512955</v>
      </c>
      <c r="L2613">
        <v>975010703</v>
      </c>
      <c r="M2613">
        <v>194603281</v>
      </c>
      <c r="N2613">
        <v>-2831068882</v>
      </c>
      <c r="O2613">
        <v>-1063542644</v>
      </c>
      <c r="P2613">
        <v>570</v>
      </c>
      <c r="Q2613" t="s">
        <v>5270</v>
      </c>
    </row>
    <row r="2614" spans="1:17" x14ac:dyDescent="0.3">
      <c r="A2614" t="s">
        <v>4446</v>
      </c>
      <c r="B2614" t="str">
        <f>"000901"</f>
        <v>000901</v>
      </c>
      <c r="C2614" t="s">
        <v>5271</v>
      </c>
      <c r="D2614" t="s">
        <v>92</v>
      </c>
      <c r="F2614">
        <v>-187047737</v>
      </c>
      <c r="G2614">
        <v>-316281109</v>
      </c>
      <c r="H2614">
        <v>-64381201</v>
      </c>
      <c r="I2614">
        <v>-60178215</v>
      </c>
      <c r="J2614">
        <v>47647007</v>
      </c>
      <c r="K2614">
        <v>180320723</v>
      </c>
      <c r="L2614">
        <v>-89534996</v>
      </c>
      <c r="M2614">
        <v>-80395281</v>
      </c>
      <c r="N2614">
        <v>-113207127</v>
      </c>
      <c r="O2614">
        <v>-135495497</v>
      </c>
      <c r="P2614">
        <v>224</v>
      </c>
      <c r="Q2614" t="s">
        <v>5272</v>
      </c>
    </row>
    <row r="2615" spans="1:17" x14ac:dyDescent="0.3">
      <c r="A2615" t="s">
        <v>4446</v>
      </c>
      <c r="B2615" t="str">
        <f>"000902"</f>
        <v>000902</v>
      </c>
      <c r="C2615" t="s">
        <v>5273</v>
      </c>
      <c r="D2615" t="s">
        <v>133</v>
      </c>
      <c r="F2615">
        <v>-1188987985</v>
      </c>
      <c r="G2615">
        <v>1484444023</v>
      </c>
      <c r="H2615">
        <v>1219264612</v>
      </c>
      <c r="I2615">
        <v>-116375141</v>
      </c>
      <c r="J2615">
        <v>541817329</v>
      </c>
      <c r="K2615">
        <v>83624069</v>
      </c>
      <c r="L2615">
        <v>-4656164</v>
      </c>
      <c r="M2615">
        <v>323322407</v>
      </c>
      <c r="N2615">
        <v>-17849706</v>
      </c>
      <c r="O2615">
        <v>-51540735</v>
      </c>
      <c r="P2615">
        <v>407</v>
      </c>
      <c r="Q2615" t="s">
        <v>5274</v>
      </c>
    </row>
    <row r="2616" spans="1:17" x14ac:dyDescent="0.3">
      <c r="A2616" t="s">
        <v>4446</v>
      </c>
      <c r="B2616" t="str">
        <f>"000903"</f>
        <v>000903</v>
      </c>
      <c r="C2616" t="s">
        <v>5275</v>
      </c>
      <c r="D2616" t="s">
        <v>27</v>
      </c>
      <c r="F2616">
        <v>-897588003</v>
      </c>
      <c r="G2616">
        <v>1968571938</v>
      </c>
      <c r="H2616">
        <v>720359801</v>
      </c>
      <c r="I2616">
        <v>158865059</v>
      </c>
      <c r="J2616">
        <v>-762015306</v>
      </c>
      <c r="K2616">
        <v>-194714375</v>
      </c>
      <c r="L2616">
        <v>209037652</v>
      </c>
      <c r="M2616">
        <v>-248927021</v>
      </c>
      <c r="N2616">
        <v>264894258</v>
      </c>
      <c r="O2616">
        <v>9685715</v>
      </c>
      <c r="P2616">
        <v>155</v>
      </c>
      <c r="Q2616" t="s">
        <v>5276</v>
      </c>
    </row>
    <row r="2617" spans="1:17" x14ac:dyDescent="0.3">
      <c r="A2617" t="s">
        <v>4446</v>
      </c>
      <c r="B2617" t="str">
        <f>"000905"</f>
        <v>000905</v>
      </c>
      <c r="C2617" t="s">
        <v>5277</v>
      </c>
      <c r="D2617" t="s">
        <v>22</v>
      </c>
      <c r="F2617">
        <v>426155850</v>
      </c>
      <c r="G2617">
        <v>40815446</v>
      </c>
      <c r="H2617">
        <v>90390916</v>
      </c>
      <c r="I2617">
        <v>-218506479</v>
      </c>
      <c r="J2617">
        <v>-408132013</v>
      </c>
      <c r="K2617">
        <v>-121063731</v>
      </c>
      <c r="L2617">
        <v>84083104</v>
      </c>
      <c r="M2617">
        <v>-140153613</v>
      </c>
      <c r="N2617">
        <v>20046252</v>
      </c>
      <c r="O2617">
        <v>164641568</v>
      </c>
      <c r="P2617">
        <v>213</v>
      </c>
      <c r="Q2617" t="s">
        <v>5278</v>
      </c>
    </row>
    <row r="2618" spans="1:17" x14ac:dyDescent="0.3">
      <c r="A2618" t="s">
        <v>4446</v>
      </c>
      <c r="B2618" t="str">
        <f>"000906"</f>
        <v>000906</v>
      </c>
      <c r="C2618" t="s">
        <v>5279</v>
      </c>
      <c r="D2618" t="s">
        <v>22</v>
      </c>
      <c r="F2618">
        <v>2237685957</v>
      </c>
      <c r="G2618">
        <v>960517882</v>
      </c>
      <c r="H2618">
        <v>-174644971</v>
      </c>
      <c r="I2618">
        <v>823335062</v>
      </c>
      <c r="J2618">
        <v>-796465990</v>
      </c>
      <c r="K2618">
        <v>301895063</v>
      </c>
      <c r="L2618">
        <v>-119325053</v>
      </c>
      <c r="M2618">
        <v>-641323782</v>
      </c>
      <c r="N2618">
        <v>26494713</v>
      </c>
      <c r="O2618">
        <v>639827537</v>
      </c>
      <c r="P2618">
        <v>239</v>
      </c>
      <c r="Q2618" t="s">
        <v>5280</v>
      </c>
    </row>
    <row r="2619" spans="1:17" x14ac:dyDescent="0.3">
      <c r="A2619" t="s">
        <v>4446</v>
      </c>
      <c r="B2619" t="str">
        <f>"000908"</f>
        <v>000908</v>
      </c>
      <c r="C2619" t="s">
        <v>5281</v>
      </c>
      <c r="D2619" t="s">
        <v>113</v>
      </c>
      <c r="F2619">
        <v>97728128</v>
      </c>
      <c r="G2619">
        <v>-365739432</v>
      </c>
      <c r="H2619">
        <v>-60040986</v>
      </c>
      <c r="I2619">
        <v>189706839</v>
      </c>
      <c r="J2619">
        <v>-151479216</v>
      </c>
      <c r="K2619">
        <v>-239750906</v>
      </c>
      <c r="L2619">
        <v>-130823550</v>
      </c>
      <c r="M2619">
        <v>105483744</v>
      </c>
      <c r="N2619">
        <v>46634</v>
      </c>
      <c r="O2619">
        <v>-4729563</v>
      </c>
      <c r="P2619">
        <v>186</v>
      </c>
      <c r="Q2619" t="s">
        <v>5282</v>
      </c>
    </row>
    <row r="2620" spans="1:17" x14ac:dyDescent="0.3">
      <c r="A2620" t="s">
        <v>4446</v>
      </c>
      <c r="B2620" t="str">
        <f>"000909"</f>
        <v>000909</v>
      </c>
      <c r="C2620" t="s">
        <v>5283</v>
      </c>
      <c r="D2620" t="s">
        <v>30</v>
      </c>
      <c r="F2620">
        <v>186240572</v>
      </c>
      <c r="G2620">
        <v>104009330</v>
      </c>
      <c r="H2620">
        <v>-107574602</v>
      </c>
      <c r="I2620">
        <v>552317171</v>
      </c>
      <c r="J2620">
        <v>-77869511</v>
      </c>
      <c r="K2620">
        <v>759244946</v>
      </c>
      <c r="L2620">
        <v>-372450726</v>
      </c>
      <c r="M2620">
        <v>9012706</v>
      </c>
      <c r="N2620">
        <v>-611826499</v>
      </c>
      <c r="O2620">
        <v>22433026</v>
      </c>
      <c r="P2620">
        <v>206</v>
      </c>
      <c r="Q2620" t="s">
        <v>5284</v>
      </c>
    </row>
    <row r="2621" spans="1:17" x14ac:dyDescent="0.3">
      <c r="A2621" t="s">
        <v>4446</v>
      </c>
      <c r="B2621" t="str">
        <f>"000910"</f>
        <v>000910</v>
      </c>
      <c r="C2621" t="s">
        <v>5285</v>
      </c>
      <c r="D2621" t="s">
        <v>161</v>
      </c>
      <c r="F2621">
        <v>441805161</v>
      </c>
      <c r="G2621">
        <v>652874411</v>
      </c>
      <c r="H2621">
        <v>383595968</v>
      </c>
      <c r="I2621">
        <v>353801319</v>
      </c>
      <c r="J2621">
        <v>918982807</v>
      </c>
      <c r="K2621">
        <v>1046782800</v>
      </c>
      <c r="L2621">
        <v>1438171415</v>
      </c>
      <c r="M2621">
        <v>866302766</v>
      </c>
      <c r="N2621">
        <v>1143475489</v>
      </c>
      <c r="O2621">
        <v>944809305</v>
      </c>
      <c r="P2621">
        <v>813</v>
      </c>
      <c r="Q2621" t="s">
        <v>5286</v>
      </c>
    </row>
    <row r="2622" spans="1:17" x14ac:dyDescent="0.3">
      <c r="A2622" t="s">
        <v>4446</v>
      </c>
      <c r="B2622" t="str">
        <f>"000911"</f>
        <v>000911</v>
      </c>
      <c r="C2622" t="s">
        <v>5287</v>
      </c>
      <c r="D2622" t="s">
        <v>205</v>
      </c>
      <c r="F2622">
        <v>-107703888</v>
      </c>
      <c r="G2622">
        <v>801313428</v>
      </c>
      <c r="H2622">
        <v>238461934</v>
      </c>
      <c r="I2622">
        <v>21713792</v>
      </c>
      <c r="J2622">
        <v>-1164583180</v>
      </c>
      <c r="K2622">
        <v>63921343</v>
      </c>
      <c r="L2622">
        <v>-686953180</v>
      </c>
      <c r="M2622">
        <v>-657450200</v>
      </c>
      <c r="N2622">
        <v>1816008946</v>
      </c>
      <c r="O2622">
        <v>-285381937</v>
      </c>
      <c r="P2622">
        <v>334</v>
      </c>
      <c r="Q2622" t="s">
        <v>5288</v>
      </c>
    </row>
    <row r="2623" spans="1:17" x14ac:dyDescent="0.3">
      <c r="A2623" t="s">
        <v>4446</v>
      </c>
      <c r="B2623" t="str">
        <f>"000912"</f>
        <v>000912</v>
      </c>
      <c r="C2623" t="s">
        <v>5289</v>
      </c>
      <c r="D2623" t="s">
        <v>133</v>
      </c>
      <c r="F2623">
        <v>554525427</v>
      </c>
      <c r="G2623">
        <v>111049723</v>
      </c>
      <c r="H2623">
        <v>88306719</v>
      </c>
      <c r="I2623">
        <v>305177388</v>
      </c>
      <c r="J2623">
        <v>316783739</v>
      </c>
      <c r="K2623">
        <v>244762895</v>
      </c>
      <c r="L2623">
        <v>30289065</v>
      </c>
      <c r="M2623">
        <v>-449672636</v>
      </c>
      <c r="N2623">
        <v>-996153708</v>
      </c>
      <c r="O2623">
        <v>-2345698697</v>
      </c>
      <c r="P2623">
        <v>110</v>
      </c>
      <c r="Q2623" t="s">
        <v>5290</v>
      </c>
    </row>
    <row r="2624" spans="1:17" x14ac:dyDescent="0.3">
      <c r="A2624" t="s">
        <v>4446</v>
      </c>
      <c r="B2624" t="str">
        <f>"000913"</f>
        <v>000913</v>
      </c>
      <c r="C2624" t="s">
        <v>5291</v>
      </c>
      <c r="D2624" t="s">
        <v>27</v>
      </c>
      <c r="F2624">
        <v>118406652</v>
      </c>
      <c r="G2624">
        <v>400544124</v>
      </c>
      <c r="H2624">
        <v>293594228</v>
      </c>
      <c r="I2624">
        <v>-182262382</v>
      </c>
      <c r="J2624">
        <v>-13685135</v>
      </c>
      <c r="K2624">
        <v>187626427</v>
      </c>
      <c r="L2624">
        <v>93466542</v>
      </c>
      <c r="M2624">
        <v>-93650111</v>
      </c>
      <c r="N2624">
        <v>-149917240</v>
      </c>
      <c r="O2624">
        <v>-51966698</v>
      </c>
      <c r="P2624">
        <v>176</v>
      </c>
      <c r="Q2624" t="s">
        <v>5292</v>
      </c>
    </row>
    <row r="2625" spans="1:17" x14ac:dyDescent="0.3">
      <c r="A2625" t="s">
        <v>4446</v>
      </c>
      <c r="B2625" t="str">
        <f>"000915"</f>
        <v>000915</v>
      </c>
      <c r="C2625" t="s">
        <v>5293</v>
      </c>
      <c r="D2625" t="s">
        <v>113</v>
      </c>
      <c r="F2625">
        <v>635604690</v>
      </c>
      <c r="G2625">
        <v>633819786</v>
      </c>
      <c r="H2625">
        <v>71172366</v>
      </c>
      <c r="I2625">
        <v>423149793</v>
      </c>
      <c r="J2625">
        <v>249016837</v>
      </c>
      <c r="K2625">
        <v>271199968</v>
      </c>
      <c r="L2625">
        <v>228645993</v>
      </c>
      <c r="M2625">
        <v>229058533</v>
      </c>
      <c r="N2625">
        <v>149614214</v>
      </c>
      <c r="O2625">
        <v>109607869</v>
      </c>
      <c r="P2625">
        <v>650</v>
      </c>
      <c r="Q2625" t="s">
        <v>5294</v>
      </c>
    </row>
    <row r="2626" spans="1:17" x14ac:dyDescent="0.3">
      <c r="A2626" t="s">
        <v>4446</v>
      </c>
      <c r="B2626" t="str">
        <f>"000916"</f>
        <v>000916</v>
      </c>
      <c r="C2626" t="s">
        <v>5295</v>
      </c>
      <c r="K2626">
        <v>234335791</v>
      </c>
      <c r="L2626">
        <v>-141842581.69</v>
      </c>
      <c r="M2626">
        <v>-652347670.52999997</v>
      </c>
      <c r="N2626">
        <v>203173711.65000001</v>
      </c>
      <c r="O2626">
        <v>204936061.21000001</v>
      </c>
      <c r="P2626">
        <v>27</v>
      </c>
      <c r="Q2626" t="s">
        <v>5296</v>
      </c>
    </row>
    <row r="2627" spans="1:17" x14ac:dyDescent="0.3">
      <c r="A2627" t="s">
        <v>4446</v>
      </c>
      <c r="B2627" t="str">
        <f>"000917"</f>
        <v>000917</v>
      </c>
      <c r="C2627" t="s">
        <v>5297</v>
      </c>
      <c r="D2627" t="s">
        <v>89</v>
      </c>
      <c r="F2627">
        <v>583236488</v>
      </c>
      <c r="G2627">
        <v>-222695870</v>
      </c>
      <c r="H2627">
        <v>1185090020</v>
      </c>
      <c r="I2627">
        <v>34960807</v>
      </c>
      <c r="J2627">
        <v>-665983965</v>
      </c>
      <c r="K2627">
        <v>-1572304133</v>
      </c>
      <c r="L2627">
        <v>-364098048</v>
      </c>
      <c r="M2627">
        <v>-849706385</v>
      </c>
      <c r="N2627">
        <v>1018158373</v>
      </c>
      <c r="O2627">
        <v>-391126420</v>
      </c>
      <c r="P2627">
        <v>267</v>
      </c>
      <c r="Q2627" t="s">
        <v>5298</v>
      </c>
    </row>
    <row r="2628" spans="1:17" x14ac:dyDescent="0.3">
      <c r="A2628" t="s">
        <v>4446</v>
      </c>
      <c r="B2628" t="str">
        <f>"000918"</f>
        <v>000918</v>
      </c>
      <c r="C2628" t="s">
        <v>5299</v>
      </c>
      <c r="D2628" t="s">
        <v>30</v>
      </c>
      <c r="F2628">
        <v>509290614</v>
      </c>
      <c r="G2628">
        <v>-502246148</v>
      </c>
      <c r="H2628">
        <v>533344054</v>
      </c>
      <c r="I2628">
        <v>-779087888</v>
      </c>
      <c r="J2628">
        <v>-2637771002</v>
      </c>
      <c r="K2628">
        <v>-1002946127</v>
      </c>
      <c r="L2628">
        <v>-730238536</v>
      </c>
      <c r="M2628">
        <v>-3122553510</v>
      </c>
      <c r="N2628">
        <v>-539610920</v>
      </c>
      <c r="O2628">
        <v>1610006094</v>
      </c>
      <c r="P2628">
        <v>123</v>
      </c>
      <c r="Q2628" t="s">
        <v>5300</v>
      </c>
    </row>
    <row r="2629" spans="1:17" x14ac:dyDescent="0.3">
      <c r="A2629" t="s">
        <v>4446</v>
      </c>
      <c r="B2629" t="str">
        <f>"000919"</f>
        <v>000919</v>
      </c>
      <c r="C2629" t="s">
        <v>5301</v>
      </c>
      <c r="D2629" t="s">
        <v>113</v>
      </c>
      <c r="F2629">
        <v>194195451</v>
      </c>
      <c r="G2629">
        <v>20570809</v>
      </c>
      <c r="H2629">
        <v>370445036</v>
      </c>
      <c r="I2629">
        <v>299049713</v>
      </c>
      <c r="J2629">
        <v>399821966</v>
      </c>
      <c r="K2629">
        <v>-10863648</v>
      </c>
      <c r="L2629">
        <v>112089379</v>
      </c>
      <c r="M2629">
        <v>212705504</v>
      </c>
      <c r="N2629">
        <v>127760441</v>
      </c>
      <c r="O2629">
        <v>46636920</v>
      </c>
      <c r="P2629">
        <v>179</v>
      </c>
      <c r="Q2629" t="s">
        <v>5302</v>
      </c>
    </row>
    <row r="2630" spans="1:17" x14ac:dyDescent="0.3">
      <c r="A2630" t="s">
        <v>4446</v>
      </c>
      <c r="B2630" t="str">
        <f>"000920"</f>
        <v>000920</v>
      </c>
      <c r="C2630" t="s">
        <v>5303</v>
      </c>
      <c r="D2630" t="s">
        <v>33</v>
      </c>
      <c r="F2630">
        <v>143712594</v>
      </c>
      <c r="G2630">
        <v>152226416</v>
      </c>
      <c r="H2630">
        <v>-58045381</v>
      </c>
      <c r="I2630">
        <v>-96248922</v>
      </c>
      <c r="J2630">
        <v>58103346</v>
      </c>
      <c r="K2630">
        <v>69312205</v>
      </c>
      <c r="L2630">
        <v>85401683</v>
      </c>
      <c r="M2630">
        <v>-189680780</v>
      </c>
      <c r="N2630">
        <v>-106232173</v>
      </c>
      <c r="O2630">
        <v>-62583634</v>
      </c>
      <c r="P2630">
        <v>122</v>
      </c>
      <c r="Q2630" t="s">
        <v>5304</v>
      </c>
    </row>
    <row r="2631" spans="1:17" x14ac:dyDescent="0.3">
      <c r="A2631" t="s">
        <v>4446</v>
      </c>
      <c r="B2631" t="str">
        <f>"000921"</f>
        <v>000921</v>
      </c>
      <c r="C2631" t="s">
        <v>5305</v>
      </c>
      <c r="D2631" t="s">
        <v>126</v>
      </c>
      <c r="F2631">
        <v>3210206864</v>
      </c>
      <c r="G2631">
        <v>5377821147</v>
      </c>
      <c r="H2631">
        <v>1780599852</v>
      </c>
      <c r="I2631">
        <v>724886594</v>
      </c>
      <c r="J2631">
        <v>77107161</v>
      </c>
      <c r="K2631">
        <v>2634293392</v>
      </c>
      <c r="L2631">
        <v>36793256</v>
      </c>
      <c r="M2631">
        <v>209123344</v>
      </c>
      <c r="N2631">
        <v>-332009266</v>
      </c>
      <c r="O2631">
        <v>936387100</v>
      </c>
      <c r="P2631">
        <v>13182</v>
      </c>
      <c r="Q2631" t="s">
        <v>5306</v>
      </c>
    </row>
    <row r="2632" spans="1:17" x14ac:dyDescent="0.3">
      <c r="A2632" t="s">
        <v>4446</v>
      </c>
      <c r="B2632" t="str">
        <f>"000922"</f>
        <v>000922</v>
      </c>
      <c r="C2632" t="s">
        <v>5307</v>
      </c>
      <c r="D2632" t="s">
        <v>188</v>
      </c>
      <c r="F2632">
        <v>43522742</v>
      </c>
      <c r="G2632">
        <v>444129603</v>
      </c>
      <c r="H2632">
        <v>208992109</v>
      </c>
      <c r="I2632">
        <v>128925679</v>
      </c>
      <c r="J2632">
        <v>-20426584</v>
      </c>
      <c r="K2632">
        <v>18079483</v>
      </c>
      <c r="L2632">
        <v>-95078518</v>
      </c>
      <c r="M2632">
        <v>-231141666</v>
      </c>
      <c r="N2632">
        <v>65833564</v>
      </c>
      <c r="O2632">
        <v>8426587</v>
      </c>
      <c r="P2632">
        <v>261</v>
      </c>
      <c r="Q2632" t="s">
        <v>5308</v>
      </c>
    </row>
    <row r="2633" spans="1:17" x14ac:dyDescent="0.3">
      <c r="A2633" t="s">
        <v>4446</v>
      </c>
      <c r="B2633" t="str">
        <f>"000923"</f>
        <v>000923</v>
      </c>
      <c r="C2633" t="s">
        <v>5309</v>
      </c>
      <c r="D2633" t="s">
        <v>38</v>
      </c>
      <c r="F2633">
        <v>2149472344</v>
      </c>
      <c r="G2633">
        <v>1681597513</v>
      </c>
      <c r="H2633">
        <v>77817328</v>
      </c>
      <c r="I2633">
        <v>-105106587</v>
      </c>
      <c r="J2633">
        <v>261071476</v>
      </c>
      <c r="K2633">
        <v>142339240</v>
      </c>
      <c r="L2633">
        <v>-95370168</v>
      </c>
      <c r="M2633">
        <v>-34705542</v>
      </c>
      <c r="N2633">
        <v>-223187468</v>
      </c>
      <c r="O2633">
        <v>-74343256</v>
      </c>
      <c r="P2633">
        <v>224</v>
      </c>
      <c r="Q2633" t="s">
        <v>5310</v>
      </c>
    </row>
    <row r="2634" spans="1:17" x14ac:dyDescent="0.3">
      <c r="A2634" t="s">
        <v>4446</v>
      </c>
      <c r="B2634" t="str">
        <f>"000925"</f>
        <v>000925</v>
      </c>
      <c r="C2634" t="s">
        <v>5311</v>
      </c>
      <c r="D2634" t="s">
        <v>78</v>
      </c>
      <c r="F2634">
        <v>11537735</v>
      </c>
      <c r="G2634">
        <v>-113476810</v>
      </c>
      <c r="H2634">
        <v>147397429</v>
      </c>
      <c r="I2634">
        <v>-141595475</v>
      </c>
      <c r="J2634">
        <v>-85353309</v>
      </c>
      <c r="K2634">
        <v>-332235071</v>
      </c>
      <c r="L2634">
        <v>-183149221</v>
      </c>
      <c r="M2634">
        <v>170369046</v>
      </c>
      <c r="N2634">
        <v>133663740</v>
      </c>
      <c r="O2634">
        <v>-65320014</v>
      </c>
      <c r="P2634">
        <v>188</v>
      </c>
      <c r="Q2634" t="s">
        <v>5312</v>
      </c>
    </row>
    <row r="2635" spans="1:17" x14ac:dyDescent="0.3">
      <c r="A2635" t="s">
        <v>4446</v>
      </c>
      <c r="B2635" t="str">
        <f>"000926"</f>
        <v>000926</v>
      </c>
      <c r="C2635" t="s">
        <v>5313</v>
      </c>
      <c r="D2635" t="s">
        <v>30</v>
      </c>
      <c r="F2635">
        <v>5035055105</v>
      </c>
      <c r="G2635">
        <v>5332380339</v>
      </c>
      <c r="H2635">
        <v>6482342371</v>
      </c>
      <c r="I2635">
        <v>44040675</v>
      </c>
      <c r="J2635">
        <v>26004723</v>
      </c>
      <c r="K2635">
        <v>2330885218</v>
      </c>
      <c r="L2635">
        <v>30358466</v>
      </c>
      <c r="M2635">
        <v>-1641424626</v>
      </c>
      <c r="N2635">
        <v>-33121276</v>
      </c>
      <c r="O2635">
        <v>687296175</v>
      </c>
      <c r="P2635">
        <v>239</v>
      </c>
      <c r="Q2635" t="s">
        <v>5314</v>
      </c>
    </row>
    <row r="2636" spans="1:17" x14ac:dyDescent="0.3">
      <c r="A2636" t="s">
        <v>4446</v>
      </c>
      <c r="B2636" t="str">
        <f>"000927"</f>
        <v>000927</v>
      </c>
      <c r="C2636" t="s">
        <v>5315</v>
      </c>
      <c r="D2636" t="s">
        <v>27</v>
      </c>
      <c r="F2636">
        <v>-133386495</v>
      </c>
      <c r="G2636">
        <v>157522151</v>
      </c>
      <c r="H2636">
        <v>-709275791</v>
      </c>
      <c r="I2636">
        <v>-1535508540</v>
      </c>
      <c r="J2636">
        <v>-1979251501</v>
      </c>
      <c r="K2636">
        <v>-2260914419</v>
      </c>
      <c r="L2636">
        <v>961717548</v>
      </c>
      <c r="M2636">
        <v>-1598560053</v>
      </c>
      <c r="N2636">
        <v>-1790364240</v>
      </c>
      <c r="O2636">
        <v>-1326424768</v>
      </c>
      <c r="P2636">
        <v>131</v>
      </c>
      <c r="Q2636" t="s">
        <v>5316</v>
      </c>
    </row>
    <row r="2637" spans="1:17" x14ac:dyDescent="0.3">
      <c r="A2637" t="s">
        <v>4446</v>
      </c>
      <c r="B2637" t="str">
        <f>"000928"</f>
        <v>000928</v>
      </c>
      <c r="C2637" t="s">
        <v>5317</v>
      </c>
      <c r="D2637" t="s">
        <v>95</v>
      </c>
      <c r="F2637">
        <v>580920638</v>
      </c>
      <c r="G2637">
        <v>1517907743</v>
      </c>
      <c r="H2637">
        <v>791957253</v>
      </c>
      <c r="I2637">
        <v>1210472320</v>
      </c>
      <c r="J2637">
        <v>736941416</v>
      </c>
      <c r="K2637">
        <v>-1470442035</v>
      </c>
      <c r="L2637">
        <v>476754327</v>
      </c>
      <c r="M2637">
        <v>530460877</v>
      </c>
      <c r="N2637">
        <v>-128513116</v>
      </c>
      <c r="O2637">
        <v>56893979</v>
      </c>
      <c r="P2637">
        <v>271</v>
      </c>
      <c r="Q2637" t="s">
        <v>5318</v>
      </c>
    </row>
    <row r="2638" spans="1:17" x14ac:dyDescent="0.3">
      <c r="A2638" t="s">
        <v>4446</v>
      </c>
      <c r="B2638" t="str">
        <f>"000929"</f>
        <v>000929</v>
      </c>
      <c r="C2638" t="s">
        <v>5319</v>
      </c>
      <c r="D2638" t="s">
        <v>123</v>
      </c>
      <c r="F2638">
        <v>-230774229</v>
      </c>
      <c r="G2638">
        <v>-35014798</v>
      </c>
      <c r="H2638">
        <v>-17996160</v>
      </c>
      <c r="I2638">
        <v>26218939</v>
      </c>
      <c r="J2638">
        <v>24848909</v>
      </c>
      <c r="K2638">
        <v>99758769</v>
      </c>
      <c r="L2638">
        <v>23603790</v>
      </c>
      <c r="M2638">
        <v>109000361</v>
      </c>
      <c r="N2638">
        <v>98660038</v>
      </c>
      <c r="O2638">
        <v>-18020439</v>
      </c>
      <c r="P2638">
        <v>144</v>
      </c>
      <c r="Q2638" t="s">
        <v>5320</v>
      </c>
    </row>
    <row r="2639" spans="1:17" x14ac:dyDescent="0.3">
      <c r="A2639" t="s">
        <v>4446</v>
      </c>
      <c r="B2639" t="str">
        <f>"000930"</f>
        <v>000930</v>
      </c>
      <c r="C2639" t="s">
        <v>5321</v>
      </c>
      <c r="D2639" t="s">
        <v>205</v>
      </c>
      <c r="F2639">
        <v>4002211137</v>
      </c>
      <c r="G2639">
        <v>-3796260801</v>
      </c>
      <c r="H2639">
        <v>2900640165</v>
      </c>
      <c r="I2639">
        <v>-1745832024</v>
      </c>
      <c r="J2639">
        <v>177437371</v>
      </c>
      <c r="K2639">
        <v>637976153</v>
      </c>
      <c r="L2639">
        <v>-197470563</v>
      </c>
      <c r="M2639">
        <v>78470130</v>
      </c>
      <c r="N2639">
        <v>504979398</v>
      </c>
      <c r="O2639">
        <v>118231912</v>
      </c>
      <c r="P2639">
        <v>378</v>
      </c>
      <c r="Q2639" t="s">
        <v>5322</v>
      </c>
    </row>
    <row r="2640" spans="1:17" x14ac:dyDescent="0.3">
      <c r="A2640" t="s">
        <v>4446</v>
      </c>
      <c r="B2640" t="str">
        <f>"000931"</f>
        <v>000931</v>
      </c>
      <c r="C2640" t="s">
        <v>5323</v>
      </c>
      <c r="D2640" t="s">
        <v>113</v>
      </c>
      <c r="F2640">
        <v>195207334</v>
      </c>
      <c r="G2640">
        <v>63497272</v>
      </c>
      <c r="H2640">
        <v>22517313</v>
      </c>
      <c r="I2640">
        <v>73680800</v>
      </c>
      <c r="J2640">
        <v>31204766</v>
      </c>
      <c r="K2640">
        <v>-88272518</v>
      </c>
      <c r="L2640">
        <v>-83805685</v>
      </c>
      <c r="M2640">
        <v>-460735443</v>
      </c>
      <c r="N2640">
        <v>460680459</v>
      </c>
      <c r="O2640">
        <v>-83758819</v>
      </c>
      <c r="P2640">
        <v>142</v>
      </c>
      <c r="Q2640" t="s">
        <v>5324</v>
      </c>
    </row>
    <row r="2641" spans="1:17" x14ac:dyDescent="0.3">
      <c r="A2641" t="s">
        <v>4446</v>
      </c>
      <c r="B2641" t="str">
        <f>"000932"</f>
        <v>000932</v>
      </c>
      <c r="C2641" t="s">
        <v>5325</v>
      </c>
      <c r="D2641" t="s">
        <v>38</v>
      </c>
      <c r="F2641">
        <v>1952212042</v>
      </c>
      <c r="G2641">
        <v>7781255484</v>
      </c>
      <c r="H2641">
        <v>7284587044</v>
      </c>
      <c r="I2641">
        <v>12811357032</v>
      </c>
      <c r="J2641">
        <v>3786329713</v>
      </c>
      <c r="K2641">
        <v>5516435598</v>
      </c>
      <c r="L2641">
        <v>2631412478</v>
      </c>
      <c r="M2641">
        <v>4143455107</v>
      </c>
      <c r="N2641">
        <v>-1479980997</v>
      </c>
      <c r="O2641">
        <v>4695016928</v>
      </c>
      <c r="P2641">
        <v>1040</v>
      </c>
      <c r="Q2641" t="s">
        <v>5326</v>
      </c>
    </row>
    <row r="2642" spans="1:17" x14ac:dyDescent="0.3">
      <c r="A2642" t="s">
        <v>4446</v>
      </c>
      <c r="B2642" t="str">
        <f>"000933"</f>
        <v>000933</v>
      </c>
      <c r="C2642" t="s">
        <v>5327</v>
      </c>
      <c r="D2642" t="s">
        <v>234</v>
      </c>
      <c r="F2642">
        <v>9478884572</v>
      </c>
      <c r="G2642">
        <v>-1452416196</v>
      </c>
      <c r="H2642">
        <v>3207617788</v>
      </c>
      <c r="I2642">
        <v>844021409</v>
      </c>
      <c r="J2642">
        <v>599082577</v>
      </c>
      <c r="K2642">
        <v>55234404</v>
      </c>
      <c r="L2642">
        <v>-2234193879</v>
      </c>
      <c r="M2642">
        <v>-1152658575</v>
      </c>
      <c r="N2642">
        <v>499951632</v>
      </c>
      <c r="O2642">
        <v>-964107756</v>
      </c>
      <c r="P2642">
        <v>461</v>
      </c>
      <c r="Q2642" t="s">
        <v>5328</v>
      </c>
    </row>
    <row r="2643" spans="1:17" x14ac:dyDescent="0.3">
      <c r="A2643" t="s">
        <v>4446</v>
      </c>
      <c r="B2643" t="str">
        <f>"000935"</f>
        <v>000935</v>
      </c>
      <c r="C2643" t="s">
        <v>5329</v>
      </c>
      <c r="D2643" t="s">
        <v>350</v>
      </c>
      <c r="F2643">
        <v>339895127</v>
      </c>
      <c r="G2643">
        <v>508430052</v>
      </c>
      <c r="H2643">
        <v>862944665</v>
      </c>
      <c r="I2643">
        <v>654856917</v>
      </c>
      <c r="J2643">
        <v>531319619</v>
      </c>
      <c r="K2643">
        <v>490524573</v>
      </c>
      <c r="L2643">
        <v>139651584</v>
      </c>
      <c r="M2643">
        <v>437658660</v>
      </c>
      <c r="N2643">
        <v>266640202</v>
      </c>
      <c r="O2643">
        <v>77324366</v>
      </c>
      <c r="P2643">
        <v>230</v>
      </c>
      <c r="Q2643" t="s">
        <v>5330</v>
      </c>
    </row>
    <row r="2644" spans="1:17" x14ac:dyDescent="0.3">
      <c r="A2644" t="s">
        <v>4446</v>
      </c>
      <c r="B2644" t="str">
        <f>"000936"</f>
        <v>000936</v>
      </c>
      <c r="C2644" t="s">
        <v>5331</v>
      </c>
      <c r="D2644" t="s">
        <v>133</v>
      </c>
      <c r="F2644">
        <v>-89165519</v>
      </c>
      <c r="G2644">
        <v>90582045</v>
      </c>
      <c r="H2644">
        <v>434324138</v>
      </c>
      <c r="I2644">
        <v>-326954736</v>
      </c>
      <c r="J2644">
        <v>-72061790</v>
      </c>
      <c r="K2644">
        <v>187022532</v>
      </c>
      <c r="L2644">
        <v>86526205</v>
      </c>
      <c r="M2644">
        <v>-189598743</v>
      </c>
      <c r="N2644">
        <v>90681797</v>
      </c>
      <c r="O2644">
        <v>-5784175</v>
      </c>
      <c r="P2644">
        <v>226</v>
      </c>
      <c r="Q2644" t="s">
        <v>5332</v>
      </c>
    </row>
    <row r="2645" spans="1:17" x14ac:dyDescent="0.3">
      <c r="A2645" t="s">
        <v>4446</v>
      </c>
      <c r="B2645" t="str">
        <f>"000937"</f>
        <v>000937</v>
      </c>
      <c r="C2645" t="s">
        <v>5333</v>
      </c>
      <c r="D2645" t="s">
        <v>257</v>
      </c>
      <c r="F2645">
        <v>3346472094</v>
      </c>
      <c r="G2645">
        <v>4876995888</v>
      </c>
      <c r="H2645">
        <v>2477529788</v>
      </c>
      <c r="I2645">
        <v>2303621171</v>
      </c>
      <c r="J2645">
        <v>3705540033</v>
      </c>
      <c r="K2645">
        <v>-1291988371</v>
      </c>
      <c r="L2645">
        <v>-856844323</v>
      </c>
      <c r="M2645">
        <v>-920513399</v>
      </c>
      <c r="N2645">
        <v>2301624068</v>
      </c>
      <c r="O2645">
        <v>-780393079</v>
      </c>
      <c r="P2645">
        <v>350</v>
      </c>
      <c r="Q2645" t="s">
        <v>5334</v>
      </c>
    </row>
    <row r="2646" spans="1:17" x14ac:dyDescent="0.3">
      <c r="A2646" t="s">
        <v>4446</v>
      </c>
      <c r="B2646" t="str">
        <f>"000938"</f>
        <v>000938</v>
      </c>
      <c r="C2646" t="s">
        <v>5335</v>
      </c>
      <c r="D2646" t="s">
        <v>212</v>
      </c>
      <c r="F2646">
        <v>-2705351303</v>
      </c>
      <c r="G2646">
        <v>3473558037</v>
      </c>
      <c r="H2646">
        <v>-187613570</v>
      </c>
      <c r="I2646">
        <v>3100397007</v>
      </c>
      <c r="J2646">
        <v>-1895083444</v>
      </c>
      <c r="K2646">
        <v>1112289470</v>
      </c>
      <c r="L2646">
        <v>73302299</v>
      </c>
      <c r="M2646">
        <v>91501862</v>
      </c>
      <c r="N2646">
        <v>92798995</v>
      </c>
      <c r="O2646">
        <v>-167054932</v>
      </c>
      <c r="P2646">
        <v>3895</v>
      </c>
      <c r="Q2646" t="s">
        <v>5336</v>
      </c>
    </row>
    <row r="2647" spans="1:17" x14ac:dyDescent="0.3">
      <c r="A2647" t="s">
        <v>4446</v>
      </c>
      <c r="B2647" t="str">
        <f>"000939"</f>
        <v>000939</v>
      </c>
      <c r="C2647" t="s">
        <v>5337</v>
      </c>
      <c r="H2647">
        <v>598530721</v>
      </c>
      <c r="I2647">
        <v>-709389270</v>
      </c>
      <c r="J2647">
        <v>-1703515142</v>
      </c>
      <c r="K2647">
        <v>-1970549375</v>
      </c>
      <c r="L2647">
        <v>-3364566830</v>
      </c>
      <c r="M2647">
        <v>-1388534643</v>
      </c>
      <c r="N2647">
        <v>-255840290</v>
      </c>
      <c r="O2647">
        <v>-1815210047</v>
      </c>
      <c r="P2647">
        <v>61</v>
      </c>
      <c r="Q2647" t="s">
        <v>5338</v>
      </c>
    </row>
    <row r="2648" spans="1:17" x14ac:dyDescent="0.3">
      <c r="A2648" t="s">
        <v>4446</v>
      </c>
      <c r="B2648" t="str">
        <f>"000948"</f>
        <v>000948</v>
      </c>
      <c r="C2648" t="s">
        <v>5339</v>
      </c>
      <c r="D2648" t="s">
        <v>212</v>
      </c>
      <c r="F2648">
        <v>-273994694</v>
      </c>
      <c r="G2648">
        <v>205039222</v>
      </c>
      <c r="H2648">
        <v>-160194122</v>
      </c>
      <c r="I2648">
        <v>48011686</v>
      </c>
      <c r="J2648">
        <v>-58634036</v>
      </c>
      <c r="K2648">
        <v>63239631</v>
      </c>
      <c r="L2648">
        <v>140942560</v>
      </c>
      <c r="M2648">
        <v>-44523027</v>
      </c>
      <c r="N2648">
        <v>137965163</v>
      </c>
      <c r="O2648">
        <v>-96070513</v>
      </c>
      <c r="P2648">
        <v>213</v>
      </c>
      <c r="Q2648" t="s">
        <v>5340</v>
      </c>
    </row>
    <row r="2649" spans="1:17" x14ac:dyDescent="0.3">
      <c r="A2649" t="s">
        <v>4446</v>
      </c>
      <c r="B2649" t="str">
        <f>"000949"</f>
        <v>000949</v>
      </c>
      <c r="C2649" t="s">
        <v>5341</v>
      </c>
      <c r="D2649" t="s">
        <v>133</v>
      </c>
      <c r="F2649">
        <v>819699897</v>
      </c>
      <c r="G2649">
        <v>-127862416</v>
      </c>
      <c r="H2649">
        <v>-303857580</v>
      </c>
      <c r="I2649">
        <v>-424918442</v>
      </c>
      <c r="J2649">
        <v>-989655188</v>
      </c>
      <c r="K2649">
        <v>-47704630</v>
      </c>
      <c r="L2649">
        <v>69482248</v>
      </c>
      <c r="M2649">
        <v>16870620</v>
      </c>
      <c r="N2649">
        <v>-374966749</v>
      </c>
      <c r="O2649">
        <v>525101600</v>
      </c>
      <c r="P2649">
        <v>157</v>
      </c>
      <c r="Q2649" t="s">
        <v>5342</v>
      </c>
    </row>
    <row r="2650" spans="1:17" x14ac:dyDescent="0.3">
      <c r="A2650" t="s">
        <v>4446</v>
      </c>
      <c r="B2650" t="str">
        <f>"000950"</f>
        <v>000950</v>
      </c>
      <c r="C2650" t="s">
        <v>5343</v>
      </c>
      <c r="D2650" t="s">
        <v>113</v>
      </c>
      <c r="F2650">
        <v>-227732291</v>
      </c>
      <c r="G2650">
        <v>281382984</v>
      </c>
      <c r="H2650">
        <v>-613378297</v>
      </c>
      <c r="I2650">
        <v>-2009189382</v>
      </c>
      <c r="J2650">
        <v>-1204896705</v>
      </c>
      <c r="K2650">
        <v>-61487219</v>
      </c>
      <c r="L2650">
        <v>58274773</v>
      </c>
      <c r="M2650">
        <v>-588013044</v>
      </c>
      <c r="N2650">
        <v>-972613266</v>
      </c>
      <c r="O2650">
        <v>-73032330</v>
      </c>
      <c r="P2650">
        <v>145</v>
      </c>
      <c r="Q2650" t="s">
        <v>5344</v>
      </c>
    </row>
    <row r="2651" spans="1:17" x14ac:dyDescent="0.3">
      <c r="A2651" t="s">
        <v>4446</v>
      </c>
      <c r="B2651" t="str">
        <f>"000951"</f>
        <v>000951</v>
      </c>
      <c r="C2651" t="s">
        <v>5345</v>
      </c>
      <c r="D2651" t="s">
        <v>27</v>
      </c>
      <c r="F2651">
        <v>1605113619</v>
      </c>
      <c r="G2651">
        <v>3302037343</v>
      </c>
      <c r="H2651">
        <v>2453859886</v>
      </c>
      <c r="I2651">
        <v>1748426382</v>
      </c>
      <c r="J2651">
        <v>714499031</v>
      </c>
      <c r="K2651">
        <v>-372207593</v>
      </c>
      <c r="L2651">
        <v>174202854</v>
      </c>
      <c r="M2651">
        <v>-9295547</v>
      </c>
      <c r="N2651">
        <v>87138789</v>
      </c>
      <c r="O2651">
        <v>1000761176</v>
      </c>
      <c r="P2651">
        <v>856</v>
      </c>
      <c r="Q2651" t="s">
        <v>5346</v>
      </c>
    </row>
    <row r="2652" spans="1:17" x14ac:dyDescent="0.3">
      <c r="A2652" t="s">
        <v>4446</v>
      </c>
      <c r="B2652" t="str">
        <f>"000952"</f>
        <v>000952</v>
      </c>
      <c r="C2652" t="s">
        <v>5347</v>
      </c>
      <c r="D2652" t="s">
        <v>113</v>
      </c>
      <c r="F2652">
        <v>-19955108</v>
      </c>
      <c r="G2652">
        <v>21694878</v>
      </c>
      <c r="H2652">
        <v>24589192</v>
      </c>
      <c r="I2652">
        <v>155018305</v>
      </c>
      <c r="J2652">
        <v>97919171</v>
      </c>
      <c r="K2652">
        <v>55480535</v>
      </c>
      <c r="L2652">
        <v>-143259925</v>
      </c>
      <c r="M2652">
        <v>-168153997</v>
      </c>
      <c r="N2652">
        <v>54920884</v>
      </c>
      <c r="O2652">
        <v>-9228878</v>
      </c>
      <c r="P2652">
        <v>169</v>
      </c>
      <c r="Q2652" t="s">
        <v>5348</v>
      </c>
    </row>
    <row r="2653" spans="1:17" x14ac:dyDescent="0.3">
      <c r="A2653" t="s">
        <v>4446</v>
      </c>
      <c r="B2653" t="str">
        <f>"000953"</f>
        <v>000953</v>
      </c>
      <c r="C2653" t="s">
        <v>5349</v>
      </c>
      <c r="D2653" t="s">
        <v>133</v>
      </c>
      <c r="F2653">
        <v>1174167</v>
      </c>
      <c r="G2653">
        <v>48530052</v>
      </c>
      <c r="H2653">
        <v>-11114588</v>
      </c>
      <c r="I2653">
        <v>-53335288</v>
      </c>
      <c r="J2653">
        <v>-344729267</v>
      </c>
      <c r="K2653">
        <v>80518740</v>
      </c>
      <c r="L2653">
        <v>-107438859</v>
      </c>
      <c r="M2653">
        <v>-258262905</v>
      </c>
      <c r="N2653">
        <v>-117683503</v>
      </c>
      <c r="O2653">
        <v>-48710429</v>
      </c>
      <c r="P2653">
        <v>90</v>
      </c>
      <c r="Q2653" t="s">
        <v>5350</v>
      </c>
    </row>
    <row r="2654" spans="1:17" x14ac:dyDescent="0.3">
      <c r="A2654" t="s">
        <v>4446</v>
      </c>
      <c r="B2654" t="str">
        <f>"000955"</f>
        <v>000955</v>
      </c>
      <c r="C2654" t="s">
        <v>5351</v>
      </c>
      <c r="D2654" t="s">
        <v>227</v>
      </c>
      <c r="F2654">
        <v>12875752</v>
      </c>
      <c r="G2654">
        <v>330374692</v>
      </c>
      <c r="H2654">
        <v>-98888266</v>
      </c>
      <c r="I2654">
        <v>-92470788</v>
      </c>
      <c r="J2654">
        <v>-99064002</v>
      </c>
      <c r="K2654">
        <v>-76550204</v>
      </c>
      <c r="L2654">
        <v>-76140192</v>
      </c>
      <c r="M2654">
        <v>-64426840</v>
      </c>
      <c r="N2654">
        <v>-82644587</v>
      </c>
      <c r="O2654">
        <v>-111503222</v>
      </c>
      <c r="P2654">
        <v>241</v>
      </c>
      <c r="Q2654" t="s">
        <v>5352</v>
      </c>
    </row>
    <row r="2655" spans="1:17" x14ac:dyDescent="0.3">
      <c r="A2655" t="s">
        <v>4446</v>
      </c>
      <c r="B2655" t="str">
        <f>"000957"</f>
        <v>000957</v>
      </c>
      <c r="C2655" t="s">
        <v>5353</v>
      </c>
      <c r="D2655" t="s">
        <v>27</v>
      </c>
      <c r="F2655">
        <v>1027357745</v>
      </c>
      <c r="G2655">
        <v>298344245</v>
      </c>
      <c r="H2655">
        <v>734033732</v>
      </c>
      <c r="I2655">
        <v>-790145327</v>
      </c>
      <c r="J2655">
        <v>-1063427828</v>
      </c>
      <c r="K2655">
        <v>-101972693</v>
      </c>
      <c r="L2655">
        <v>-757590700</v>
      </c>
      <c r="M2655">
        <v>49036792</v>
      </c>
      <c r="N2655">
        <v>-20737286</v>
      </c>
      <c r="O2655">
        <v>-63167167</v>
      </c>
      <c r="P2655">
        <v>227</v>
      </c>
      <c r="Q2655" t="s">
        <v>5354</v>
      </c>
    </row>
    <row r="2656" spans="1:17" x14ac:dyDescent="0.3">
      <c r="A2656" t="s">
        <v>4446</v>
      </c>
      <c r="B2656" t="str">
        <f>"000958"</f>
        <v>000958</v>
      </c>
      <c r="C2656" t="s">
        <v>5355</v>
      </c>
      <c r="D2656" t="s">
        <v>41</v>
      </c>
      <c r="F2656">
        <v>-6440975472</v>
      </c>
      <c r="G2656">
        <v>-1324090990</v>
      </c>
      <c r="H2656">
        <v>-4721408792</v>
      </c>
      <c r="I2656">
        <v>-1414603248</v>
      </c>
      <c r="J2656">
        <v>-1317114426</v>
      </c>
      <c r="K2656">
        <v>47179819</v>
      </c>
      <c r="L2656">
        <v>447910313</v>
      </c>
      <c r="M2656">
        <v>-119582637</v>
      </c>
      <c r="N2656">
        <v>243310382</v>
      </c>
      <c r="O2656">
        <v>22411298</v>
      </c>
      <c r="P2656">
        <v>162</v>
      </c>
      <c r="Q2656" t="s">
        <v>5356</v>
      </c>
    </row>
    <row r="2657" spans="1:17" x14ac:dyDescent="0.3">
      <c r="A2657" t="s">
        <v>4446</v>
      </c>
      <c r="B2657" t="str">
        <f>"000959"</f>
        <v>000959</v>
      </c>
      <c r="C2657" t="s">
        <v>5357</v>
      </c>
      <c r="D2657" t="s">
        <v>38</v>
      </c>
      <c r="F2657">
        <v>12073919670</v>
      </c>
      <c r="G2657">
        <v>7242468750</v>
      </c>
      <c r="H2657">
        <v>-2148023309</v>
      </c>
      <c r="I2657">
        <v>2713105082</v>
      </c>
      <c r="J2657">
        <v>4294084897</v>
      </c>
      <c r="K2657">
        <v>4344610639</v>
      </c>
      <c r="L2657">
        <v>-917529497</v>
      </c>
      <c r="M2657">
        <v>38717923</v>
      </c>
      <c r="N2657">
        <v>144522124</v>
      </c>
      <c r="O2657">
        <v>17769191</v>
      </c>
      <c r="P2657">
        <v>254</v>
      </c>
      <c r="Q2657" t="s">
        <v>5358</v>
      </c>
    </row>
    <row r="2658" spans="1:17" x14ac:dyDescent="0.3">
      <c r="A2658" t="s">
        <v>4446</v>
      </c>
      <c r="B2658" t="str">
        <f>"000960"</f>
        <v>000960</v>
      </c>
      <c r="C2658" t="s">
        <v>5359</v>
      </c>
      <c r="D2658" t="s">
        <v>234</v>
      </c>
      <c r="F2658">
        <v>925220189</v>
      </c>
      <c r="G2658">
        <v>79089858</v>
      </c>
      <c r="H2658">
        <v>153566769</v>
      </c>
      <c r="I2658">
        <v>-515622694</v>
      </c>
      <c r="J2658">
        <v>578806310</v>
      </c>
      <c r="K2658">
        <v>314179256</v>
      </c>
      <c r="L2658">
        <v>203704596</v>
      </c>
      <c r="M2658">
        <v>537565307</v>
      </c>
      <c r="N2658">
        <v>-273855386</v>
      </c>
      <c r="O2658">
        <v>-4318254924</v>
      </c>
      <c r="P2658">
        <v>356</v>
      </c>
      <c r="Q2658" t="s">
        <v>5360</v>
      </c>
    </row>
    <row r="2659" spans="1:17" x14ac:dyDescent="0.3">
      <c r="A2659" t="s">
        <v>4446</v>
      </c>
      <c r="B2659" t="str">
        <f>"000961"</f>
        <v>000961</v>
      </c>
      <c r="C2659" t="s">
        <v>5361</v>
      </c>
      <c r="D2659" t="s">
        <v>30</v>
      </c>
      <c r="F2659">
        <v>13694292303</v>
      </c>
      <c r="G2659">
        <v>3302785202</v>
      </c>
      <c r="H2659">
        <v>363351943</v>
      </c>
      <c r="I2659">
        <v>13455505592</v>
      </c>
      <c r="J2659">
        <v>-6149623082</v>
      </c>
      <c r="K2659">
        <v>-5055183419</v>
      </c>
      <c r="L2659">
        <v>842385335</v>
      </c>
      <c r="M2659">
        <v>-6221774684</v>
      </c>
      <c r="N2659">
        <v>-4525105709</v>
      </c>
      <c r="O2659">
        <v>-364760134</v>
      </c>
      <c r="P2659">
        <v>898</v>
      </c>
      <c r="Q2659" t="s">
        <v>5362</v>
      </c>
    </row>
    <row r="2660" spans="1:17" x14ac:dyDescent="0.3">
      <c r="A2660" t="s">
        <v>4446</v>
      </c>
      <c r="B2660" t="str">
        <f>"000962"</f>
        <v>000962</v>
      </c>
      <c r="C2660" t="s">
        <v>5363</v>
      </c>
      <c r="D2660" t="s">
        <v>234</v>
      </c>
      <c r="F2660">
        <v>42286102</v>
      </c>
      <c r="G2660">
        <v>-8521416</v>
      </c>
      <c r="H2660">
        <v>229003388</v>
      </c>
      <c r="I2660">
        <v>56961263</v>
      </c>
      <c r="J2660">
        <v>234942201</v>
      </c>
      <c r="K2660">
        <v>336420665</v>
      </c>
      <c r="L2660">
        <v>255165438</v>
      </c>
      <c r="M2660">
        <v>123933749</v>
      </c>
      <c r="N2660">
        <v>-213356119</v>
      </c>
      <c r="O2660">
        <v>-272821990</v>
      </c>
      <c r="P2660">
        <v>131</v>
      </c>
      <c r="Q2660" t="s">
        <v>5364</v>
      </c>
    </row>
    <row r="2661" spans="1:17" x14ac:dyDescent="0.3">
      <c r="A2661" t="s">
        <v>4446</v>
      </c>
      <c r="B2661" t="str">
        <f>"000963"</f>
        <v>000963</v>
      </c>
      <c r="C2661" t="s">
        <v>5365</v>
      </c>
      <c r="D2661" t="s">
        <v>113</v>
      </c>
      <c r="F2661">
        <v>2429824693</v>
      </c>
      <c r="G2661">
        <v>2312272642</v>
      </c>
      <c r="H2661">
        <v>706185525</v>
      </c>
      <c r="I2661">
        <v>1168023569</v>
      </c>
      <c r="J2661">
        <v>1184068665</v>
      </c>
      <c r="K2661">
        <v>880805890</v>
      </c>
      <c r="L2661">
        <v>292709718</v>
      </c>
      <c r="M2661">
        <v>416735200</v>
      </c>
      <c r="N2661">
        <v>143091331</v>
      </c>
      <c r="O2661">
        <v>395044583</v>
      </c>
      <c r="P2661">
        <v>59260</v>
      </c>
      <c r="Q2661" t="s">
        <v>5366</v>
      </c>
    </row>
    <row r="2662" spans="1:17" x14ac:dyDescent="0.3">
      <c r="A2662" t="s">
        <v>4446</v>
      </c>
      <c r="B2662" t="str">
        <f>"000965"</f>
        <v>000965</v>
      </c>
      <c r="C2662" t="s">
        <v>5367</v>
      </c>
      <c r="D2662" t="s">
        <v>30</v>
      </c>
      <c r="F2662">
        <v>999207552</v>
      </c>
      <c r="G2662">
        <v>-1109614709</v>
      </c>
      <c r="H2662">
        <v>-343625281</v>
      </c>
      <c r="I2662">
        <v>-1977833965</v>
      </c>
      <c r="J2662">
        <v>-1299445006</v>
      </c>
      <c r="K2662">
        <v>1379322629</v>
      </c>
      <c r="L2662">
        <v>610520168</v>
      </c>
      <c r="M2662">
        <v>344094153</v>
      </c>
      <c r="N2662">
        <v>229702951</v>
      </c>
      <c r="O2662">
        <v>32250089</v>
      </c>
      <c r="P2662">
        <v>116</v>
      </c>
      <c r="Q2662" t="s">
        <v>5368</v>
      </c>
    </row>
    <row r="2663" spans="1:17" x14ac:dyDescent="0.3">
      <c r="A2663" t="s">
        <v>4446</v>
      </c>
      <c r="B2663" t="str">
        <f>"000966"</f>
        <v>000966</v>
      </c>
      <c r="C2663" t="s">
        <v>5369</v>
      </c>
      <c r="D2663" t="s">
        <v>41</v>
      </c>
      <c r="F2663">
        <v>-1057409905</v>
      </c>
      <c r="G2663">
        <v>-121622590</v>
      </c>
      <c r="H2663">
        <v>1073195782</v>
      </c>
      <c r="I2663">
        <v>407233003</v>
      </c>
      <c r="J2663">
        <v>126372577</v>
      </c>
      <c r="K2663">
        <v>299863364</v>
      </c>
      <c r="L2663">
        <v>2440201937</v>
      </c>
      <c r="M2663">
        <v>1691402205</v>
      </c>
      <c r="N2663">
        <v>1767612291</v>
      </c>
      <c r="O2663">
        <v>2365652426</v>
      </c>
      <c r="P2663">
        <v>398</v>
      </c>
      <c r="Q2663" t="s">
        <v>5370</v>
      </c>
    </row>
    <row r="2664" spans="1:17" x14ac:dyDescent="0.3">
      <c r="A2664" t="s">
        <v>4446</v>
      </c>
      <c r="B2664" t="str">
        <f>"000967"</f>
        <v>000967</v>
      </c>
      <c r="C2664" t="s">
        <v>5371</v>
      </c>
      <c r="D2664" t="s">
        <v>33</v>
      </c>
      <c r="F2664">
        <v>-907602679</v>
      </c>
      <c r="G2664">
        <v>401814474</v>
      </c>
      <c r="H2664">
        <v>236684381</v>
      </c>
      <c r="I2664">
        <v>-2101780130</v>
      </c>
      <c r="J2664">
        <v>-823443772</v>
      </c>
      <c r="K2664">
        <v>-437414072</v>
      </c>
      <c r="L2664">
        <v>155853724</v>
      </c>
      <c r="M2664">
        <v>65437505</v>
      </c>
      <c r="N2664">
        <v>-95369390</v>
      </c>
      <c r="O2664">
        <v>67650381</v>
      </c>
      <c r="P2664">
        <v>329</v>
      </c>
      <c r="Q2664" t="s">
        <v>5372</v>
      </c>
    </row>
    <row r="2665" spans="1:17" x14ac:dyDescent="0.3">
      <c r="A2665" t="s">
        <v>4446</v>
      </c>
      <c r="B2665" t="str">
        <f>"000968"</f>
        <v>000968</v>
      </c>
      <c r="C2665" t="s">
        <v>5373</v>
      </c>
      <c r="D2665" t="s">
        <v>70</v>
      </c>
      <c r="F2665">
        <v>-110921918</v>
      </c>
      <c r="G2665">
        <v>-224336016</v>
      </c>
      <c r="H2665">
        <v>720004439</v>
      </c>
      <c r="I2665">
        <v>631986577</v>
      </c>
      <c r="J2665">
        <v>659928558</v>
      </c>
      <c r="K2665">
        <v>624272407</v>
      </c>
      <c r="L2665">
        <v>-265708496</v>
      </c>
      <c r="M2665">
        <v>-1590017775</v>
      </c>
      <c r="N2665">
        <v>-1540463504</v>
      </c>
      <c r="O2665">
        <v>-1756233419</v>
      </c>
      <c r="P2665">
        <v>244</v>
      </c>
      <c r="Q2665" t="s">
        <v>5374</v>
      </c>
    </row>
    <row r="2666" spans="1:17" x14ac:dyDescent="0.3">
      <c r="A2666" t="s">
        <v>4446</v>
      </c>
      <c r="B2666" t="str">
        <f>"000969"</f>
        <v>000969</v>
      </c>
      <c r="C2666" t="s">
        <v>5375</v>
      </c>
      <c r="D2666" t="s">
        <v>234</v>
      </c>
      <c r="F2666">
        <v>468022687</v>
      </c>
      <c r="G2666">
        <v>566031341</v>
      </c>
      <c r="H2666">
        <v>670977010</v>
      </c>
      <c r="I2666">
        <v>171047533</v>
      </c>
      <c r="J2666">
        <v>-100901062</v>
      </c>
      <c r="K2666">
        <v>-24970903</v>
      </c>
      <c r="L2666">
        <v>174303074</v>
      </c>
      <c r="M2666">
        <v>-179194687</v>
      </c>
      <c r="N2666">
        <v>-32573556</v>
      </c>
      <c r="O2666">
        <v>-57176573</v>
      </c>
      <c r="P2666">
        <v>224</v>
      </c>
      <c r="Q2666" t="s">
        <v>5376</v>
      </c>
    </row>
    <row r="2667" spans="1:17" x14ac:dyDescent="0.3">
      <c r="A2667" t="s">
        <v>4446</v>
      </c>
      <c r="B2667" t="str">
        <f>"000970"</f>
        <v>000970</v>
      </c>
      <c r="C2667" t="s">
        <v>5377</v>
      </c>
      <c r="D2667" t="s">
        <v>234</v>
      </c>
      <c r="F2667">
        <v>-988727531</v>
      </c>
      <c r="G2667">
        <v>-94861965</v>
      </c>
      <c r="H2667">
        <v>292635946</v>
      </c>
      <c r="I2667">
        <v>-8199427</v>
      </c>
      <c r="J2667">
        <v>-220638687</v>
      </c>
      <c r="K2667">
        <v>233493979</v>
      </c>
      <c r="L2667">
        <v>290844909</v>
      </c>
      <c r="M2667">
        <v>62861722</v>
      </c>
      <c r="N2667">
        <v>170170129</v>
      </c>
      <c r="O2667">
        <v>1702683807</v>
      </c>
      <c r="P2667">
        <v>365</v>
      </c>
      <c r="Q2667" t="s">
        <v>5378</v>
      </c>
    </row>
    <row r="2668" spans="1:17" x14ac:dyDescent="0.3">
      <c r="A2668" t="s">
        <v>4446</v>
      </c>
      <c r="B2668" t="str">
        <f>"000971"</f>
        <v>000971</v>
      </c>
      <c r="C2668" t="s">
        <v>5379</v>
      </c>
      <c r="D2668" t="s">
        <v>100</v>
      </c>
      <c r="F2668">
        <v>-226838098</v>
      </c>
      <c r="G2668">
        <v>-120370934</v>
      </c>
      <c r="H2668">
        <v>146654721</v>
      </c>
      <c r="I2668">
        <v>-70543553</v>
      </c>
      <c r="J2668">
        <v>-166693769</v>
      </c>
      <c r="K2668">
        <v>-8525947</v>
      </c>
      <c r="L2668">
        <v>-3470517</v>
      </c>
      <c r="M2668">
        <v>-1277764</v>
      </c>
      <c r="N2668">
        <v>1750238</v>
      </c>
      <c r="O2668">
        <v>-44162663</v>
      </c>
      <c r="P2668">
        <v>74</v>
      </c>
      <c r="Q2668" t="s">
        <v>5380</v>
      </c>
    </row>
    <row r="2669" spans="1:17" x14ac:dyDescent="0.3">
      <c r="A2669" t="s">
        <v>4446</v>
      </c>
      <c r="B2669" t="str">
        <f>"000972"</f>
        <v>000972</v>
      </c>
      <c r="C2669" t="s">
        <v>5381</v>
      </c>
      <c r="D2669" t="s">
        <v>205</v>
      </c>
      <c r="F2669">
        <v>-199471404</v>
      </c>
      <c r="G2669">
        <v>-13764404</v>
      </c>
      <c r="H2669">
        <v>236655578</v>
      </c>
      <c r="I2669">
        <v>409257529</v>
      </c>
      <c r="J2669">
        <v>-184739561</v>
      </c>
      <c r="K2669">
        <v>-221827473</v>
      </c>
      <c r="L2669">
        <v>-340836776</v>
      </c>
      <c r="M2669">
        <v>-192948625</v>
      </c>
      <c r="N2669">
        <v>339836332</v>
      </c>
      <c r="O2669">
        <v>-41573941</v>
      </c>
      <c r="P2669">
        <v>78</v>
      </c>
      <c r="Q2669" t="s">
        <v>5382</v>
      </c>
    </row>
    <row r="2670" spans="1:17" x14ac:dyDescent="0.3">
      <c r="A2670" t="s">
        <v>4446</v>
      </c>
      <c r="B2670" t="str">
        <f>"000973"</f>
        <v>000973</v>
      </c>
      <c r="C2670" t="s">
        <v>5383</v>
      </c>
      <c r="D2670" t="s">
        <v>133</v>
      </c>
      <c r="F2670">
        <v>200403701</v>
      </c>
      <c r="G2670">
        <v>287185467</v>
      </c>
      <c r="H2670">
        <v>-405390412</v>
      </c>
      <c r="I2670">
        <v>1007284029</v>
      </c>
      <c r="J2670">
        <v>617491078</v>
      </c>
      <c r="K2670">
        <v>154082402</v>
      </c>
      <c r="L2670">
        <v>319346666</v>
      </c>
      <c r="M2670">
        <v>27037261</v>
      </c>
      <c r="N2670">
        <v>128321778</v>
      </c>
      <c r="O2670">
        <v>349406721</v>
      </c>
      <c r="P2670">
        <v>123</v>
      </c>
      <c r="Q2670" t="s">
        <v>5384</v>
      </c>
    </row>
    <row r="2671" spans="1:17" x14ac:dyDescent="0.3">
      <c r="A2671" t="s">
        <v>4446</v>
      </c>
      <c r="B2671" t="str">
        <f>"000975"</f>
        <v>000975</v>
      </c>
      <c r="C2671" t="s">
        <v>5385</v>
      </c>
      <c r="D2671" t="s">
        <v>234</v>
      </c>
      <c r="F2671">
        <v>1324476747</v>
      </c>
      <c r="G2671">
        <v>1823165801</v>
      </c>
      <c r="H2671">
        <v>509477979</v>
      </c>
      <c r="I2671">
        <v>471240669</v>
      </c>
      <c r="J2671">
        <v>670591753</v>
      </c>
      <c r="K2671">
        <v>118580305</v>
      </c>
      <c r="L2671">
        <v>32156937</v>
      </c>
      <c r="M2671">
        <v>19689738</v>
      </c>
      <c r="N2671">
        <v>157587508</v>
      </c>
      <c r="O2671">
        <v>480026863</v>
      </c>
      <c r="P2671">
        <v>392</v>
      </c>
      <c r="Q2671" t="s">
        <v>5386</v>
      </c>
    </row>
    <row r="2672" spans="1:17" x14ac:dyDescent="0.3">
      <c r="A2672" t="s">
        <v>4446</v>
      </c>
      <c r="B2672" t="str">
        <f>"000976"</f>
        <v>000976</v>
      </c>
      <c r="C2672" t="s">
        <v>5387</v>
      </c>
      <c r="D2672" t="s">
        <v>78</v>
      </c>
      <c r="F2672">
        <v>1094822457</v>
      </c>
      <c r="G2672">
        <v>158803914</v>
      </c>
      <c r="H2672">
        <v>9605176</v>
      </c>
      <c r="I2672">
        <v>68938692</v>
      </c>
      <c r="J2672">
        <v>-135123951</v>
      </c>
      <c r="K2672">
        <v>-16507767</v>
      </c>
      <c r="L2672">
        <v>73871145</v>
      </c>
      <c r="M2672">
        <v>151276206</v>
      </c>
      <c r="N2672">
        <v>-107127599</v>
      </c>
      <c r="O2672">
        <v>-32111999</v>
      </c>
      <c r="P2672">
        <v>146</v>
      </c>
      <c r="Q2672" t="s">
        <v>5388</v>
      </c>
    </row>
    <row r="2673" spans="1:17" x14ac:dyDescent="0.3">
      <c r="A2673" t="s">
        <v>4446</v>
      </c>
      <c r="B2673" t="str">
        <f>"000977"</f>
        <v>000977</v>
      </c>
      <c r="C2673" t="s">
        <v>5389</v>
      </c>
      <c r="D2673" t="s">
        <v>212</v>
      </c>
      <c r="F2673">
        <v>-8483987386</v>
      </c>
      <c r="G2673">
        <v>1881115591</v>
      </c>
      <c r="H2673">
        <v>430416667</v>
      </c>
      <c r="I2673">
        <v>914737310</v>
      </c>
      <c r="J2673">
        <v>-34254606</v>
      </c>
      <c r="K2673">
        <v>-327502225</v>
      </c>
      <c r="L2673">
        <v>-589123071</v>
      </c>
      <c r="M2673">
        <v>-542899863</v>
      </c>
      <c r="N2673">
        <v>-1040021907</v>
      </c>
      <c r="O2673">
        <v>-235715287</v>
      </c>
      <c r="P2673">
        <v>4428</v>
      </c>
      <c r="Q2673" t="s">
        <v>5390</v>
      </c>
    </row>
    <row r="2674" spans="1:17" x14ac:dyDescent="0.3">
      <c r="A2674" t="s">
        <v>4446</v>
      </c>
      <c r="B2674" t="str">
        <f>"000978"</f>
        <v>000978</v>
      </c>
      <c r="C2674" t="s">
        <v>5391</v>
      </c>
      <c r="D2674" t="s">
        <v>110</v>
      </c>
      <c r="F2674">
        <v>-75480517</v>
      </c>
      <c r="G2674">
        <v>-99015666</v>
      </c>
      <c r="H2674">
        <v>75403660</v>
      </c>
      <c r="I2674">
        <v>14355918</v>
      </c>
      <c r="J2674">
        <v>84236712</v>
      </c>
      <c r="K2674">
        <v>171892261</v>
      </c>
      <c r="L2674">
        <v>171474514</v>
      </c>
      <c r="M2674">
        <v>-188548343</v>
      </c>
      <c r="N2674">
        <v>-161913053</v>
      </c>
      <c r="O2674">
        <v>51758922</v>
      </c>
      <c r="P2674">
        <v>140</v>
      </c>
      <c r="Q2674" t="s">
        <v>5392</v>
      </c>
    </row>
    <row r="2675" spans="1:17" x14ac:dyDescent="0.3">
      <c r="A2675" t="s">
        <v>4446</v>
      </c>
      <c r="B2675" t="str">
        <f>"000979"</f>
        <v>000979</v>
      </c>
      <c r="C2675" t="s">
        <v>5393</v>
      </c>
      <c r="J2675">
        <v>-2123492823</v>
      </c>
      <c r="K2675">
        <v>-3041438261</v>
      </c>
      <c r="L2675">
        <v>-492907737.99000001</v>
      </c>
      <c r="M2675">
        <v>-3995344072.29</v>
      </c>
      <c r="N2675">
        <v>-1617160865.4400001</v>
      </c>
      <c r="O2675">
        <v>361465704.93000001</v>
      </c>
      <c r="P2675">
        <v>30</v>
      </c>
      <c r="Q2675" t="s">
        <v>5394</v>
      </c>
    </row>
    <row r="2676" spans="1:17" x14ac:dyDescent="0.3">
      <c r="A2676" t="s">
        <v>4446</v>
      </c>
      <c r="B2676" t="str">
        <f>"000980"</f>
        <v>000980</v>
      </c>
      <c r="C2676" t="s">
        <v>5395</v>
      </c>
      <c r="D2676" t="s">
        <v>27</v>
      </c>
      <c r="F2676">
        <v>-1341343684</v>
      </c>
      <c r="G2676">
        <v>-1335167922</v>
      </c>
      <c r="H2676">
        <v>-7455537023</v>
      </c>
      <c r="I2676">
        <v>-3332187520</v>
      </c>
      <c r="J2676">
        <v>-85988714</v>
      </c>
      <c r="K2676">
        <v>-104384734</v>
      </c>
      <c r="L2676">
        <v>31064061</v>
      </c>
      <c r="M2676">
        <v>-400833577</v>
      </c>
      <c r="N2676">
        <v>12462088</v>
      </c>
      <c r="O2676">
        <v>20263460</v>
      </c>
      <c r="P2676">
        <v>161</v>
      </c>
      <c r="Q2676" t="s">
        <v>5396</v>
      </c>
    </row>
    <row r="2677" spans="1:17" x14ac:dyDescent="0.3">
      <c r="A2677" t="s">
        <v>4446</v>
      </c>
      <c r="B2677" t="str">
        <f>"000981"</f>
        <v>000981</v>
      </c>
      <c r="C2677" t="s">
        <v>5397</v>
      </c>
      <c r="D2677" t="s">
        <v>30</v>
      </c>
      <c r="F2677">
        <v>-674717518</v>
      </c>
      <c r="G2677">
        <v>-288939768</v>
      </c>
      <c r="H2677">
        <v>222227405</v>
      </c>
      <c r="I2677">
        <v>-1016586427</v>
      </c>
      <c r="J2677">
        <v>-674458621</v>
      </c>
      <c r="K2677">
        <v>340724123</v>
      </c>
      <c r="L2677">
        <v>2537972845</v>
      </c>
      <c r="M2677">
        <v>-605747252</v>
      </c>
      <c r="N2677">
        <v>309094618</v>
      </c>
      <c r="O2677">
        <v>-677602884</v>
      </c>
      <c r="P2677">
        <v>118</v>
      </c>
      <c r="Q2677" t="s">
        <v>5398</v>
      </c>
    </row>
    <row r="2678" spans="1:17" x14ac:dyDescent="0.3">
      <c r="A2678" t="s">
        <v>4446</v>
      </c>
      <c r="B2678" t="str">
        <f>"000982"</f>
        <v>000982</v>
      </c>
      <c r="C2678" t="s">
        <v>5399</v>
      </c>
      <c r="D2678" t="s">
        <v>227</v>
      </c>
      <c r="F2678">
        <v>-8755162</v>
      </c>
      <c r="G2678">
        <v>-56193922</v>
      </c>
      <c r="H2678">
        <v>-446527077</v>
      </c>
      <c r="I2678">
        <v>-58464846</v>
      </c>
      <c r="J2678">
        <v>-459880585</v>
      </c>
      <c r="K2678">
        <v>-19525217</v>
      </c>
      <c r="L2678">
        <v>-413934407</v>
      </c>
      <c r="M2678">
        <v>-2240685583</v>
      </c>
      <c r="N2678">
        <v>-2451583545</v>
      </c>
      <c r="O2678">
        <v>-895724835</v>
      </c>
      <c r="P2678">
        <v>83</v>
      </c>
      <c r="Q2678" t="s">
        <v>5400</v>
      </c>
    </row>
    <row r="2679" spans="1:17" x14ac:dyDescent="0.3">
      <c r="A2679" t="s">
        <v>4446</v>
      </c>
      <c r="B2679" t="str">
        <f>"000983"</f>
        <v>000983</v>
      </c>
      <c r="C2679" t="s">
        <v>5401</v>
      </c>
      <c r="D2679" t="s">
        <v>257</v>
      </c>
      <c r="F2679">
        <v>9675357275</v>
      </c>
      <c r="G2679">
        <v>2533714952</v>
      </c>
      <c r="H2679">
        <v>5606635541</v>
      </c>
      <c r="I2679">
        <v>4126837241</v>
      </c>
      <c r="J2679">
        <v>3131085672</v>
      </c>
      <c r="K2679">
        <v>22892592</v>
      </c>
      <c r="L2679">
        <v>-1322742592</v>
      </c>
      <c r="M2679">
        <v>-762205115</v>
      </c>
      <c r="N2679">
        <v>841923715</v>
      </c>
      <c r="O2679">
        <v>-477520701</v>
      </c>
      <c r="P2679">
        <v>688</v>
      </c>
      <c r="Q2679" t="s">
        <v>5402</v>
      </c>
    </row>
    <row r="2680" spans="1:17" x14ac:dyDescent="0.3">
      <c r="A2680" t="s">
        <v>4446</v>
      </c>
      <c r="B2680" t="str">
        <f>"000985"</f>
        <v>000985</v>
      </c>
      <c r="C2680" t="s">
        <v>5403</v>
      </c>
      <c r="D2680" t="s">
        <v>70</v>
      </c>
      <c r="F2680">
        <v>44192951</v>
      </c>
      <c r="G2680">
        <v>20494570</v>
      </c>
      <c r="H2680">
        <v>44602437</v>
      </c>
      <c r="I2680">
        <v>-26881810</v>
      </c>
      <c r="J2680">
        <v>79638926</v>
      </c>
      <c r="K2680">
        <v>76633828</v>
      </c>
      <c r="L2680">
        <v>-17512096</v>
      </c>
      <c r="M2680">
        <v>80029652</v>
      </c>
      <c r="N2680">
        <v>-25953670</v>
      </c>
      <c r="O2680">
        <v>-21319898</v>
      </c>
      <c r="P2680">
        <v>82</v>
      </c>
      <c r="Q2680" t="s">
        <v>5404</v>
      </c>
    </row>
    <row r="2681" spans="1:17" x14ac:dyDescent="0.3">
      <c r="A2681" t="s">
        <v>4446</v>
      </c>
      <c r="B2681" t="str">
        <f>"000987"</f>
        <v>000987</v>
      </c>
      <c r="C2681" t="s">
        <v>5405</v>
      </c>
      <c r="D2681" t="s">
        <v>75</v>
      </c>
      <c r="F2681">
        <v>-7319866757</v>
      </c>
      <c r="G2681">
        <v>-5240338673</v>
      </c>
      <c r="H2681">
        <v>3283935754</v>
      </c>
      <c r="I2681">
        <v>24395551</v>
      </c>
      <c r="J2681">
        <v>-9643047630</v>
      </c>
      <c r="K2681">
        <v>-5942302980</v>
      </c>
      <c r="L2681">
        <v>-28268011</v>
      </c>
      <c r="M2681">
        <v>-145096895</v>
      </c>
      <c r="N2681">
        <v>280202344</v>
      </c>
      <c r="O2681">
        <v>393143690</v>
      </c>
      <c r="P2681">
        <v>520</v>
      </c>
      <c r="Q2681" t="s">
        <v>5406</v>
      </c>
    </row>
    <row r="2682" spans="1:17" x14ac:dyDescent="0.3">
      <c r="A2682" t="s">
        <v>4446</v>
      </c>
      <c r="B2682" t="str">
        <f>"000988"</f>
        <v>000988</v>
      </c>
      <c r="C2682" t="s">
        <v>5407</v>
      </c>
      <c r="D2682" t="s">
        <v>78</v>
      </c>
      <c r="F2682">
        <v>-260950019</v>
      </c>
      <c r="G2682">
        <v>139845270</v>
      </c>
      <c r="H2682">
        <v>64309670</v>
      </c>
      <c r="I2682">
        <v>-143031243</v>
      </c>
      <c r="J2682">
        <v>-30634501</v>
      </c>
      <c r="K2682">
        <v>182564837</v>
      </c>
      <c r="L2682">
        <v>16028419</v>
      </c>
      <c r="M2682">
        <v>99504145</v>
      </c>
      <c r="N2682">
        <v>-108721901</v>
      </c>
      <c r="O2682">
        <v>-234374629</v>
      </c>
      <c r="P2682">
        <v>711</v>
      </c>
      <c r="Q2682" t="s">
        <v>5408</v>
      </c>
    </row>
    <row r="2683" spans="1:17" x14ac:dyDescent="0.3">
      <c r="A2683" t="s">
        <v>4446</v>
      </c>
      <c r="B2683" t="str">
        <f>"000989"</f>
        <v>000989</v>
      </c>
      <c r="C2683" t="s">
        <v>5409</v>
      </c>
      <c r="D2683" t="s">
        <v>113</v>
      </c>
      <c r="F2683">
        <v>158667954</v>
      </c>
      <c r="G2683">
        <v>529482905</v>
      </c>
      <c r="H2683">
        <v>701849815</v>
      </c>
      <c r="I2683">
        <v>286901754</v>
      </c>
      <c r="J2683">
        <v>45444592</v>
      </c>
      <c r="K2683">
        <v>561745110</v>
      </c>
      <c r="L2683">
        <v>290782094</v>
      </c>
      <c r="M2683">
        <v>117811506</v>
      </c>
      <c r="N2683">
        <v>-201459684</v>
      </c>
      <c r="O2683">
        <v>-77341332</v>
      </c>
      <c r="P2683">
        <v>370</v>
      </c>
      <c r="Q2683" t="s">
        <v>5410</v>
      </c>
    </row>
    <row r="2684" spans="1:17" x14ac:dyDescent="0.3">
      <c r="A2684" t="s">
        <v>4446</v>
      </c>
      <c r="B2684" t="str">
        <f>"000990"</f>
        <v>000990</v>
      </c>
      <c r="C2684" t="s">
        <v>5411</v>
      </c>
      <c r="D2684" t="s">
        <v>133</v>
      </c>
      <c r="F2684">
        <v>1279180439</v>
      </c>
      <c r="G2684">
        <v>1001486302</v>
      </c>
      <c r="H2684">
        <v>-95087937</v>
      </c>
      <c r="I2684">
        <v>-517368273</v>
      </c>
      <c r="J2684">
        <v>1145236169</v>
      </c>
      <c r="K2684">
        <v>-161419551</v>
      </c>
      <c r="L2684">
        <v>-268718191</v>
      </c>
      <c r="M2684">
        <v>-200407720</v>
      </c>
      <c r="N2684">
        <v>98264869</v>
      </c>
      <c r="O2684">
        <v>74481217</v>
      </c>
      <c r="P2684">
        <v>194</v>
      </c>
      <c r="Q2684" t="s">
        <v>5412</v>
      </c>
    </row>
    <row r="2685" spans="1:17" x14ac:dyDescent="0.3">
      <c r="A2685" t="s">
        <v>4446</v>
      </c>
      <c r="B2685" t="str">
        <f>"000993"</f>
        <v>000993</v>
      </c>
      <c r="C2685" t="s">
        <v>5413</v>
      </c>
      <c r="D2685" t="s">
        <v>41</v>
      </c>
      <c r="F2685">
        <v>648729126</v>
      </c>
      <c r="G2685">
        <v>271929631</v>
      </c>
      <c r="H2685">
        <v>14233025</v>
      </c>
      <c r="I2685">
        <v>-260950587</v>
      </c>
      <c r="J2685">
        <v>-186333052</v>
      </c>
      <c r="K2685">
        <v>213375291</v>
      </c>
      <c r="L2685">
        <v>-20926345</v>
      </c>
      <c r="M2685">
        <v>53033805</v>
      </c>
      <c r="N2685">
        <v>28169455</v>
      </c>
      <c r="O2685">
        <v>141201867</v>
      </c>
      <c r="P2685">
        <v>163</v>
      </c>
      <c r="Q2685" t="s">
        <v>5414</v>
      </c>
    </row>
    <row r="2686" spans="1:17" x14ac:dyDescent="0.3">
      <c r="A2686" t="s">
        <v>4446</v>
      </c>
      <c r="B2686" t="str">
        <f>"000995"</f>
        <v>000995</v>
      </c>
      <c r="C2686" t="s">
        <v>5415</v>
      </c>
      <c r="D2686" t="s">
        <v>123</v>
      </c>
      <c r="F2686">
        <v>-5933685</v>
      </c>
      <c r="G2686">
        <v>-3489713</v>
      </c>
      <c r="H2686">
        <v>-117736806</v>
      </c>
      <c r="I2686">
        <v>-9067663</v>
      </c>
      <c r="J2686">
        <v>-29055098</v>
      </c>
      <c r="K2686">
        <v>17859591</v>
      </c>
      <c r="L2686">
        <v>-96310940</v>
      </c>
      <c r="M2686">
        <v>-65141574</v>
      </c>
      <c r="N2686">
        <v>-13556774</v>
      </c>
      <c r="O2686">
        <v>20903025</v>
      </c>
      <c r="P2686">
        <v>175</v>
      </c>
      <c r="Q2686" t="s">
        <v>5416</v>
      </c>
    </row>
    <row r="2687" spans="1:17" x14ac:dyDescent="0.3">
      <c r="A2687" t="s">
        <v>4446</v>
      </c>
      <c r="B2687" t="str">
        <f>"000996"</f>
        <v>000996</v>
      </c>
      <c r="C2687" t="s">
        <v>5417</v>
      </c>
      <c r="D2687" t="s">
        <v>27</v>
      </c>
      <c r="F2687">
        <v>-1962845</v>
      </c>
      <c r="G2687">
        <v>-7221291</v>
      </c>
      <c r="H2687">
        <v>-15113302</v>
      </c>
      <c r="I2687">
        <v>-11056524</v>
      </c>
      <c r="J2687">
        <v>-11731871</v>
      </c>
      <c r="K2687">
        <v>6406575</v>
      </c>
      <c r="L2687">
        <v>-11822371</v>
      </c>
      <c r="M2687">
        <v>-6978856</v>
      </c>
      <c r="N2687">
        <v>-2452407</v>
      </c>
      <c r="O2687">
        <v>-3338968</v>
      </c>
      <c r="P2687">
        <v>70</v>
      </c>
      <c r="Q2687" t="s">
        <v>5418</v>
      </c>
    </row>
    <row r="2688" spans="1:17" x14ac:dyDescent="0.3">
      <c r="A2688" t="s">
        <v>4446</v>
      </c>
      <c r="B2688" t="str">
        <f>"000997"</f>
        <v>000997</v>
      </c>
      <c r="C2688" t="s">
        <v>5419</v>
      </c>
      <c r="D2688" t="s">
        <v>212</v>
      </c>
      <c r="F2688">
        <v>940428115</v>
      </c>
      <c r="G2688">
        <v>366436542</v>
      </c>
      <c r="H2688">
        <v>-461167527</v>
      </c>
      <c r="I2688">
        <v>-432399353</v>
      </c>
      <c r="J2688">
        <v>-492284872</v>
      </c>
      <c r="K2688">
        <v>1041942017</v>
      </c>
      <c r="L2688">
        <v>790111985</v>
      </c>
      <c r="M2688">
        <v>297958028</v>
      </c>
      <c r="N2688">
        <v>415647341</v>
      </c>
      <c r="O2688">
        <v>147202077</v>
      </c>
      <c r="P2688">
        <v>581</v>
      </c>
      <c r="Q2688" t="s">
        <v>5420</v>
      </c>
    </row>
    <row r="2689" spans="1:17" x14ac:dyDescent="0.3">
      <c r="A2689" t="s">
        <v>4446</v>
      </c>
      <c r="B2689" t="str">
        <f>"000998"</f>
        <v>000998</v>
      </c>
      <c r="C2689" t="s">
        <v>5421</v>
      </c>
      <c r="D2689" t="s">
        <v>205</v>
      </c>
      <c r="F2689">
        <v>935230968</v>
      </c>
      <c r="G2689">
        <v>1071779785</v>
      </c>
      <c r="H2689">
        <v>-241103751</v>
      </c>
      <c r="I2689">
        <v>-609056449</v>
      </c>
      <c r="J2689">
        <v>165841418</v>
      </c>
      <c r="K2689">
        <v>-40899921</v>
      </c>
      <c r="L2689">
        <v>40634330</v>
      </c>
      <c r="M2689">
        <v>21780812</v>
      </c>
      <c r="N2689">
        <v>23792096</v>
      </c>
      <c r="O2689">
        <v>-125872822</v>
      </c>
      <c r="P2689">
        <v>649</v>
      </c>
      <c r="Q2689" t="s">
        <v>5422</v>
      </c>
    </row>
    <row r="2690" spans="1:17" x14ac:dyDescent="0.3">
      <c r="A2690" t="s">
        <v>4446</v>
      </c>
      <c r="B2690" t="str">
        <f>"000999"</f>
        <v>000999</v>
      </c>
      <c r="C2690" t="s">
        <v>5423</v>
      </c>
      <c r="D2690" t="s">
        <v>113</v>
      </c>
      <c r="F2690">
        <v>1004272852</v>
      </c>
      <c r="G2690">
        <v>1609221707</v>
      </c>
      <c r="H2690">
        <v>1437156162</v>
      </c>
      <c r="I2690">
        <v>1325886277</v>
      </c>
      <c r="J2690">
        <v>1206777359</v>
      </c>
      <c r="K2690">
        <v>1043847437</v>
      </c>
      <c r="L2690">
        <v>955234112</v>
      </c>
      <c r="M2690">
        <v>844962034</v>
      </c>
      <c r="N2690">
        <v>1117089880</v>
      </c>
      <c r="O2690">
        <v>710293224</v>
      </c>
      <c r="P2690">
        <v>5775</v>
      </c>
      <c r="Q2690" t="s">
        <v>5424</v>
      </c>
    </row>
    <row r="2691" spans="1:17" x14ac:dyDescent="0.3">
      <c r="A2691" t="s">
        <v>4446</v>
      </c>
      <c r="B2691" t="str">
        <f>"001201"</f>
        <v>001201</v>
      </c>
      <c r="C2691" t="s">
        <v>5425</v>
      </c>
      <c r="D2691" t="s">
        <v>205</v>
      </c>
      <c r="F2691">
        <v>-976951384</v>
      </c>
      <c r="G2691">
        <v>169316160</v>
      </c>
      <c r="H2691">
        <v>205357759</v>
      </c>
      <c r="I2691">
        <v>-57321504</v>
      </c>
      <c r="J2691">
        <v>-1584716</v>
      </c>
      <c r="P2691">
        <v>61</v>
      </c>
      <c r="Q2691" t="s">
        <v>5426</v>
      </c>
    </row>
    <row r="2692" spans="1:17" x14ac:dyDescent="0.3">
      <c r="A2692" t="s">
        <v>4446</v>
      </c>
      <c r="B2692" t="str">
        <f>"001202"</f>
        <v>001202</v>
      </c>
      <c r="C2692" t="s">
        <v>5427</v>
      </c>
      <c r="D2692" t="s">
        <v>22</v>
      </c>
      <c r="F2692">
        <v>-189474979</v>
      </c>
      <c r="G2692">
        <v>78672603</v>
      </c>
      <c r="H2692">
        <v>25989070</v>
      </c>
      <c r="I2692">
        <v>-52399991</v>
      </c>
      <c r="J2692">
        <v>-2507085</v>
      </c>
      <c r="P2692">
        <v>32</v>
      </c>
      <c r="Q2692" t="s">
        <v>5428</v>
      </c>
    </row>
    <row r="2693" spans="1:17" x14ac:dyDescent="0.3">
      <c r="A2693" t="s">
        <v>4446</v>
      </c>
      <c r="B2693" t="str">
        <f>"001203"</f>
        <v>001203</v>
      </c>
      <c r="C2693" t="s">
        <v>5429</v>
      </c>
      <c r="D2693" t="s">
        <v>38</v>
      </c>
      <c r="F2693">
        <v>1560871892</v>
      </c>
      <c r="G2693">
        <v>466747048</v>
      </c>
      <c r="H2693">
        <v>63007153</v>
      </c>
      <c r="I2693">
        <v>212581545</v>
      </c>
      <c r="J2693">
        <v>196398082</v>
      </c>
      <c r="P2693">
        <v>80</v>
      </c>
      <c r="Q2693" t="s">
        <v>5430</v>
      </c>
    </row>
    <row r="2694" spans="1:17" x14ac:dyDescent="0.3">
      <c r="A2694" t="s">
        <v>4446</v>
      </c>
      <c r="B2694" t="str">
        <f>"001205"</f>
        <v>001205</v>
      </c>
      <c r="C2694" t="s">
        <v>5431</v>
      </c>
      <c r="D2694" t="s">
        <v>22</v>
      </c>
      <c r="F2694">
        <v>-344661144</v>
      </c>
      <c r="G2694">
        <v>80396509</v>
      </c>
      <c r="H2694">
        <v>-202381378</v>
      </c>
      <c r="I2694">
        <v>2476644</v>
      </c>
      <c r="J2694">
        <v>-178291906</v>
      </c>
      <c r="P2694">
        <v>44</v>
      </c>
      <c r="Q2694" t="s">
        <v>5432</v>
      </c>
    </row>
    <row r="2695" spans="1:17" x14ac:dyDescent="0.3">
      <c r="A2695" t="s">
        <v>4446</v>
      </c>
      <c r="B2695" t="str">
        <f>"001206"</f>
        <v>001206</v>
      </c>
      <c r="C2695" t="s">
        <v>5433</v>
      </c>
      <c r="D2695" t="s">
        <v>481</v>
      </c>
      <c r="F2695">
        <v>-229526139</v>
      </c>
      <c r="G2695">
        <v>-89553774</v>
      </c>
      <c r="H2695">
        <v>83254130</v>
      </c>
      <c r="I2695">
        <v>-762662</v>
      </c>
      <c r="J2695">
        <v>-19829564</v>
      </c>
      <c r="P2695">
        <v>53</v>
      </c>
      <c r="Q2695" t="s">
        <v>5434</v>
      </c>
    </row>
    <row r="2696" spans="1:17" x14ac:dyDescent="0.3">
      <c r="A2696" t="s">
        <v>4446</v>
      </c>
      <c r="B2696" t="str">
        <f>"001207"</f>
        <v>001207</v>
      </c>
      <c r="C2696" t="s">
        <v>5435</v>
      </c>
      <c r="D2696" t="s">
        <v>133</v>
      </c>
      <c r="F2696">
        <v>-34399375</v>
      </c>
      <c r="G2696">
        <v>24465561</v>
      </c>
      <c r="H2696">
        <v>12044254</v>
      </c>
      <c r="I2696">
        <v>127317407</v>
      </c>
      <c r="J2696">
        <v>-17903448</v>
      </c>
      <c r="P2696">
        <v>25</v>
      </c>
      <c r="Q2696" t="s">
        <v>5436</v>
      </c>
    </row>
    <row r="2697" spans="1:17" x14ac:dyDescent="0.3">
      <c r="A2697" t="s">
        <v>4446</v>
      </c>
      <c r="B2697" t="str">
        <f>"001208"</f>
        <v>001208</v>
      </c>
      <c r="C2697" t="s">
        <v>5437</v>
      </c>
      <c r="D2697" t="s">
        <v>188</v>
      </c>
      <c r="F2697">
        <v>-331182077</v>
      </c>
      <c r="G2697">
        <v>88174757</v>
      </c>
      <c r="H2697">
        <v>45449027</v>
      </c>
      <c r="I2697">
        <v>50141791</v>
      </c>
      <c r="J2697">
        <v>21613783</v>
      </c>
      <c r="P2697">
        <v>66</v>
      </c>
      <c r="Q2697" t="s">
        <v>5438</v>
      </c>
    </row>
    <row r="2698" spans="1:17" x14ac:dyDescent="0.3">
      <c r="A2698" t="s">
        <v>4446</v>
      </c>
      <c r="B2698" t="str">
        <f>"001209"</f>
        <v>001209</v>
      </c>
      <c r="C2698" t="s">
        <v>5439</v>
      </c>
      <c r="D2698" t="s">
        <v>227</v>
      </c>
      <c r="F2698">
        <v>-51990457</v>
      </c>
      <c r="G2698">
        <v>115840136</v>
      </c>
      <c r="H2698">
        <v>61249918</v>
      </c>
      <c r="I2698">
        <v>-57701290</v>
      </c>
      <c r="J2698">
        <v>20740423</v>
      </c>
      <c r="P2698">
        <v>22</v>
      </c>
      <c r="Q2698" t="s">
        <v>5440</v>
      </c>
    </row>
    <row r="2699" spans="1:17" x14ac:dyDescent="0.3">
      <c r="A2699" t="s">
        <v>4446</v>
      </c>
      <c r="B2699" t="str">
        <f>"001210"</f>
        <v>001210</v>
      </c>
      <c r="C2699" t="s">
        <v>5441</v>
      </c>
      <c r="D2699" t="s">
        <v>41</v>
      </c>
      <c r="F2699">
        <v>88664051</v>
      </c>
      <c r="G2699">
        <v>111684356</v>
      </c>
      <c r="H2699">
        <v>143368937</v>
      </c>
      <c r="I2699">
        <v>104850624</v>
      </c>
      <c r="J2699">
        <v>12340512</v>
      </c>
      <c r="P2699">
        <v>27</v>
      </c>
      <c r="Q2699" t="s">
        <v>5442</v>
      </c>
    </row>
    <row r="2700" spans="1:17" x14ac:dyDescent="0.3">
      <c r="A2700" t="s">
        <v>4446</v>
      </c>
      <c r="B2700" t="str">
        <f>"001211"</f>
        <v>001211</v>
      </c>
      <c r="C2700" t="s">
        <v>5443</v>
      </c>
      <c r="D2700" t="s">
        <v>161</v>
      </c>
      <c r="F2700">
        <v>-91566098</v>
      </c>
      <c r="G2700">
        <v>59796574</v>
      </c>
      <c r="H2700">
        <v>51427436</v>
      </c>
      <c r="I2700">
        <v>-7317846</v>
      </c>
      <c r="J2700">
        <v>-17292600</v>
      </c>
      <c r="P2700">
        <v>13</v>
      </c>
      <c r="Q2700" t="s">
        <v>5444</v>
      </c>
    </row>
    <row r="2701" spans="1:17" x14ac:dyDescent="0.3">
      <c r="A2701" t="s">
        <v>4446</v>
      </c>
      <c r="B2701" t="str">
        <f>"001212"</f>
        <v>001212</v>
      </c>
      <c r="C2701" t="s">
        <v>5445</v>
      </c>
      <c r="D2701" t="s">
        <v>350</v>
      </c>
      <c r="F2701">
        <v>23373310</v>
      </c>
      <c r="G2701">
        <v>70950670</v>
      </c>
      <c r="H2701">
        <v>49600584</v>
      </c>
      <c r="I2701">
        <v>20174524</v>
      </c>
      <c r="J2701">
        <v>-6552976</v>
      </c>
      <c r="P2701">
        <v>19</v>
      </c>
      <c r="Q2701" t="s">
        <v>5446</v>
      </c>
    </row>
    <row r="2702" spans="1:17" x14ac:dyDescent="0.3">
      <c r="A2702" t="s">
        <v>4446</v>
      </c>
      <c r="B2702" t="str">
        <f>"001213"</f>
        <v>001213</v>
      </c>
      <c r="C2702" t="s">
        <v>5447</v>
      </c>
      <c r="D2702" t="s">
        <v>22</v>
      </c>
      <c r="F2702">
        <v>123006476</v>
      </c>
      <c r="G2702">
        <v>952795862</v>
      </c>
      <c r="H2702">
        <v>-467431408</v>
      </c>
      <c r="I2702">
        <v>-642831842</v>
      </c>
      <c r="J2702">
        <v>-3493334900</v>
      </c>
      <c r="P2702">
        <v>27</v>
      </c>
      <c r="Q2702" t="s">
        <v>5448</v>
      </c>
    </row>
    <row r="2703" spans="1:17" x14ac:dyDescent="0.3">
      <c r="A2703" t="s">
        <v>4446</v>
      </c>
      <c r="B2703" t="str">
        <f>"001215"</f>
        <v>001215</v>
      </c>
      <c r="C2703" t="s">
        <v>5449</v>
      </c>
      <c r="D2703" t="s">
        <v>123</v>
      </c>
      <c r="F2703">
        <v>-84418606</v>
      </c>
      <c r="G2703">
        <v>3172732</v>
      </c>
      <c r="H2703">
        <v>-105815931</v>
      </c>
      <c r="I2703">
        <v>-173461463</v>
      </c>
      <c r="J2703">
        <v>47856572</v>
      </c>
      <c r="P2703">
        <v>59</v>
      </c>
      <c r="Q2703" t="s">
        <v>5450</v>
      </c>
    </row>
    <row r="2704" spans="1:17" x14ac:dyDescent="0.3">
      <c r="A2704" t="s">
        <v>4446</v>
      </c>
      <c r="B2704" t="str">
        <f>"001216"</f>
        <v>001216</v>
      </c>
      <c r="C2704" t="s">
        <v>5451</v>
      </c>
      <c r="D2704" t="s">
        <v>161</v>
      </c>
      <c r="F2704">
        <v>-46264590</v>
      </c>
      <c r="G2704">
        <v>92687375</v>
      </c>
      <c r="H2704">
        <v>107188492</v>
      </c>
      <c r="I2704">
        <v>89467599</v>
      </c>
      <c r="J2704">
        <v>103352053</v>
      </c>
      <c r="P2704">
        <v>19</v>
      </c>
      <c r="Q2704" t="s">
        <v>5452</v>
      </c>
    </row>
    <row r="2705" spans="1:17" x14ac:dyDescent="0.3">
      <c r="A2705" t="s">
        <v>4446</v>
      </c>
      <c r="B2705" t="str">
        <f>"001217"</f>
        <v>001217</v>
      </c>
      <c r="C2705" t="s">
        <v>5453</v>
      </c>
      <c r="D2705" t="s">
        <v>133</v>
      </c>
      <c r="F2705">
        <v>256950745</v>
      </c>
      <c r="G2705">
        <v>98001444</v>
      </c>
      <c r="H2705">
        <v>96335970</v>
      </c>
      <c r="I2705">
        <v>24378014</v>
      </c>
      <c r="J2705">
        <v>149469056</v>
      </c>
      <c r="P2705">
        <v>27</v>
      </c>
      <c r="Q2705" t="s">
        <v>5454</v>
      </c>
    </row>
    <row r="2706" spans="1:17" x14ac:dyDescent="0.3">
      <c r="A2706" t="s">
        <v>4446</v>
      </c>
      <c r="B2706" t="str">
        <f>"001218"</f>
        <v>001218</v>
      </c>
      <c r="C2706" t="s">
        <v>5455</v>
      </c>
      <c r="D2706" t="s">
        <v>133</v>
      </c>
      <c r="F2706">
        <v>-51143376</v>
      </c>
      <c r="G2706">
        <v>66294718</v>
      </c>
      <c r="H2706">
        <v>189662962</v>
      </c>
      <c r="I2706">
        <v>-139747531</v>
      </c>
      <c r="J2706">
        <v>-332931100</v>
      </c>
      <c r="P2706">
        <v>15</v>
      </c>
      <c r="Q2706" t="s">
        <v>5456</v>
      </c>
    </row>
    <row r="2707" spans="1:17" x14ac:dyDescent="0.3">
      <c r="A2707" t="s">
        <v>4446</v>
      </c>
      <c r="B2707" t="str">
        <f>"001219"</f>
        <v>001219</v>
      </c>
      <c r="C2707" t="s">
        <v>5457</v>
      </c>
      <c r="D2707" t="s">
        <v>123</v>
      </c>
      <c r="F2707">
        <v>60278935</v>
      </c>
      <c r="G2707">
        <v>71159845</v>
      </c>
      <c r="H2707">
        <v>64404918</v>
      </c>
      <c r="I2707">
        <v>81264577</v>
      </c>
      <c r="J2707">
        <v>49407541</v>
      </c>
      <c r="P2707">
        <v>33</v>
      </c>
      <c r="Q2707" t="s">
        <v>5458</v>
      </c>
    </row>
    <row r="2708" spans="1:17" x14ac:dyDescent="0.3">
      <c r="A2708" t="s">
        <v>4446</v>
      </c>
      <c r="B2708" t="str">
        <f>"001227"</f>
        <v>001227</v>
      </c>
      <c r="C2708" t="s">
        <v>5459</v>
      </c>
      <c r="D2708" t="s">
        <v>19</v>
      </c>
      <c r="F2708">
        <v>12704900437</v>
      </c>
      <c r="G2708">
        <v>-3283085406</v>
      </c>
      <c r="H2708">
        <v>-3740304275</v>
      </c>
      <c r="I2708">
        <v>13353800803</v>
      </c>
      <c r="J2708">
        <v>-10176665000</v>
      </c>
      <c r="K2708">
        <v>27507244000</v>
      </c>
      <c r="P2708">
        <v>31</v>
      </c>
      <c r="Q2708" t="s">
        <v>5460</v>
      </c>
    </row>
    <row r="2709" spans="1:17" x14ac:dyDescent="0.3">
      <c r="A2709" t="s">
        <v>4446</v>
      </c>
      <c r="B2709" t="str">
        <f>"001228"</f>
        <v>001228</v>
      </c>
      <c r="C2709" t="s">
        <v>5461</v>
      </c>
      <c r="F2709">
        <v>122239997</v>
      </c>
      <c r="G2709">
        <v>-8611248</v>
      </c>
      <c r="H2709">
        <v>-19358498</v>
      </c>
      <c r="I2709">
        <v>25047616</v>
      </c>
      <c r="J2709">
        <v>-69736763</v>
      </c>
      <c r="P2709">
        <v>2</v>
      </c>
      <c r="Q2709" t="s">
        <v>5462</v>
      </c>
    </row>
    <row r="2710" spans="1:17" x14ac:dyDescent="0.3">
      <c r="A2710" t="s">
        <v>4446</v>
      </c>
      <c r="B2710" t="str">
        <f>"001234"</f>
        <v>001234</v>
      </c>
      <c r="C2710" t="s">
        <v>5463</v>
      </c>
      <c r="D2710" t="s">
        <v>227</v>
      </c>
      <c r="F2710">
        <v>54501151</v>
      </c>
      <c r="G2710">
        <v>87051604</v>
      </c>
      <c r="H2710">
        <v>68209826</v>
      </c>
      <c r="I2710">
        <v>57723367</v>
      </c>
      <c r="J2710">
        <v>36892758</v>
      </c>
      <c r="P2710">
        <v>16</v>
      </c>
      <c r="Q2710" t="s">
        <v>5464</v>
      </c>
    </row>
    <row r="2711" spans="1:17" x14ac:dyDescent="0.3">
      <c r="A2711" t="s">
        <v>4446</v>
      </c>
      <c r="B2711" t="str">
        <f>"001235"</f>
        <v>001235</v>
      </c>
      <c r="C2711" t="s">
        <v>5465</v>
      </c>
      <c r="F2711">
        <v>-48662112</v>
      </c>
      <c r="G2711">
        <v>14053177</v>
      </c>
      <c r="H2711">
        <v>-64216674</v>
      </c>
      <c r="I2711">
        <v>-21893032</v>
      </c>
      <c r="Q2711" t="s">
        <v>5466</v>
      </c>
    </row>
    <row r="2712" spans="1:17" x14ac:dyDescent="0.3">
      <c r="A2712" t="s">
        <v>4446</v>
      </c>
      <c r="B2712" t="str">
        <f>"001266"</f>
        <v>001266</v>
      </c>
      <c r="C2712" t="s">
        <v>5467</v>
      </c>
      <c r="F2712">
        <v>67520505</v>
      </c>
      <c r="G2712">
        <v>58104100</v>
      </c>
      <c r="H2712">
        <v>30177414</v>
      </c>
      <c r="I2712">
        <v>-6704600</v>
      </c>
      <c r="P2712">
        <v>8</v>
      </c>
      <c r="Q2712" t="s">
        <v>5468</v>
      </c>
    </row>
    <row r="2713" spans="1:17" x14ac:dyDescent="0.3">
      <c r="A2713" t="s">
        <v>4446</v>
      </c>
      <c r="B2713" t="str">
        <f>"001267"</f>
        <v>001267</v>
      </c>
      <c r="C2713" t="s">
        <v>5469</v>
      </c>
      <c r="D2713" t="s">
        <v>95</v>
      </c>
      <c r="F2713">
        <v>-144981059</v>
      </c>
      <c r="G2713">
        <v>49147181</v>
      </c>
      <c r="H2713">
        <v>108017140</v>
      </c>
      <c r="I2713">
        <v>-28471414</v>
      </c>
      <c r="P2713">
        <v>10</v>
      </c>
      <c r="Q2713" t="s">
        <v>5470</v>
      </c>
    </row>
    <row r="2714" spans="1:17" x14ac:dyDescent="0.3">
      <c r="A2714" t="s">
        <v>4446</v>
      </c>
      <c r="B2714" t="str">
        <f>"001288"</f>
        <v>001288</v>
      </c>
      <c r="C2714" t="s">
        <v>5471</v>
      </c>
      <c r="D2714" t="s">
        <v>78</v>
      </c>
      <c r="F2714">
        <v>65204842</v>
      </c>
      <c r="G2714">
        <v>102080270</v>
      </c>
      <c r="H2714">
        <v>6318231</v>
      </c>
      <c r="I2714">
        <v>136067902</v>
      </c>
      <c r="J2714">
        <v>220539642</v>
      </c>
      <c r="P2714">
        <v>14</v>
      </c>
      <c r="Q2714" t="s">
        <v>5472</v>
      </c>
    </row>
    <row r="2715" spans="1:17" x14ac:dyDescent="0.3">
      <c r="A2715" t="s">
        <v>4446</v>
      </c>
      <c r="B2715" t="str">
        <f>"001289"</f>
        <v>001289</v>
      </c>
      <c r="C2715" t="s">
        <v>5473</v>
      </c>
      <c r="F2715">
        <v>-480054592</v>
      </c>
      <c r="P2715">
        <v>28</v>
      </c>
      <c r="Q2715" t="s">
        <v>5474</v>
      </c>
    </row>
    <row r="2716" spans="1:17" x14ac:dyDescent="0.3">
      <c r="A2716" t="s">
        <v>4446</v>
      </c>
      <c r="B2716" t="str">
        <f>"001296"</f>
        <v>001296</v>
      </c>
      <c r="C2716" t="s">
        <v>5475</v>
      </c>
      <c r="D2716" t="s">
        <v>133</v>
      </c>
      <c r="F2716">
        <v>35944224</v>
      </c>
      <c r="G2716">
        <v>-36240926</v>
      </c>
      <c r="H2716">
        <v>22168270</v>
      </c>
      <c r="I2716">
        <v>3881862</v>
      </c>
      <c r="K2716">
        <v>94225892</v>
      </c>
      <c r="P2716">
        <v>15</v>
      </c>
      <c r="Q2716" t="s">
        <v>5476</v>
      </c>
    </row>
    <row r="2717" spans="1:17" x14ac:dyDescent="0.3">
      <c r="A2717" t="s">
        <v>4446</v>
      </c>
      <c r="B2717" t="str">
        <f>"001308"</f>
        <v>001308</v>
      </c>
      <c r="C2717" t="s">
        <v>5477</v>
      </c>
      <c r="F2717">
        <v>552257707</v>
      </c>
      <c r="G2717">
        <v>240660098</v>
      </c>
      <c r="H2717">
        <v>134921278</v>
      </c>
      <c r="I2717">
        <v>209939985</v>
      </c>
      <c r="P2717">
        <v>5</v>
      </c>
      <c r="Q2717" t="s">
        <v>5478</v>
      </c>
    </row>
    <row r="2718" spans="1:17" x14ac:dyDescent="0.3">
      <c r="A2718" t="s">
        <v>4446</v>
      </c>
      <c r="B2718" t="str">
        <f>"001313"</f>
        <v>001313</v>
      </c>
      <c r="C2718" t="s">
        <v>5479</v>
      </c>
      <c r="F2718">
        <v>536057506</v>
      </c>
      <c r="G2718">
        <v>-267860169</v>
      </c>
      <c r="H2718">
        <v>400329309</v>
      </c>
      <c r="I2718">
        <v>-145175666</v>
      </c>
      <c r="J2718">
        <v>-239181868</v>
      </c>
      <c r="P2718">
        <v>10</v>
      </c>
      <c r="Q2718" t="s">
        <v>5480</v>
      </c>
    </row>
    <row r="2719" spans="1:17" x14ac:dyDescent="0.3">
      <c r="A2719" t="s">
        <v>4446</v>
      </c>
      <c r="B2719" t="str">
        <f>"001317"</f>
        <v>001317</v>
      </c>
      <c r="C2719" t="s">
        <v>5481</v>
      </c>
      <c r="D2719" t="s">
        <v>22</v>
      </c>
      <c r="F2719">
        <v>-143293177</v>
      </c>
      <c r="G2719">
        <v>25645626</v>
      </c>
      <c r="H2719">
        <v>39232762</v>
      </c>
      <c r="I2719">
        <v>5154664</v>
      </c>
      <c r="J2719">
        <v>18286963</v>
      </c>
      <c r="P2719">
        <v>23</v>
      </c>
      <c r="Q2719" t="s">
        <v>5482</v>
      </c>
    </row>
    <row r="2720" spans="1:17" x14ac:dyDescent="0.3">
      <c r="A2720" t="s">
        <v>4446</v>
      </c>
      <c r="B2720" t="str">
        <f>"001318"</f>
        <v>001318</v>
      </c>
      <c r="C2720" t="s">
        <v>5483</v>
      </c>
      <c r="F2720">
        <v>132359706</v>
      </c>
      <c r="G2720">
        <v>27547616</v>
      </c>
      <c r="H2720">
        <v>94177397</v>
      </c>
      <c r="I2720">
        <v>152215343</v>
      </c>
      <c r="Q2720" t="s">
        <v>5484</v>
      </c>
    </row>
    <row r="2721" spans="1:17" x14ac:dyDescent="0.3">
      <c r="A2721" t="s">
        <v>4446</v>
      </c>
      <c r="B2721" t="str">
        <f>"001319"</f>
        <v>001319</v>
      </c>
      <c r="C2721" t="s">
        <v>5485</v>
      </c>
      <c r="F2721">
        <v>29832231</v>
      </c>
      <c r="G2721">
        <v>15617172</v>
      </c>
      <c r="H2721">
        <v>63381784</v>
      </c>
      <c r="I2721">
        <v>-21257738</v>
      </c>
      <c r="P2721">
        <v>0</v>
      </c>
      <c r="Q2721" t="s">
        <v>5486</v>
      </c>
    </row>
    <row r="2722" spans="1:17" x14ac:dyDescent="0.3">
      <c r="A2722" t="s">
        <v>4446</v>
      </c>
      <c r="B2722" t="str">
        <f>"001696"</f>
        <v>001696</v>
      </c>
      <c r="C2722" t="s">
        <v>5487</v>
      </c>
      <c r="D2722" t="s">
        <v>78</v>
      </c>
      <c r="F2722">
        <v>321371955</v>
      </c>
      <c r="G2722">
        <v>526215750</v>
      </c>
      <c r="H2722">
        <v>614092294</v>
      </c>
      <c r="I2722">
        <v>330853499</v>
      </c>
      <c r="J2722">
        <v>-433938016</v>
      </c>
      <c r="K2722">
        <v>-70269274</v>
      </c>
      <c r="L2722">
        <v>639066077</v>
      </c>
      <c r="M2722">
        <v>74510305</v>
      </c>
      <c r="N2722">
        <v>-179487356</v>
      </c>
      <c r="O2722">
        <v>281866062</v>
      </c>
      <c r="P2722">
        <v>274</v>
      </c>
      <c r="Q2722" t="s">
        <v>5488</v>
      </c>
    </row>
    <row r="2723" spans="1:17" x14ac:dyDescent="0.3">
      <c r="A2723" t="s">
        <v>4446</v>
      </c>
      <c r="B2723" t="str">
        <f>"001872"</f>
        <v>001872</v>
      </c>
      <c r="C2723" t="s">
        <v>5489</v>
      </c>
      <c r="D2723" t="s">
        <v>22</v>
      </c>
      <c r="F2723">
        <v>4351114708</v>
      </c>
      <c r="G2723">
        <v>3157140822</v>
      </c>
      <c r="H2723">
        <v>8260815428</v>
      </c>
      <c r="I2723">
        <v>1871341769</v>
      </c>
      <c r="J2723">
        <v>934795525</v>
      </c>
      <c r="K2723">
        <v>658977780</v>
      </c>
      <c r="L2723">
        <v>828145869</v>
      </c>
      <c r="M2723">
        <v>595508345</v>
      </c>
      <c r="N2723">
        <v>494091136</v>
      </c>
      <c r="O2723">
        <v>211406300</v>
      </c>
      <c r="P2723">
        <v>254</v>
      </c>
      <c r="Q2723" t="s">
        <v>5490</v>
      </c>
    </row>
    <row r="2724" spans="1:17" x14ac:dyDescent="0.3">
      <c r="A2724" t="s">
        <v>4446</v>
      </c>
      <c r="B2724" t="str">
        <f>"001896"</f>
        <v>001896</v>
      </c>
      <c r="C2724" t="s">
        <v>5491</v>
      </c>
      <c r="D2724" t="s">
        <v>41</v>
      </c>
      <c r="F2724">
        <v>-1743310178</v>
      </c>
      <c r="G2724">
        <v>-131567478</v>
      </c>
      <c r="H2724">
        <v>667330809</v>
      </c>
      <c r="I2724">
        <v>-44290258</v>
      </c>
      <c r="J2724">
        <v>-638554005</v>
      </c>
      <c r="K2724">
        <v>-302056867</v>
      </c>
      <c r="L2724">
        <v>-1595899427</v>
      </c>
      <c r="M2724">
        <v>-1800455427</v>
      </c>
      <c r="N2724">
        <v>839680763</v>
      </c>
      <c r="O2724">
        <v>927275780</v>
      </c>
      <c r="P2724">
        <v>202</v>
      </c>
      <c r="Q2724" t="s">
        <v>5492</v>
      </c>
    </row>
    <row r="2725" spans="1:17" x14ac:dyDescent="0.3">
      <c r="A2725" t="s">
        <v>4446</v>
      </c>
      <c r="B2725" t="str">
        <f>"001914"</f>
        <v>001914</v>
      </c>
      <c r="C2725" t="s">
        <v>5493</v>
      </c>
      <c r="D2725" t="s">
        <v>30</v>
      </c>
      <c r="F2725">
        <v>685018587</v>
      </c>
      <c r="G2725">
        <v>954385871</v>
      </c>
      <c r="H2725">
        <v>315060110</v>
      </c>
      <c r="I2725">
        <v>1138533093</v>
      </c>
      <c r="J2725">
        <v>2233173884</v>
      </c>
      <c r="K2725">
        <v>1796089014</v>
      </c>
      <c r="L2725">
        <v>497425499</v>
      </c>
      <c r="M2725">
        <v>-2751764460</v>
      </c>
      <c r="N2725">
        <v>-1488449296</v>
      </c>
      <c r="O2725">
        <v>-909022377</v>
      </c>
      <c r="P2725">
        <v>265</v>
      </c>
      <c r="Q2725" t="s">
        <v>5494</v>
      </c>
    </row>
    <row r="2726" spans="1:17" x14ac:dyDescent="0.3">
      <c r="A2726" t="s">
        <v>4446</v>
      </c>
      <c r="B2726" t="str">
        <f>"001965"</f>
        <v>001965</v>
      </c>
      <c r="C2726" t="s">
        <v>5495</v>
      </c>
      <c r="D2726" t="s">
        <v>22</v>
      </c>
      <c r="F2726">
        <v>4137837707</v>
      </c>
      <c r="G2726">
        <v>1746814680</v>
      </c>
      <c r="H2726">
        <v>3481113510</v>
      </c>
      <c r="I2726">
        <v>2926766934</v>
      </c>
      <c r="J2726">
        <v>2406378939</v>
      </c>
      <c r="K2726">
        <v>1709605500</v>
      </c>
      <c r="L2726">
        <v>1713634100</v>
      </c>
      <c r="M2726">
        <v>1281414400</v>
      </c>
      <c r="P2726">
        <v>361</v>
      </c>
      <c r="Q2726" t="s">
        <v>5496</v>
      </c>
    </row>
    <row r="2727" spans="1:17" x14ac:dyDescent="0.3">
      <c r="A2727" t="s">
        <v>4446</v>
      </c>
      <c r="B2727" t="str">
        <f>"001979"</f>
        <v>001979</v>
      </c>
      <c r="C2727" t="s">
        <v>5497</v>
      </c>
      <c r="D2727" t="s">
        <v>30</v>
      </c>
      <c r="F2727">
        <v>15974288301</v>
      </c>
      <c r="G2727">
        <v>23402482642</v>
      </c>
      <c r="H2727">
        <v>5714811172</v>
      </c>
      <c r="I2727">
        <v>7710940175</v>
      </c>
      <c r="J2727">
        <v>-7198909215</v>
      </c>
      <c r="K2727">
        <v>-14018250748</v>
      </c>
      <c r="L2727">
        <v>601400022</v>
      </c>
      <c r="M2727">
        <v>-5941008100</v>
      </c>
      <c r="N2727">
        <v>1340119700</v>
      </c>
      <c r="O2727">
        <v>7292889700</v>
      </c>
      <c r="P2727">
        <v>1456</v>
      </c>
      <c r="Q2727" t="s">
        <v>5498</v>
      </c>
    </row>
    <row r="2728" spans="1:17" x14ac:dyDescent="0.3">
      <c r="A2728" t="s">
        <v>4446</v>
      </c>
      <c r="B2728" t="str">
        <f>"002001"</f>
        <v>002001</v>
      </c>
      <c r="C2728" t="s">
        <v>5499</v>
      </c>
      <c r="D2728" t="s">
        <v>113</v>
      </c>
      <c r="F2728">
        <v>2389663881</v>
      </c>
      <c r="G2728">
        <v>826181181</v>
      </c>
      <c r="H2728">
        <v>-2430478855</v>
      </c>
      <c r="I2728">
        <v>-1228008803</v>
      </c>
      <c r="J2728">
        <v>277101281</v>
      </c>
      <c r="K2728">
        <v>-28290142</v>
      </c>
      <c r="L2728">
        <v>-168435419</v>
      </c>
      <c r="M2728">
        <v>362311613</v>
      </c>
      <c r="N2728">
        <v>739601862</v>
      </c>
      <c r="O2728">
        <v>349731136</v>
      </c>
      <c r="P2728">
        <v>1982</v>
      </c>
      <c r="Q2728" t="s">
        <v>5500</v>
      </c>
    </row>
    <row r="2729" spans="1:17" x14ac:dyDescent="0.3">
      <c r="A2729" t="s">
        <v>4446</v>
      </c>
      <c r="B2729" t="str">
        <f>"002002"</f>
        <v>002002</v>
      </c>
      <c r="C2729" t="s">
        <v>5501</v>
      </c>
      <c r="D2729" t="s">
        <v>133</v>
      </c>
      <c r="F2729">
        <v>-217621754</v>
      </c>
      <c r="G2729">
        <v>-1000596011</v>
      </c>
      <c r="H2729">
        <v>229410089</v>
      </c>
      <c r="I2729">
        <v>1362663800</v>
      </c>
      <c r="J2729">
        <v>689929259</v>
      </c>
      <c r="K2729">
        <v>526787407</v>
      </c>
      <c r="L2729">
        <v>433196117</v>
      </c>
      <c r="M2729">
        <v>-576948284</v>
      </c>
      <c r="N2729">
        <v>-1434787979</v>
      </c>
      <c r="O2729">
        <v>-24578047</v>
      </c>
      <c r="P2729">
        <v>451</v>
      </c>
      <c r="Q2729" t="s">
        <v>5502</v>
      </c>
    </row>
    <row r="2730" spans="1:17" x14ac:dyDescent="0.3">
      <c r="A2730" t="s">
        <v>4446</v>
      </c>
      <c r="B2730" t="str">
        <f>"002003"</f>
        <v>002003</v>
      </c>
      <c r="C2730" t="s">
        <v>5503</v>
      </c>
      <c r="D2730" t="s">
        <v>227</v>
      </c>
      <c r="F2730">
        <v>189028150</v>
      </c>
      <c r="G2730">
        <v>283540105</v>
      </c>
      <c r="H2730">
        <v>237680434</v>
      </c>
      <c r="I2730">
        <v>156537152</v>
      </c>
      <c r="J2730">
        <v>147345468</v>
      </c>
      <c r="K2730">
        <v>178259517</v>
      </c>
      <c r="L2730">
        <v>223638869</v>
      </c>
      <c r="M2730">
        <v>220823502</v>
      </c>
      <c r="N2730">
        <v>219209665</v>
      </c>
      <c r="O2730">
        <v>248587333</v>
      </c>
      <c r="P2730">
        <v>761</v>
      </c>
      <c r="Q2730" t="s">
        <v>5504</v>
      </c>
    </row>
    <row r="2731" spans="1:17" x14ac:dyDescent="0.3">
      <c r="A2731" t="s">
        <v>4446</v>
      </c>
      <c r="B2731" t="str">
        <f>"002004"</f>
        <v>002004</v>
      </c>
      <c r="C2731" t="s">
        <v>5505</v>
      </c>
      <c r="D2731" t="s">
        <v>113</v>
      </c>
      <c r="F2731">
        <v>72251145</v>
      </c>
      <c r="G2731">
        <v>1171385910</v>
      </c>
      <c r="H2731">
        <v>669208701</v>
      </c>
      <c r="I2731">
        <v>906300311</v>
      </c>
      <c r="J2731">
        <v>-261194461</v>
      </c>
      <c r="K2731">
        <v>-134294248</v>
      </c>
      <c r="L2731">
        <v>-477191133</v>
      </c>
      <c r="M2731">
        <v>-128675356</v>
      </c>
      <c r="N2731">
        <v>-25233698</v>
      </c>
      <c r="O2731">
        <v>-45970234</v>
      </c>
      <c r="P2731">
        <v>328</v>
      </c>
      <c r="Q2731" t="s">
        <v>5506</v>
      </c>
    </row>
    <row r="2732" spans="1:17" x14ac:dyDescent="0.3">
      <c r="A2732" t="s">
        <v>4446</v>
      </c>
      <c r="B2732" t="str">
        <f>"002005"</f>
        <v>002005</v>
      </c>
      <c r="C2732" t="s">
        <v>5507</v>
      </c>
      <c r="D2732" t="s">
        <v>126</v>
      </c>
      <c r="F2732">
        <v>-15115609</v>
      </c>
      <c r="G2732">
        <v>-435948085</v>
      </c>
      <c r="H2732">
        <v>545317996</v>
      </c>
      <c r="I2732">
        <v>442906464</v>
      </c>
      <c r="J2732">
        <v>-161196915</v>
      </c>
      <c r="K2732">
        <v>591725390</v>
      </c>
      <c r="L2732">
        <v>-230992172</v>
      </c>
      <c r="M2732">
        <v>-600346291</v>
      </c>
      <c r="N2732">
        <v>-534906891</v>
      </c>
      <c r="O2732">
        <v>-1633163341</v>
      </c>
      <c r="P2732">
        <v>74</v>
      </c>
      <c r="Q2732" t="s">
        <v>5508</v>
      </c>
    </row>
    <row r="2733" spans="1:17" x14ac:dyDescent="0.3">
      <c r="A2733" t="s">
        <v>4446</v>
      </c>
      <c r="B2733" t="str">
        <f>"002006"</f>
        <v>002006</v>
      </c>
      <c r="C2733" t="s">
        <v>5509</v>
      </c>
      <c r="D2733" t="s">
        <v>78</v>
      </c>
      <c r="F2733">
        <v>140828409</v>
      </c>
      <c r="G2733">
        <v>194871537</v>
      </c>
      <c r="H2733">
        <v>-42665617</v>
      </c>
      <c r="I2733">
        <v>-85254290</v>
      </c>
      <c r="J2733">
        <v>-112295878</v>
      </c>
      <c r="K2733">
        <v>156253035</v>
      </c>
      <c r="L2733">
        <v>163796168</v>
      </c>
      <c r="M2733">
        <v>48549272</v>
      </c>
      <c r="N2733">
        <v>17669989</v>
      </c>
      <c r="O2733">
        <v>-375964218</v>
      </c>
      <c r="P2733">
        <v>129</v>
      </c>
      <c r="Q2733" t="s">
        <v>5510</v>
      </c>
    </row>
    <row r="2734" spans="1:17" x14ac:dyDescent="0.3">
      <c r="A2734" t="s">
        <v>4446</v>
      </c>
      <c r="B2734" t="str">
        <f>"002007"</f>
        <v>002007</v>
      </c>
      <c r="C2734" t="s">
        <v>5511</v>
      </c>
      <c r="D2734" t="s">
        <v>113</v>
      </c>
      <c r="F2734">
        <v>622058363</v>
      </c>
      <c r="G2734">
        <v>703961844</v>
      </c>
      <c r="H2734">
        <v>1089934505</v>
      </c>
      <c r="I2734">
        <v>1109506372</v>
      </c>
      <c r="J2734">
        <v>76089999</v>
      </c>
      <c r="K2734">
        <v>109584389</v>
      </c>
      <c r="L2734">
        <v>319393217</v>
      </c>
      <c r="M2734">
        <v>358929324</v>
      </c>
      <c r="N2734">
        <v>261801574</v>
      </c>
      <c r="O2734">
        <v>349106361</v>
      </c>
      <c r="P2734">
        <v>13191</v>
      </c>
      <c r="Q2734" t="s">
        <v>5512</v>
      </c>
    </row>
    <row r="2735" spans="1:17" x14ac:dyDescent="0.3">
      <c r="A2735" t="s">
        <v>4446</v>
      </c>
      <c r="B2735" t="str">
        <f>"002008"</f>
        <v>002008</v>
      </c>
      <c r="C2735" t="s">
        <v>5513</v>
      </c>
      <c r="D2735" t="s">
        <v>78</v>
      </c>
      <c r="F2735">
        <v>583411509</v>
      </c>
      <c r="G2735">
        <v>975346384</v>
      </c>
      <c r="H2735">
        <v>895762033</v>
      </c>
      <c r="I2735">
        <v>-238575799</v>
      </c>
      <c r="J2735">
        <v>989955632</v>
      </c>
      <c r="K2735">
        <v>88249707</v>
      </c>
      <c r="L2735">
        <v>224144424</v>
      </c>
      <c r="M2735">
        <v>696933826</v>
      </c>
      <c r="N2735">
        <v>727161992</v>
      </c>
      <c r="O2735">
        <v>153085478</v>
      </c>
      <c r="P2735">
        <v>4831</v>
      </c>
      <c r="Q2735" t="s">
        <v>5514</v>
      </c>
    </row>
    <row r="2736" spans="1:17" x14ac:dyDescent="0.3">
      <c r="A2736" t="s">
        <v>4446</v>
      </c>
      <c r="B2736" t="str">
        <f>"002009"</f>
        <v>002009</v>
      </c>
      <c r="C2736" t="s">
        <v>5515</v>
      </c>
      <c r="D2736" t="s">
        <v>78</v>
      </c>
      <c r="F2736">
        <v>-74617109</v>
      </c>
      <c r="G2736">
        <v>258711971</v>
      </c>
      <c r="H2736">
        <v>9035410</v>
      </c>
      <c r="I2736">
        <v>217749266</v>
      </c>
      <c r="J2736">
        <v>-78080066</v>
      </c>
      <c r="K2736">
        <v>-93109559</v>
      </c>
      <c r="L2736">
        <v>338686137</v>
      </c>
      <c r="M2736">
        <v>34979300</v>
      </c>
      <c r="N2736">
        <v>-18227332</v>
      </c>
      <c r="O2736">
        <v>-117476710</v>
      </c>
      <c r="P2736">
        <v>148</v>
      </c>
      <c r="Q2736" t="s">
        <v>5516</v>
      </c>
    </row>
    <row r="2737" spans="1:17" x14ac:dyDescent="0.3">
      <c r="A2737" t="s">
        <v>4446</v>
      </c>
      <c r="B2737" t="str">
        <f>"002010"</f>
        <v>002010</v>
      </c>
      <c r="C2737" t="s">
        <v>5517</v>
      </c>
      <c r="D2737" t="s">
        <v>22</v>
      </c>
      <c r="F2737">
        <v>-1772617534</v>
      </c>
      <c r="G2737">
        <v>241044098</v>
      </c>
      <c r="H2737">
        <v>-1084575012</v>
      </c>
      <c r="I2737">
        <v>-3093545252</v>
      </c>
      <c r="J2737">
        <v>-4287602043</v>
      </c>
      <c r="K2737">
        <v>-2900862325</v>
      </c>
      <c r="L2737">
        <v>-799390575</v>
      </c>
      <c r="M2737">
        <v>264942335</v>
      </c>
      <c r="N2737">
        <v>-401354128</v>
      </c>
      <c r="O2737">
        <v>-43703429</v>
      </c>
      <c r="P2737">
        <v>279</v>
      </c>
      <c r="Q2737" t="s">
        <v>5518</v>
      </c>
    </row>
    <row r="2738" spans="1:17" x14ac:dyDescent="0.3">
      <c r="A2738" t="s">
        <v>4446</v>
      </c>
      <c r="B2738" t="str">
        <f>"002011"</f>
        <v>002011</v>
      </c>
      <c r="C2738" t="s">
        <v>5519</v>
      </c>
      <c r="D2738" t="s">
        <v>126</v>
      </c>
      <c r="F2738">
        <v>438924342</v>
      </c>
      <c r="G2738">
        <v>256361706</v>
      </c>
      <c r="H2738">
        <v>652156276</v>
      </c>
      <c r="I2738">
        <v>202841325</v>
      </c>
      <c r="J2738">
        <v>-214879660</v>
      </c>
      <c r="K2738">
        <v>-340980864</v>
      </c>
      <c r="L2738">
        <v>-114175299</v>
      </c>
      <c r="M2738">
        <v>-800452724</v>
      </c>
      <c r="N2738">
        <v>-1149031518</v>
      </c>
      <c r="O2738">
        <v>-1602431959</v>
      </c>
      <c r="P2738">
        <v>201</v>
      </c>
      <c r="Q2738" t="s">
        <v>5520</v>
      </c>
    </row>
    <row r="2739" spans="1:17" x14ac:dyDescent="0.3">
      <c r="A2739" t="s">
        <v>4446</v>
      </c>
      <c r="B2739" t="str">
        <f>"002012"</f>
        <v>002012</v>
      </c>
      <c r="C2739" t="s">
        <v>5521</v>
      </c>
      <c r="D2739" t="s">
        <v>161</v>
      </c>
      <c r="F2739">
        <v>162361542</v>
      </c>
      <c r="G2739">
        <v>55869786</v>
      </c>
      <c r="H2739">
        <v>118818585</v>
      </c>
      <c r="I2739">
        <v>45335344</v>
      </c>
      <c r="J2739">
        <v>52697867</v>
      </c>
      <c r="K2739">
        <v>66891294</v>
      </c>
      <c r="L2739">
        <v>18020612</v>
      </c>
      <c r="M2739">
        <v>88090541</v>
      </c>
      <c r="N2739">
        <v>-84222089</v>
      </c>
      <c r="O2739">
        <v>44024926</v>
      </c>
      <c r="P2739">
        <v>131</v>
      </c>
      <c r="Q2739" t="s">
        <v>5522</v>
      </c>
    </row>
    <row r="2740" spans="1:17" x14ac:dyDescent="0.3">
      <c r="A2740" t="s">
        <v>4446</v>
      </c>
      <c r="B2740" t="str">
        <f>"002013"</f>
        <v>002013</v>
      </c>
      <c r="C2740" t="s">
        <v>5523</v>
      </c>
      <c r="D2740" t="s">
        <v>92</v>
      </c>
      <c r="F2740">
        <v>5629522595</v>
      </c>
      <c r="G2740">
        <v>540660587</v>
      </c>
      <c r="H2740">
        <v>731546321</v>
      </c>
      <c r="I2740">
        <v>-2063641631</v>
      </c>
      <c r="J2740">
        <v>1087278473</v>
      </c>
      <c r="K2740">
        <v>133593602</v>
      </c>
      <c r="L2740">
        <v>-103728755</v>
      </c>
      <c r="M2740">
        <v>-310143920</v>
      </c>
      <c r="N2740">
        <v>-467309978</v>
      </c>
      <c r="O2740">
        <v>-249408628</v>
      </c>
      <c r="P2740">
        <v>659</v>
      </c>
      <c r="Q2740" t="s">
        <v>5524</v>
      </c>
    </row>
    <row r="2741" spans="1:17" x14ac:dyDescent="0.3">
      <c r="A2741" t="s">
        <v>4446</v>
      </c>
      <c r="B2741" t="str">
        <f>"002014"</f>
        <v>002014</v>
      </c>
      <c r="C2741" t="s">
        <v>5525</v>
      </c>
      <c r="D2741" t="s">
        <v>161</v>
      </c>
      <c r="F2741">
        <v>56133741</v>
      </c>
      <c r="G2741">
        <v>287639287</v>
      </c>
      <c r="H2741">
        <v>265018407</v>
      </c>
      <c r="I2741">
        <v>176167360</v>
      </c>
      <c r="J2741">
        <v>201414745</v>
      </c>
      <c r="K2741">
        <v>179918640</v>
      </c>
      <c r="L2741">
        <v>91852100</v>
      </c>
      <c r="M2741">
        <v>41486349</v>
      </c>
      <c r="N2741">
        <v>-53733679</v>
      </c>
      <c r="O2741">
        <v>67260493</v>
      </c>
      <c r="P2741">
        <v>468</v>
      </c>
      <c r="Q2741" t="s">
        <v>5526</v>
      </c>
    </row>
    <row r="2742" spans="1:17" x14ac:dyDescent="0.3">
      <c r="A2742" t="s">
        <v>4446</v>
      </c>
      <c r="B2742" t="str">
        <f>"002015"</f>
        <v>002015</v>
      </c>
      <c r="C2742" t="s">
        <v>5527</v>
      </c>
      <c r="D2742" t="s">
        <v>41</v>
      </c>
      <c r="F2742">
        <v>537521749</v>
      </c>
      <c r="G2742">
        <v>-1131919464</v>
      </c>
      <c r="H2742">
        <v>160581039</v>
      </c>
      <c r="I2742">
        <v>-57424251</v>
      </c>
      <c r="J2742">
        <v>7866214</v>
      </c>
      <c r="K2742">
        <v>-52967615</v>
      </c>
      <c r="L2742">
        <v>-82622989</v>
      </c>
      <c r="M2742">
        <v>-378326618</v>
      </c>
      <c r="N2742">
        <v>-256675870</v>
      </c>
      <c r="O2742">
        <v>-69421850</v>
      </c>
      <c r="P2742">
        <v>240</v>
      </c>
      <c r="Q2742" t="s">
        <v>5528</v>
      </c>
    </row>
    <row r="2743" spans="1:17" x14ac:dyDescent="0.3">
      <c r="A2743" t="s">
        <v>4446</v>
      </c>
      <c r="B2743" t="str">
        <f>"002016"</f>
        <v>002016</v>
      </c>
      <c r="C2743" t="s">
        <v>5529</v>
      </c>
      <c r="D2743" t="s">
        <v>30</v>
      </c>
      <c r="F2743">
        <v>-224272960</v>
      </c>
      <c r="G2743">
        <v>573572992</v>
      </c>
      <c r="H2743">
        <v>2307802015</v>
      </c>
      <c r="I2743">
        <v>-37568409</v>
      </c>
      <c r="J2743">
        <v>20677647</v>
      </c>
      <c r="K2743">
        <v>2519506215</v>
      </c>
      <c r="L2743">
        <v>-9391676</v>
      </c>
      <c r="M2743">
        <v>-896251666</v>
      </c>
      <c r="N2743">
        <v>176668757</v>
      </c>
      <c r="O2743">
        <v>-78520577</v>
      </c>
      <c r="P2743">
        <v>457</v>
      </c>
      <c r="Q2743" t="s">
        <v>5530</v>
      </c>
    </row>
    <row r="2744" spans="1:17" x14ac:dyDescent="0.3">
      <c r="A2744" t="s">
        <v>4446</v>
      </c>
      <c r="B2744" t="str">
        <f>"002017"</f>
        <v>002017</v>
      </c>
      <c r="C2744" t="s">
        <v>5531</v>
      </c>
      <c r="D2744" t="s">
        <v>100</v>
      </c>
      <c r="F2744">
        <v>188281553</v>
      </c>
      <c r="G2744">
        <v>110691903</v>
      </c>
      <c r="H2744">
        <v>155841970</v>
      </c>
      <c r="I2744">
        <v>65207055</v>
      </c>
      <c r="J2744">
        <v>65692122</v>
      </c>
      <c r="K2744">
        <v>135671331</v>
      </c>
      <c r="L2744">
        <v>154810754</v>
      </c>
      <c r="M2744">
        <v>116889210</v>
      </c>
      <c r="N2744">
        <v>57112670</v>
      </c>
      <c r="O2744">
        <v>62461350</v>
      </c>
      <c r="P2744">
        <v>216</v>
      </c>
      <c r="Q2744" t="s">
        <v>5532</v>
      </c>
    </row>
    <row r="2745" spans="1:17" x14ac:dyDescent="0.3">
      <c r="A2745" t="s">
        <v>4446</v>
      </c>
      <c r="B2745" t="str">
        <f>"002018"</f>
        <v>002018</v>
      </c>
      <c r="C2745" t="s">
        <v>5533</v>
      </c>
      <c r="H2745">
        <v>-3592842</v>
      </c>
      <c r="I2745">
        <v>-121420030</v>
      </c>
      <c r="J2745">
        <v>460345467</v>
      </c>
      <c r="K2745">
        <v>-1937061471</v>
      </c>
      <c r="L2745">
        <v>-70478070</v>
      </c>
      <c r="M2745">
        <v>-1048083471</v>
      </c>
      <c r="N2745">
        <v>-400765810</v>
      </c>
      <c r="O2745">
        <v>18852878</v>
      </c>
      <c r="P2745">
        <v>40</v>
      </c>
      <c r="Q2745" t="s">
        <v>5534</v>
      </c>
    </row>
    <row r="2746" spans="1:17" x14ac:dyDescent="0.3">
      <c r="A2746" t="s">
        <v>4446</v>
      </c>
      <c r="B2746" t="str">
        <f>"002019"</f>
        <v>002019</v>
      </c>
      <c r="C2746" t="s">
        <v>5535</v>
      </c>
      <c r="D2746" t="s">
        <v>113</v>
      </c>
      <c r="F2746">
        <v>-252806095</v>
      </c>
      <c r="G2746">
        <v>393758498</v>
      </c>
      <c r="H2746">
        <v>71983862</v>
      </c>
      <c r="I2746">
        <v>442377547</v>
      </c>
      <c r="J2746">
        <v>648910398</v>
      </c>
      <c r="K2746">
        <v>571600267</v>
      </c>
      <c r="L2746">
        <v>186222801</v>
      </c>
      <c r="M2746">
        <v>50573590</v>
      </c>
      <c r="N2746">
        <v>30005448</v>
      </c>
      <c r="O2746">
        <v>4258580</v>
      </c>
      <c r="P2746">
        <v>974</v>
      </c>
      <c r="Q2746" t="s">
        <v>5536</v>
      </c>
    </row>
    <row r="2747" spans="1:17" x14ac:dyDescent="0.3">
      <c r="A2747" t="s">
        <v>4446</v>
      </c>
      <c r="B2747" t="str">
        <f>"002020"</f>
        <v>002020</v>
      </c>
      <c r="C2747" t="s">
        <v>5537</v>
      </c>
      <c r="D2747" t="s">
        <v>113</v>
      </c>
      <c r="F2747">
        <v>-36484866</v>
      </c>
      <c r="G2747">
        <v>181654103</v>
      </c>
      <c r="H2747">
        <v>200229491</v>
      </c>
      <c r="I2747">
        <v>283964632</v>
      </c>
      <c r="J2747">
        <v>276446233</v>
      </c>
      <c r="K2747">
        <v>157838270</v>
      </c>
      <c r="L2747">
        <v>30674105</v>
      </c>
      <c r="M2747">
        <v>116363405</v>
      </c>
      <c r="N2747">
        <v>4372156</v>
      </c>
      <c r="O2747">
        <v>-22319394</v>
      </c>
      <c r="P2747">
        <v>619</v>
      </c>
      <c r="Q2747" t="s">
        <v>5538</v>
      </c>
    </row>
    <row r="2748" spans="1:17" x14ac:dyDescent="0.3">
      <c r="A2748" t="s">
        <v>4446</v>
      </c>
      <c r="B2748" t="str">
        <f>"002021"</f>
        <v>002021</v>
      </c>
      <c r="C2748" t="s">
        <v>5539</v>
      </c>
      <c r="D2748" t="s">
        <v>78</v>
      </c>
      <c r="F2748">
        <v>184290099</v>
      </c>
      <c r="G2748">
        <v>-48327509</v>
      </c>
      <c r="H2748">
        <v>13458715</v>
      </c>
      <c r="I2748">
        <v>13435214</v>
      </c>
      <c r="J2748">
        <v>14281199</v>
      </c>
      <c r="K2748">
        <v>27434069</v>
      </c>
      <c r="L2748">
        <v>-138485400</v>
      </c>
      <c r="M2748">
        <v>267369419</v>
      </c>
      <c r="N2748">
        <v>13015340</v>
      </c>
      <c r="O2748">
        <v>-103141501</v>
      </c>
      <c r="P2748">
        <v>57</v>
      </c>
      <c r="Q2748" t="s">
        <v>5540</v>
      </c>
    </row>
    <row r="2749" spans="1:17" x14ac:dyDescent="0.3">
      <c r="A2749" t="s">
        <v>4446</v>
      </c>
      <c r="B2749" t="str">
        <f>"002022"</f>
        <v>002022</v>
      </c>
      <c r="C2749" t="s">
        <v>5541</v>
      </c>
      <c r="D2749" t="s">
        <v>113</v>
      </c>
      <c r="F2749">
        <v>556772000</v>
      </c>
      <c r="G2749">
        <v>1124436743</v>
      </c>
      <c r="H2749">
        <v>122244990</v>
      </c>
      <c r="I2749">
        <v>4396215</v>
      </c>
      <c r="J2749">
        <v>26711097</v>
      </c>
      <c r="K2749">
        <v>178554033</v>
      </c>
      <c r="L2749">
        <v>139086570</v>
      </c>
      <c r="M2749">
        <v>149343780</v>
      </c>
      <c r="N2749">
        <v>164755514</v>
      </c>
      <c r="O2749">
        <v>144315596</v>
      </c>
      <c r="P2749">
        <v>1024</v>
      </c>
      <c r="Q2749" t="s">
        <v>5542</v>
      </c>
    </row>
    <row r="2750" spans="1:17" x14ac:dyDescent="0.3">
      <c r="A2750" t="s">
        <v>4446</v>
      </c>
      <c r="B2750" t="str">
        <f>"002023"</f>
        <v>002023</v>
      </c>
      <c r="C2750" t="s">
        <v>5543</v>
      </c>
      <c r="D2750" t="s">
        <v>92</v>
      </c>
      <c r="F2750">
        <v>-106440392</v>
      </c>
      <c r="G2750">
        <v>57723970</v>
      </c>
      <c r="H2750">
        <v>-935343048</v>
      </c>
      <c r="I2750">
        <v>-133475759</v>
      </c>
      <c r="J2750">
        <v>-621795871</v>
      </c>
      <c r="K2750">
        <v>-347331760</v>
      </c>
      <c r="L2750">
        <v>-589410395</v>
      </c>
      <c r="M2750">
        <v>-472254841</v>
      </c>
      <c r="N2750">
        <v>-73799210</v>
      </c>
      <c r="O2750">
        <v>-159350423</v>
      </c>
      <c r="P2750">
        <v>580</v>
      </c>
      <c r="Q2750" t="s">
        <v>5544</v>
      </c>
    </row>
    <row r="2751" spans="1:17" x14ac:dyDescent="0.3">
      <c r="A2751" t="s">
        <v>4446</v>
      </c>
      <c r="B2751" t="str">
        <f>"002024"</f>
        <v>002024</v>
      </c>
      <c r="C2751" t="s">
        <v>5545</v>
      </c>
      <c r="D2751" t="s">
        <v>120</v>
      </c>
      <c r="F2751">
        <v>-8811011000</v>
      </c>
      <c r="G2751">
        <v>-7253979000</v>
      </c>
      <c r="H2751">
        <v>-26897041000</v>
      </c>
      <c r="I2751">
        <v>-21269944000</v>
      </c>
      <c r="J2751">
        <v>-8940578000</v>
      </c>
      <c r="K2751">
        <v>3203513000</v>
      </c>
      <c r="L2751">
        <v>-1210446000</v>
      </c>
      <c r="M2751">
        <v>-1214053000</v>
      </c>
      <c r="N2751">
        <v>-2484500000</v>
      </c>
      <c r="O2751">
        <v>-556296000</v>
      </c>
      <c r="P2751">
        <v>1902</v>
      </c>
      <c r="Q2751" t="s">
        <v>5546</v>
      </c>
    </row>
    <row r="2752" spans="1:17" x14ac:dyDescent="0.3">
      <c r="A2752" t="s">
        <v>4446</v>
      </c>
      <c r="B2752" t="str">
        <f>"002025"</f>
        <v>002025</v>
      </c>
      <c r="C2752" t="s">
        <v>5547</v>
      </c>
      <c r="D2752" t="s">
        <v>92</v>
      </c>
      <c r="F2752">
        <v>255819085</v>
      </c>
      <c r="G2752">
        <v>-80253542</v>
      </c>
      <c r="H2752">
        <v>167808706</v>
      </c>
      <c r="I2752">
        <v>20764726</v>
      </c>
      <c r="J2752">
        <v>92470541</v>
      </c>
      <c r="K2752">
        <v>193778463</v>
      </c>
      <c r="L2752">
        <v>342925275</v>
      </c>
      <c r="M2752">
        <v>83278313</v>
      </c>
      <c r="N2752">
        <v>86240383</v>
      </c>
      <c r="O2752">
        <v>42351112</v>
      </c>
      <c r="P2752">
        <v>468</v>
      </c>
      <c r="Q2752" t="s">
        <v>5548</v>
      </c>
    </row>
    <row r="2753" spans="1:17" x14ac:dyDescent="0.3">
      <c r="A2753" t="s">
        <v>4446</v>
      </c>
      <c r="B2753" t="str">
        <f>"002026"</f>
        <v>002026</v>
      </c>
      <c r="C2753" t="s">
        <v>5549</v>
      </c>
      <c r="D2753" t="s">
        <v>78</v>
      </c>
      <c r="F2753">
        <v>293219152</v>
      </c>
      <c r="G2753">
        <v>263702606</v>
      </c>
      <c r="H2753">
        <v>190356189</v>
      </c>
      <c r="I2753">
        <v>8274306</v>
      </c>
      <c r="J2753">
        <v>56883415</v>
      </c>
      <c r="K2753">
        <v>-58057756</v>
      </c>
      <c r="L2753">
        <v>-21373217</v>
      </c>
      <c r="M2753">
        <v>-143460864</v>
      </c>
      <c r="N2753">
        <v>-100707971</v>
      </c>
      <c r="O2753">
        <v>34194411</v>
      </c>
      <c r="P2753">
        <v>208</v>
      </c>
      <c r="Q2753" t="s">
        <v>5550</v>
      </c>
    </row>
    <row r="2754" spans="1:17" x14ac:dyDescent="0.3">
      <c r="A2754" t="s">
        <v>4446</v>
      </c>
      <c r="B2754" t="str">
        <f>"002027"</f>
        <v>002027</v>
      </c>
      <c r="C2754" t="s">
        <v>5551</v>
      </c>
      <c r="D2754" t="s">
        <v>89</v>
      </c>
      <c r="F2754">
        <v>9344851354</v>
      </c>
      <c r="G2754">
        <v>5164904733</v>
      </c>
      <c r="H2754">
        <v>3088897290</v>
      </c>
      <c r="I2754">
        <v>2080783225</v>
      </c>
      <c r="J2754">
        <v>3893775966</v>
      </c>
      <c r="K2754">
        <v>4705281090</v>
      </c>
      <c r="L2754">
        <v>2541130355</v>
      </c>
      <c r="M2754">
        <v>-36137606</v>
      </c>
      <c r="N2754">
        <v>-31630310</v>
      </c>
      <c r="O2754">
        <v>-83109061</v>
      </c>
      <c r="P2754">
        <v>5236</v>
      </c>
      <c r="Q2754" t="s">
        <v>5552</v>
      </c>
    </row>
    <row r="2755" spans="1:17" x14ac:dyDescent="0.3">
      <c r="A2755" t="s">
        <v>4446</v>
      </c>
      <c r="B2755" t="str">
        <f>"002028"</f>
        <v>002028</v>
      </c>
      <c r="C2755" t="s">
        <v>5553</v>
      </c>
      <c r="D2755" t="s">
        <v>188</v>
      </c>
      <c r="F2755">
        <v>-145505421</v>
      </c>
      <c r="G2755">
        <v>542361734</v>
      </c>
      <c r="H2755">
        <v>684976490</v>
      </c>
      <c r="I2755">
        <v>119291156</v>
      </c>
      <c r="J2755">
        <v>438234881</v>
      </c>
      <c r="K2755">
        <v>107136358</v>
      </c>
      <c r="L2755">
        <v>457359775</v>
      </c>
      <c r="M2755">
        <v>-147912934</v>
      </c>
      <c r="N2755">
        <v>95869429</v>
      </c>
      <c r="O2755">
        <v>22971174</v>
      </c>
      <c r="P2755">
        <v>603</v>
      </c>
      <c r="Q2755" t="s">
        <v>5554</v>
      </c>
    </row>
    <row r="2756" spans="1:17" x14ac:dyDescent="0.3">
      <c r="A2756" t="s">
        <v>4446</v>
      </c>
      <c r="B2756" t="str">
        <f>"002029"</f>
        <v>002029</v>
      </c>
      <c r="C2756" t="s">
        <v>5555</v>
      </c>
      <c r="D2756" t="s">
        <v>227</v>
      </c>
      <c r="F2756">
        <v>434372834</v>
      </c>
      <c r="G2756">
        <v>464904673</v>
      </c>
      <c r="H2756">
        <v>191623447</v>
      </c>
      <c r="I2756">
        <v>183765224</v>
      </c>
      <c r="J2756">
        <v>514205094</v>
      </c>
      <c r="K2756">
        <v>463411101</v>
      </c>
      <c r="L2756">
        <v>486600432</v>
      </c>
      <c r="M2756">
        <v>633700423</v>
      </c>
      <c r="N2756">
        <v>565332997</v>
      </c>
      <c r="O2756">
        <v>262996790</v>
      </c>
      <c r="P2756">
        <v>217</v>
      </c>
      <c r="Q2756" t="s">
        <v>5556</v>
      </c>
    </row>
    <row r="2757" spans="1:17" x14ac:dyDescent="0.3">
      <c r="A2757" t="s">
        <v>4446</v>
      </c>
      <c r="B2757" t="str">
        <f>"002030"</f>
        <v>002030</v>
      </c>
      <c r="C2757" t="s">
        <v>5557</v>
      </c>
      <c r="D2757" t="s">
        <v>113</v>
      </c>
      <c r="F2757">
        <v>2645950049</v>
      </c>
      <c r="G2757">
        <v>2149738235</v>
      </c>
      <c r="H2757">
        <v>-352201</v>
      </c>
      <c r="I2757">
        <v>292014806</v>
      </c>
      <c r="J2757">
        <v>-411309034</v>
      </c>
      <c r="K2757">
        <v>-602252053</v>
      </c>
      <c r="L2757">
        <v>-159970996</v>
      </c>
      <c r="M2757">
        <v>-36302337</v>
      </c>
      <c r="N2757">
        <v>-46190412</v>
      </c>
      <c r="O2757">
        <v>-68222601</v>
      </c>
      <c r="P2757">
        <v>1177</v>
      </c>
      <c r="Q2757" t="s">
        <v>5558</v>
      </c>
    </row>
    <row r="2758" spans="1:17" x14ac:dyDescent="0.3">
      <c r="A2758" t="s">
        <v>4446</v>
      </c>
      <c r="B2758" t="str">
        <f>"002031"</f>
        <v>002031</v>
      </c>
      <c r="C2758" t="s">
        <v>5559</v>
      </c>
      <c r="D2758" t="s">
        <v>78</v>
      </c>
      <c r="F2758">
        <v>-11475526</v>
      </c>
      <c r="G2758">
        <v>-65438481</v>
      </c>
      <c r="H2758">
        <v>352758394</v>
      </c>
      <c r="I2758">
        <v>243539961</v>
      </c>
      <c r="J2758">
        <v>55952158</v>
      </c>
      <c r="K2758">
        <v>41901707</v>
      </c>
      <c r="L2758">
        <v>-135659358</v>
      </c>
      <c r="M2758">
        <v>96902028</v>
      </c>
      <c r="N2758">
        <v>41913808</v>
      </c>
      <c r="O2758">
        <v>86273428</v>
      </c>
      <c r="P2758">
        <v>137</v>
      </c>
      <c r="Q2758" t="s">
        <v>5560</v>
      </c>
    </row>
    <row r="2759" spans="1:17" x14ac:dyDescent="0.3">
      <c r="A2759" t="s">
        <v>4446</v>
      </c>
      <c r="B2759" t="str">
        <f>"002032"</f>
        <v>002032</v>
      </c>
      <c r="C2759" t="s">
        <v>5561</v>
      </c>
      <c r="D2759" t="s">
        <v>126</v>
      </c>
      <c r="F2759">
        <v>1824621631</v>
      </c>
      <c r="G2759">
        <v>1798107319</v>
      </c>
      <c r="H2759">
        <v>1290950392</v>
      </c>
      <c r="I2759">
        <v>1814930980</v>
      </c>
      <c r="J2759">
        <v>926778019</v>
      </c>
      <c r="K2759">
        <v>1255690705</v>
      </c>
      <c r="L2759">
        <v>1059574508</v>
      </c>
      <c r="M2759">
        <v>712446229</v>
      </c>
      <c r="N2759">
        <v>487747311</v>
      </c>
      <c r="O2759">
        <v>764792387</v>
      </c>
      <c r="P2759">
        <v>52901</v>
      </c>
      <c r="Q2759" t="s">
        <v>5562</v>
      </c>
    </row>
    <row r="2760" spans="1:17" x14ac:dyDescent="0.3">
      <c r="A2760" t="s">
        <v>4446</v>
      </c>
      <c r="B2760" t="str">
        <f>"002033"</f>
        <v>002033</v>
      </c>
      <c r="C2760" t="s">
        <v>5563</v>
      </c>
      <c r="D2760" t="s">
        <v>110</v>
      </c>
      <c r="F2760">
        <v>-206098128</v>
      </c>
      <c r="G2760">
        <v>4410800</v>
      </c>
      <c r="H2760">
        <v>63087570</v>
      </c>
      <c r="I2760">
        <v>35839624</v>
      </c>
      <c r="J2760">
        <v>229430419</v>
      </c>
      <c r="K2760">
        <v>279459231</v>
      </c>
      <c r="L2760">
        <v>251617233</v>
      </c>
      <c r="M2760">
        <v>237314108</v>
      </c>
      <c r="N2760">
        <v>52940997</v>
      </c>
      <c r="O2760">
        <v>93348330</v>
      </c>
      <c r="P2760">
        <v>278</v>
      </c>
      <c r="Q2760" t="s">
        <v>5564</v>
      </c>
    </row>
    <row r="2761" spans="1:17" x14ac:dyDescent="0.3">
      <c r="A2761" t="s">
        <v>4446</v>
      </c>
      <c r="B2761" t="str">
        <f>"002034"</f>
        <v>002034</v>
      </c>
      <c r="C2761" t="s">
        <v>5565</v>
      </c>
      <c r="D2761" t="s">
        <v>33</v>
      </c>
      <c r="F2761">
        <v>-147355291</v>
      </c>
      <c r="G2761">
        <v>-707440923</v>
      </c>
      <c r="H2761">
        <v>-1598461078</v>
      </c>
      <c r="I2761">
        <v>-1039425567</v>
      </c>
      <c r="J2761">
        <v>-164284990</v>
      </c>
      <c r="K2761">
        <v>4525325</v>
      </c>
      <c r="L2761">
        <v>36737244</v>
      </c>
      <c r="M2761">
        <v>116700832</v>
      </c>
      <c r="N2761">
        <v>-46225244</v>
      </c>
      <c r="O2761">
        <v>146165659</v>
      </c>
      <c r="P2761">
        <v>245</v>
      </c>
      <c r="Q2761" t="s">
        <v>5566</v>
      </c>
    </row>
    <row r="2762" spans="1:17" x14ac:dyDescent="0.3">
      <c r="A2762" t="s">
        <v>4446</v>
      </c>
      <c r="B2762" t="str">
        <f>"002035"</f>
        <v>002035</v>
      </c>
      <c r="C2762" t="s">
        <v>5567</v>
      </c>
      <c r="D2762" t="s">
        <v>126</v>
      </c>
      <c r="F2762">
        <v>199062783</v>
      </c>
      <c r="G2762">
        <v>-302544279</v>
      </c>
      <c r="H2762">
        <v>525017379</v>
      </c>
      <c r="I2762">
        <v>453090270</v>
      </c>
      <c r="J2762">
        <v>296568699</v>
      </c>
      <c r="K2762">
        <v>783980300</v>
      </c>
      <c r="L2762">
        <v>231155213</v>
      </c>
      <c r="M2762">
        <v>221196019</v>
      </c>
      <c r="N2762">
        <v>204389461</v>
      </c>
      <c r="O2762">
        <v>134298251</v>
      </c>
      <c r="P2762">
        <v>1343</v>
      </c>
      <c r="Q2762" t="s">
        <v>5568</v>
      </c>
    </row>
    <row r="2763" spans="1:17" x14ac:dyDescent="0.3">
      <c r="A2763" t="s">
        <v>4446</v>
      </c>
      <c r="B2763" t="str">
        <f>"002036"</f>
        <v>002036</v>
      </c>
      <c r="C2763" t="s">
        <v>5569</v>
      </c>
      <c r="D2763" t="s">
        <v>150</v>
      </c>
      <c r="F2763">
        <v>-392190794</v>
      </c>
      <c r="G2763">
        <v>-1828779915</v>
      </c>
      <c r="H2763">
        <v>-257888537</v>
      </c>
      <c r="I2763">
        <v>-573356093</v>
      </c>
      <c r="J2763">
        <v>-418195148</v>
      </c>
      <c r="K2763">
        <v>-413751721</v>
      </c>
      <c r="L2763">
        <v>-373640137</v>
      </c>
      <c r="M2763">
        <v>-60172914</v>
      </c>
      <c r="N2763">
        <v>11246039</v>
      </c>
      <c r="O2763">
        <v>16441678</v>
      </c>
      <c r="P2763">
        <v>549</v>
      </c>
      <c r="Q2763" t="s">
        <v>5570</v>
      </c>
    </row>
    <row r="2764" spans="1:17" x14ac:dyDescent="0.3">
      <c r="A2764" t="s">
        <v>4446</v>
      </c>
      <c r="B2764" t="str">
        <f>"002037"</f>
        <v>002037</v>
      </c>
      <c r="C2764" t="s">
        <v>5571</v>
      </c>
      <c r="D2764" t="s">
        <v>133</v>
      </c>
      <c r="F2764">
        <v>-162570224</v>
      </c>
      <c r="G2764">
        <v>-774746363</v>
      </c>
      <c r="H2764">
        <v>117191965</v>
      </c>
      <c r="I2764">
        <v>-481473861</v>
      </c>
      <c r="J2764">
        <v>598695220</v>
      </c>
      <c r="K2764">
        <v>705366196</v>
      </c>
      <c r="L2764">
        <v>70019020</v>
      </c>
      <c r="M2764">
        <v>-746953850</v>
      </c>
      <c r="N2764">
        <v>-478218706</v>
      </c>
      <c r="O2764">
        <v>-387155390</v>
      </c>
      <c r="P2764">
        <v>81</v>
      </c>
      <c r="Q2764" t="s">
        <v>5572</v>
      </c>
    </row>
    <row r="2765" spans="1:17" x14ac:dyDescent="0.3">
      <c r="A2765" t="s">
        <v>4446</v>
      </c>
      <c r="B2765" t="str">
        <f>"002038"</f>
        <v>002038</v>
      </c>
      <c r="C2765" t="s">
        <v>5573</v>
      </c>
      <c r="D2765" t="s">
        <v>113</v>
      </c>
      <c r="F2765">
        <v>235214185</v>
      </c>
      <c r="G2765">
        <v>159897373</v>
      </c>
      <c r="H2765">
        <v>393077491</v>
      </c>
      <c r="I2765">
        <v>257799141</v>
      </c>
      <c r="J2765">
        <v>151147652</v>
      </c>
      <c r="K2765">
        <v>232649942</v>
      </c>
      <c r="L2765">
        <v>375190146</v>
      </c>
      <c r="M2765">
        <v>314244834</v>
      </c>
      <c r="N2765">
        <v>237978550</v>
      </c>
      <c r="O2765">
        <v>151075489</v>
      </c>
      <c r="P2765">
        <v>5163</v>
      </c>
      <c r="Q2765" t="s">
        <v>5574</v>
      </c>
    </row>
    <row r="2766" spans="1:17" x14ac:dyDescent="0.3">
      <c r="A2766" t="s">
        <v>4446</v>
      </c>
      <c r="B2766" t="str">
        <f>"002039"</f>
        <v>002039</v>
      </c>
      <c r="C2766" t="s">
        <v>5575</v>
      </c>
      <c r="D2766" t="s">
        <v>41</v>
      </c>
      <c r="F2766">
        <v>752023758</v>
      </c>
      <c r="G2766">
        <v>368096968</v>
      </c>
      <c r="H2766">
        <v>1893022173</v>
      </c>
      <c r="I2766">
        <v>1635507694</v>
      </c>
      <c r="J2766">
        <v>1373325904</v>
      </c>
      <c r="K2766">
        <v>1599437608</v>
      </c>
      <c r="L2766">
        <v>1700030213</v>
      </c>
      <c r="M2766">
        <v>42494957</v>
      </c>
      <c r="N2766">
        <v>-510268540</v>
      </c>
      <c r="O2766">
        <v>330700605</v>
      </c>
      <c r="P2766">
        <v>431</v>
      </c>
      <c r="Q2766" t="s">
        <v>5576</v>
      </c>
    </row>
    <row r="2767" spans="1:17" x14ac:dyDescent="0.3">
      <c r="A2767" t="s">
        <v>4446</v>
      </c>
      <c r="B2767" t="str">
        <f>"002040"</f>
        <v>002040</v>
      </c>
      <c r="C2767" t="s">
        <v>5577</v>
      </c>
      <c r="D2767" t="s">
        <v>22</v>
      </c>
      <c r="F2767">
        <v>293676331</v>
      </c>
      <c r="G2767">
        <v>280996137</v>
      </c>
      <c r="H2767">
        <v>220052374</v>
      </c>
      <c r="I2767">
        <v>178641609</v>
      </c>
      <c r="J2767">
        <v>214022548</v>
      </c>
      <c r="K2767">
        <v>14744892</v>
      </c>
      <c r="L2767">
        <v>35934574</v>
      </c>
      <c r="M2767">
        <v>12780298</v>
      </c>
      <c r="N2767">
        <v>15603512</v>
      </c>
      <c r="O2767">
        <v>16434939</v>
      </c>
      <c r="P2767">
        <v>100</v>
      </c>
      <c r="Q2767" t="s">
        <v>5578</v>
      </c>
    </row>
    <row r="2768" spans="1:17" x14ac:dyDescent="0.3">
      <c r="A2768" t="s">
        <v>4446</v>
      </c>
      <c r="B2768" t="str">
        <f>"002041"</f>
        <v>002041</v>
      </c>
      <c r="C2768" t="s">
        <v>5579</v>
      </c>
      <c r="D2768" t="s">
        <v>205</v>
      </c>
      <c r="F2768">
        <v>307000041</v>
      </c>
      <c r="G2768">
        <v>339783109</v>
      </c>
      <c r="H2768">
        <v>159536282</v>
      </c>
      <c r="I2768">
        <v>-104850987</v>
      </c>
      <c r="J2768">
        <v>-317749224</v>
      </c>
      <c r="K2768">
        <v>2703071</v>
      </c>
      <c r="L2768">
        <v>485950696</v>
      </c>
      <c r="M2768">
        <v>645985571</v>
      </c>
      <c r="N2768">
        <v>540989277</v>
      </c>
      <c r="O2768">
        <v>367420606</v>
      </c>
      <c r="P2768">
        <v>446</v>
      </c>
      <c r="Q2768" t="s">
        <v>5580</v>
      </c>
    </row>
    <row r="2769" spans="1:17" x14ac:dyDescent="0.3">
      <c r="A2769" t="s">
        <v>4446</v>
      </c>
      <c r="B2769" t="str">
        <f>"002042"</f>
        <v>002042</v>
      </c>
      <c r="C2769" t="s">
        <v>5581</v>
      </c>
      <c r="D2769" t="s">
        <v>227</v>
      </c>
      <c r="F2769">
        <v>219036207</v>
      </c>
      <c r="G2769">
        <v>2799221</v>
      </c>
      <c r="H2769">
        <v>1211558633</v>
      </c>
      <c r="I2769">
        <v>-945317293</v>
      </c>
      <c r="J2769">
        <v>-2531691505</v>
      </c>
      <c r="K2769">
        <v>312016682</v>
      </c>
      <c r="L2769">
        <v>-354287239</v>
      </c>
      <c r="M2769">
        <v>-130583104</v>
      </c>
      <c r="N2769">
        <v>112795063</v>
      </c>
      <c r="O2769">
        <v>-124250559</v>
      </c>
      <c r="P2769">
        <v>196</v>
      </c>
      <c r="Q2769" t="s">
        <v>5582</v>
      </c>
    </row>
    <row r="2770" spans="1:17" x14ac:dyDescent="0.3">
      <c r="A2770" t="s">
        <v>4446</v>
      </c>
      <c r="B2770" t="str">
        <f>"002043"</f>
        <v>002043</v>
      </c>
      <c r="C2770" t="s">
        <v>5583</v>
      </c>
      <c r="D2770" t="s">
        <v>350</v>
      </c>
      <c r="F2770">
        <v>724288918</v>
      </c>
      <c r="G2770">
        <v>710656144</v>
      </c>
      <c r="H2770">
        <v>581397449</v>
      </c>
      <c r="I2770">
        <v>233638129</v>
      </c>
      <c r="J2770">
        <v>349303142</v>
      </c>
      <c r="K2770">
        <v>369469357</v>
      </c>
      <c r="L2770">
        <v>142798944</v>
      </c>
      <c r="M2770">
        <v>84263609</v>
      </c>
      <c r="N2770">
        <v>85164296</v>
      </c>
      <c r="O2770">
        <v>89970767</v>
      </c>
      <c r="P2770">
        <v>666</v>
      </c>
      <c r="Q2770" t="s">
        <v>5584</v>
      </c>
    </row>
    <row r="2771" spans="1:17" x14ac:dyDescent="0.3">
      <c r="A2771" t="s">
        <v>4446</v>
      </c>
      <c r="B2771" t="str">
        <f>"002044"</f>
        <v>002044</v>
      </c>
      <c r="C2771" t="s">
        <v>5585</v>
      </c>
      <c r="D2771" t="s">
        <v>113</v>
      </c>
      <c r="F2771">
        <v>1640046440</v>
      </c>
      <c r="G2771">
        <v>708935549</v>
      </c>
      <c r="H2771">
        <v>896238114</v>
      </c>
      <c r="I2771">
        <v>708368628</v>
      </c>
      <c r="J2771">
        <v>641067574</v>
      </c>
      <c r="K2771">
        <v>253213494</v>
      </c>
      <c r="L2771">
        <v>-17056674</v>
      </c>
      <c r="M2771">
        <v>26545969</v>
      </c>
      <c r="N2771">
        <v>5590614</v>
      </c>
      <c r="O2771">
        <v>51754329</v>
      </c>
      <c r="P2771">
        <v>1237</v>
      </c>
      <c r="Q2771" t="s">
        <v>5586</v>
      </c>
    </row>
    <row r="2772" spans="1:17" x14ac:dyDescent="0.3">
      <c r="A2772" t="s">
        <v>4446</v>
      </c>
      <c r="B2772" t="str">
        <f>"002045"</f>
        <v>002045</v>
      </c>
      <c r="C2772" t="s">
        <v>5587</v>
      </c>
      <c r="D2772" t="s">
        <v>150</v>
      </c>
      <c r="F2772">
        <v>-270829800</v>
      </c>
      <c r="G2772">
        <v>343776460</v>
      </c>
      <c r="H2772">
        <v>267938254</v>
      </c>
      <c r="I2772">
        <v>-221474744</v>
      </c>
      <c r="J2772">
        <v>-425553941</v>
      </c>
      <c r="K2772">
        <v>-35483344</v>
      </c>
      <c r="L2772">
        <v>-40016662</v>
      </c>
      <c r="M2772">
        <v>31777248</v>
      </c>
      <c r="N2772">
        <v>99899327</v>
      </c>
      <c r="O2772">
        <v>96655150</v>
      </c>
      <c r="P2772">
        <v>216</v>
      </c>
      <c r="Q2772" t="s">
        <v>5588</v>
      </c>
    </row>
    <row r="2773" spans="1:17" x14ac:dyDescent="0.3">
      <c r="A2773" t="s">
        <v>4446</v>
      </c>
      <c r="B2773" t="str">
        <f>"002046"</f>
        <v>002046</v>
      </c>
      <c r="C2773" t="s">
        <v>5589</v>
      </c>
      <c r="D2773" t="s">
        <v>78</v>
      </c>
      <c r="F2773">
        <v>-30511837</v>
      </c>
      <c r="G2773">
        <v>238923228</v>
      </c>
      <c r="H2773">
        <v>-98674307</v>
      </c>
      <c r="I2773">
        <v>-166359651</v>
      </c>
      <c r="J2773">
        <v>-26134606</v>
      </c>
      <c r="K2773">
        <v>127254335</v>
      </c>
      <c r="L2773">
        <v>-81486691</v>
      </c>
      <c r="M2773">
        <v>-184211072</v>
      </c>
      <c r="N2773">
        <v>-257553235</v>
      </c>
      <c r="O2773">
        <v>-130038565</v>
      </c>
      <c r="P2773">
        <v>148</v>
      </c>
      <c r="Q2773" t="s">
        <v>5590</v>
      </c>
    </row>
    <row r="2774" spans="1:17" x14ac:dyDescent="0.3">
      <c r="A2774" t="s">
        <v>4446</v>
      </c>
      <c r="B2774" t="str">
        <f>"002047"</f>
        <v>002047</v>
      </c>
      <c r="C2774" t="s">
        <v>5591</v>
      </c>
      <c r="D2774" t="s">
        <v>95</v>
      </c>
      <c r="F2774">
        <v>-47835916</v>
      </c>
      <c r="G2774">
        <v>673036408</v>
      </c>
      <c r="H2774">
        <v>742778114</v>
      </c>
      <c r="I2774">
        <v>-807184276</v>
      </c>
      <c r="J2774">
        <v>-412597823</v>
      </c>
      <c r="K2774">
        <v>-583457439</v>
      </c>
      <c r="L2774">
        <v>330745429</v>
      </c>
      <c r="M2774">
        <v>-745935964</v>
      </c>
      <c r="N2774">
        <v>-452865404</v>
      </c>
      <c r="O2774">
        <v>-39404817</v>
      </c>
      <c r="P2774">
        <v>103</v>
      </c>
      <c r="Q2774" t="s">
        <v>5592</v>
      </c>
    </row>
    <row r="2775" spans="1:17" x14ac:dyDescent="0.3">
      <c r="A2775" t="s">
        <v>4446</v>
      </c>
      <c r="B2775" t="str">
        <f>"002048"</f>
        <v>002048</v>
      </c>
      <c r="C2775" t="s">
        <v>5593</v>
      </c>
      <c r="D2775" t="s">
        <v>27</v>
      </c>
      <c r="F2775">
        <v>1371314638</v>
      </c>
      <c r="G2775">
        <v>2198350885</v>
      </c>
      <c r="H2775">
        <v>1360884485</v>
      </c>
      <c r="I2775">
        <v>-264527842</v>
      </c>
      <c r="J2775">
        <v>339226527</v>
      </c>
      <c r="K2775">
        <v>756333009</v>
      </c>
      <c r="L2775">
        <v>3917170</v>
      </c>
      <c r="M2775">
        <v>-234531053</v>
      </c>
      <c r="N2775">
        <v>325721584</v>
      </c>
      <c r="O2775">
        <v>-292809541</v>
      </c>
      <c r="P2775">
        <v>645</v>
      </c>
      <c r="Q2775" t="s">
        <v>5594</v>
      </c>
    </row>
    <row r="2776" spans="1:17" x14ac:dyDescent="0.3">
      <c r="A2776" t="s">
        <v>4446</v>
      </c>
      <c r="B2776" t="str">
        <f>"002049"</f>
        <v>002049</v>
      </c>
      <c r="C2776" t="s">
        <v>5595</v>
      </c>
      <c r="D2776" t="s">
        <v>150</v>
      </c>
      <c r="F2776">
        <v>777681086</v>
      </c>
      <c r="G2776">
        <v>-132040222</v>
      </c>
      <c r="H2776">
        <v>-246904920</v>
      </c>
      <c r="I2776">
        <v>15430207</v>
      </c>
      <c r="J2776">
        <v>281401308</v>
      </c>
      <c r="K2776">
        <v>-142151754</v>
      </c>
      <c r="L2776">
        <v>154848288</v>
      </c>
      <c r="M2776">
        <v>69876163</v>
      </c>
      <c r="N2776">
        <v>49064323</v>
      </c>
      <c r="O2776">
        <v>21144964</v>
      </c>
      <c r="P2776">
        <v>4605</v>
      </c>
      <c r="Q2776" t="s">
        <v>5596</v>
      </c>
    </row>
    <row r="2777" spans="1:17" x14ac:dyDescent="0.3">
      <c r="A2777" t="s">
        <v>4446</v>
      </c>
      <c r="B2777" t="str">
        <f>"002050"</f>
        <v>002050</v>
      </c>
      <c r="C2777" t="s">
        <v>5597</v>
      </c>
      <c r="D2777" t="s">
        <v>126</v>
      </c>
      <c r="F2777">
        <v>-371564816</v>
      </c>
      <c r="G2777">
        <v>956770346</v>
      </c>
      <c r="H2777">
        <v>1041556984</v>
      </c>
      <c r="I2777">
        <v>380551818</v>
      </c>
      <c r="J2777">
        <v>54743589</v>
      </c>
      <c r="K2777">
        <v>1027040860</v>
      </c>
      <c r="L2777">
        <v>544482731</v>
      </c>
      <c r="M2777">
        <v>179798107</v>
      </c>
      <c r="N2777">
        <v>-220355938</v>
      </c>
      <c r="O2777">
        <v>-331057055</v>
      </c>
      <c r="P2777">
        <v>2050</v>
      </c>
      <c r="Q2777" t="s">
        <v>5598</v>
      </c>
    </row>
    <row r="2778" spans="1:17" x14ac:dyDescent="0.3">
      <c r="A2778" t="s">
        <v>4446</v>
      </c>
      <c r="B2778" t="str">
        <f>"002051"</f>
        <v>002051</v>
      </c>
      <c r="C2778" t="s">
        <v>5599</v>
      </c>
      <c r="D2778" t="s">
        <v>95</v>
      </c>
      <c r="F2778">
        <v>-569263013</v>
      </c>
      <c r="G2778">
        <v>267733911</v>
      </c>
      <c r="H2778">
        <v>-436000638</v>
      </c>
      <c r="I2778">
        <v>2739000193</v>
      </c>
      <c r="J2778">
        <v>-2521654948</v>
      </c>
      <c r="K2778">
        <v>-881724384</v>
      </c>
      <c r="L2778">
        <v>1316415226</v>
      </c>
      <c r="M2778">
        <v>274363869</v>
      </c>
      <c r="N2778">
        <v>812614305</v>
      </c>
      <c r="O2778">
        <v>772921046</v>
      </c>
      <c r="P2778">
        <v>556</v>
      </c>
      <c r="Q2778" t="s">
        <v>5600</v>
      </c>
    </row>
    <row r="2779" spans="1:17" x14ac:dyDescent="0.3">
      <c r="A2779" t="s">
        <v>4446</v>
      </c>
      <c r="B2779" t="str">
        <f>"002052"</f>
        <v>002052</v>
      </c>
      <c r="C2779" t="s">
        <v>5601</v>
      </c>
      <c r="D2779" t="s">
        <v>126</v>
      </c>
      <c r="F2779">
        <v>-61484935</v>
      </c>
      <c r="G2779">
        <v>-12560080</v>
      </c>
      <c r="H2779">
        <v>-46114534</v>
      </c>
      <c r="I2779">
        <v>-2912152</v>
      </c>
      <c r="J2779">
        <v>-157445880</v>
      </c>
      <c r="K2779">
        <v>228606372</v>
      </c>
      <c r="L2779">
        <v>165721238</v>
      </c>
      <c r="M2779">
        <v>252624260</v>
      </c>
      <c r="N2779">
        <v>-109999310</v>
      </c>
      <c r="O2779">
        <v>83454965</v>
      </c>
      <c r="P2779">
        <v>76</v>
      </c>
      <c r="Q2779" t="s">
        <v>5602</v>
      </c>
    </row>
    <row r="2780" spans="1:17" x14ac:dyDescent="0.3">
      <c r="A2780" t="s">
        <v>4446</v>
      </c>
      <c r="B2780" t="str">
        <f>"002053"</f>
        <v>002053</v>
      </c>
      <c r="C2780" t="s">
        <v>5603</v>
      </c>
      <c r="D2780" t="s">
        <v>133</v>
      </c>
      <c r="F2780">
        <v>-55194454</v>
      </c>
      <c r="G2780">
        <v>-22036931</v>
      </c>
      <c r="H2780">
        <v>-11708352</v>
      </c>
      <c r="I2780">
        <v>-387893489</v>
      </c>
      <c r="J2780">
        <v>-529000055</v>
      </c>
      <c r="K2780">
        <v>134613156</v>
      </c>
      <c r="L2780">
        <v>123674494</v>
      </c>
      <c r="M2780">
        <v>74470264</v>
      </c>
      <c r="N2780">
        <v>-208686197</v>
      </c>
      <c r="O2780">
        <v>-437273438</v>
      </c>
      <c r="P2780">
        <v>105</v>
      </c>
      <c r="Q2780" t="s">
        <v>5604</v>
      </c>
    </row>
    <row r="2781" spans="1:17" x14ac:dyDescent="0.3">
      <c r="A2781" t="s">
        <v>4446</v>
      </c>
      <c r="B2781" t="str">
        <f>"002054"</f>
        <v>002054</v>
      </c>
      <c r="C2781" t="s">
        <v>5605</v>
      </c>
      <c r="D2781" t="s">
        <v>133</v>
      </c>
      <c r="F2781">
        <v>-1062756956</v>
      </c>
      <c r="G2781">
        <v>-619201295</v>
      </c>
      <c r="H2781">
        <v>76962042</v>
      </c>
      <c r="I2781">
        <v>158914603</v>
      </c>
      <c r="J2781">
        <v>10264739</v>
      </c>
      <c r="K2781">
        <v>96170994</v>
      </c>
      <c r="L2781">
        <v>38881075</v>
      </c>
      <c r="M2781">
        <v>100141261</v>
      </c>
      <c r="N2781">
        <v>62643365</v>
      </c>
      <c r="O2781">
        <v>126799958</v>
      </c>
      <c r="P2781">
        <v>111</v>
      </c>
      <c r="Q2781" t="s">
        <v>5606</v>
      </c>
    </row>
    <row r="2782" spans="1:17" x14ac:dyDescent="0.3">
      <c r="A2782" t="s">
        <v>4446</v>
      </c>
      <c r="B2782" t="str">
        <f>"002055"</f>
        <v>002055</v>
      </c>
      <c r="C2782" t="s">
        <v>5607</v>
      </c>
      <c r="D2782" t="s">
        <v>150</v>
      </c>
      <c r="F2782">
        <v>20741916</v>
      </c>
      <c r="G2782">
        <v>-1018555042</v>
      </c>
      <c r="H2782">
        <v>-122868579</v>
      </c>
      <c r="I2782">
        <v>-881279259</v>
      </c>
      <c r="J2782">
        <v>-699974682</v>
      </c>
      <c r="K2782">
        <v>-266418100</v>
      </c>
      <c r="L2782">
        <v>-252228777</v>
      </c>
      <c r="M2782">
        <v>-70019569</v>
      </c>
      <c r="N2782">
        <v>-121644324</v>
      </c>
      <c r="O2782">
        <v>13253657</v>
      </c>
      <c r="P2782">
        <v>245</v>
      </c>
      <c r="Q2782" t="s">
        <v>5608</v>
      </c>
    </row>
    <row r="2783" spans="1:17" x14ac:dyDescent="0.3">
      <c r="A2783" t="s">
        <v>4446</v>
      </c>
      <c r="B2783" t="str">
        <f>"002056"</f>
        <v>002056</v>
      </c>
      <c r="C2783" t="s">
        <v>5609</v>
      </c>
      <c r="D2783" t="s">
        <v>234</v>
      </c>
      <c r="F2783">
        <v>281472315</v>
      </c>
      <c r="G2783">
        <v>521542958</v>
      </c>
      <c r="H2783">
        <v>230109604</v>
      </c>
      <c r="I2783">
        <v>332448137</v>
      </c>
      <c r="J2783">
        <v>342088047</v>
      </c>
      <c r="K2783">
        <v>352241065</v>
      </c>
      <c r="L2783">
        <v>653304262</v>
      </c>
      <c r="M2783">
        <v>574298803</v>
      </c>
      <c r="N2783">
        <v>385112248</v>
      </c>
      <c r="O2783">
        <v>-86053925</v>
      </c>
      <c r="P2783">
        <v>782</v>
      </c>
      <c r="Q2783" t="s">
        <v>5610</v>
      </c>
    </row>
    <row r="2784" spans="1:17" x14ac:dyDescent="0.3">
      <c r="A2784" t="s">
        <v>4446</v>
      </c>
      <c r="B2784" t="str">
        <f>"002057"</f>
        <v>002057</v>
      </c>
      <c r="C2784" t="s">
        <v>5611</v>
      </c>
      <c r="D2784" t="s">
        <v>234</v>
      </c>
      <c r="F2784">
        <v>-10005372</v>
      </c>
      <c r="G2784">
        <v>48120466</v>
      </c>
      <c r="H2784">
        <v>-55470334</v>
      </c>
      <c r="I2784">
        <v>32020484</v>
      </c>
      <c r="J2784">
        <v>69561629</v>
      </c>
      <c r="K2784">
        <v>37735583</v>
      </c>
      <c r="L2784">
        <v>-1769888</v>
      </c>
      <c r="M2784">
        <v>-45909054</v>
      </c>
      <c r="N2784">
        <v>-17022585</v>
      </c>
      <c r="O2784">
        <v>-8438765</v>
      </c>
      <c r="P2784">
        <v>127</v>
      </c>
      <c r="Q2784" t="s">
        <v>5612</v>
      </c>
    </row>
    <row r="2785" spans="1:17" x14ac:dyDescent="0.3">
      <c r="A2785" t="s">
        <v>4446</v>
      </c>
      <c r="B2785" t="str">
        <f>"002058"</f>
        <v>002058</v>
      </c>
      <c r="C2785" t="s">
        <v>5613</v>
      </c>
      <c r="D2785" t="s">
        <v>188</v>
      </c>
      <c r="F2785">
        <v>-1958250</v>
      </c>
      <c r="G2785">
        <v>15870335</v>
      </c>
      <c r="H2785">
        <v>-10826851</v>
      </c>
      <c r="I2785">
        <v>-9778714</v>
      </c>
      <c r="J2785">
        <v>3453883</v>
      </c>
      <c r="K2785">
        <v>12466101</v>
      </c>
      <c r="L2785">
        <v>500096</v>
      </c>
      <c r="M2785">
        <v>6012233</v>
      </c>
      <c r="N2785">
        <v>13975965</v>
      </c>
      <c r="O2785">
        <v>-6771229</v>
      </c>
      <c r="P2785">
        <v>55</v>
      </c>
      <c r="Q2785" t="s">
        <v>5614</v>
      </c>
    </row>
    <row r="2786" spans="1:17" x14ac:dyDescent="0.3">
      <c r="A2786" t="s">
        <v>4446</v>
      </c>
      <c r="B2786" t="str">
        <f>"002059"</f>
        <v>002059</v>
      </c>
      <c r="C2786" t="s">
        <v>5615</v>
      </c>
      <c r="D2786" t="s">
        <v>110</v>
      </c>
      <c r="F2786">
        <v>-410257007</v>
      </c>
      <c r="G2786">
        <v>-117399523</v>
      </c>
      <c r="H2786">
        <v>-50756709</v>
      </c>
      <c r="I2786">
        <v>-118368936</v>
      </c>
      <c r="J2786">
        <v>57534270</v>
      </c>
      <c r="K2786">
        <v>-102837113</v>
      </c>
      <c r="L2786">
        <v>-9236780</v>
      </c>
      <c r="M2786">
        <v>-301397707</v>
      </c>
      <c r="N2786">
        <v>-131678000</v>
      </c>
      <c r="O2786">
        <v>88659062</v>
      </c>
      <c r="P2786">
        <v>160</v>
      </c>
      <c r="Q2786" t="s">
        <v>5616</v>
      </c>
    </row>
    <row r="2787" spans="1:17" x14ac:dyDescent="0.3">
      <c r="A2787" t="s">
        <v>4446</v>
      </c>
      <c r="B2787" t="str">
        <f>"002060"</f>
        <v>002060</v>
      </c>
      <c r="C2787" t="s">
        <v>5617</v>
      </c>
      <c r="D2787" t="s">
        <v>95</v>
      </c>
      <c r="F2787">
        <v>-90850972</v>
      </c>
      <c r="G2787">
        <v>-893007772</v>
      </c>
      <c r="H2787">
        <v>40324210</v>
      </c>
      <c r="I2787">
        <v>-507478894</v>
      </c>
      <c r="J2787">
        <v>-1861259374</v>
      </c>
      <c r="K2787">
        <v>-1083914217</v>
      </c>
      <c r="L2787">
        <v>528477576</v>
      </c>
      <c r="M2787">
        <v>-306234440</v>
      </c>
      <c r="N2787">
        <v>-885830379</v>
      </c>
      <c r="O2787">
        <v>-978654157</v>
      </c>
      <c r="P2787">
        <v>169</v>
      </c>
      <c r="Q2787" t="s">
        <v>5618</v>
      </c>
    </row>
    <row r="2788" spans="1:17" x14ac:dyDescent="0.3">
      <c r="A2788" t="s">
        <v>4446</v>
      </c>
      <c r="B2788" t="str">
        <f>"002061"</f>
        <v>002061</v>
      </c>
      <c r="C2788" t="s">
        <v>5619</v>
      </c>
      <c r="D2788" t="s">
        <v>95</v>
      </c>
      <c r="F2788">
        <v>-760019339</v>
      </c>
      <c r="G2788">
        <v>1362802957</v>
      </c>
      <c r="H2788">
        <v>779094513</v>
      </c>
      <c r="I2788">
        <v>557047797</v>
      </c>
      <c r="J2788">
        <v>263758786</v>
      </c>
      <c r="K2788">
        <v>581502081</v>
      </c>
      <c r="L2788">
        <v>175063334</v>
      </c>
      <c r="M2788">
        <v>-586944</v>
      </c>
      <c r="N2788">
        <v>-651819528</v>
      </c>
      <c r="O2788">
        <v>-559982913</v>
      </c>
      <c r="P2788">
        <v>215</v>
      </c>
      <c r="Q2788" t="s">
        <v>5620</v>
      </c>
    </row>
    <row r="2789" spans="1:17" x14ac:dyDescent="0.3">
      <c r="A2789" t="s">
        <v>4446</v>
      </c>
      <c r="B2789" t="str">
        <f>"002062"</f>
        <v>002062</v>
      </c>
      <c r="C2789" t="s">
        <v>5621</v>
      </c>
      <c r="D2789" t="s">
        <v>95</v>
      </c>
      <c r="F2789">
        <v>352918093</v>
      </c>
      <c r="G2789">
        <v>942812451</v>
      </c>
      <c r="H2789">
        <v>979077757</v>
      </c>
      <c r="I2789">
        <v>174532859</v>
      </c>
      <c r="J2789">
        <v>1035633535</v>
      </c>
      <c r="K2789">
        <v>1902517736</v>
      </c>
      <c r="L2789">
        <v>1324808235</v>
      </c>
      <c r="M2789">
        <v>-847031107</v>
      </c>
      <c r="N2789">
        <v>-81334407</v>
      </c>
      <c r="O2789">
        <v>-478076690</v>
      </c>
      <c r="P2789">
        <v>145</v>
      </c>
      <c r="Q2789" t="s">
        <v>5622</v>
      </c>
    </row>
    <row r="2790" spans="1:17" x14ac:dyDescent="0.3">
      <c r="A2790" t="s">
        <v>4446</v>
      </c>
      <c r="B2790" t="str">
        <f>"002063"</f>
        <v>002063</v>
      </c>
      <c r="C2790" t="s">
        <v>5623</v>
      </c>
      <c r="D2790" t="s">
        <v>212</v>
      </c>
      <c r="F2790">
        <v>-39335226</v>
      </c>
      <c r="G2790">
        <v>25839670</v>
      </c>
      <c r="H2790">
        <v>133791153</v>
      </c>
      <c r="I2790">
        <v>104514695</v>
      </c>
      <c r="J2790">
        <v>43613206</v>
      </c>
      <c r="K2790">
        <v>40274058</v>
      </c>
      <c r="L2790">
        <v>5521434</v>
      </c>
      <c r="M2790">
        <v>57338184</v>
      </c>
      <c r="N2790">
        <v>180620706</v>
      </c>
      <c r="O2790">
        <v>250713239</v>
      </c>
      <c r="P2790">
        <v>489</v>
      </c>
      <c r="Q2790" t="s">
        <v>5624</v>
      </c>
    </row>
    <row r="2791" spans="1:17" x14ac:dyDescent="0.3">
      <c r="A2791" t="s">
        <v>4446</v>
      </c>
      <c r="B2791" t="str">
        <f>"002064"</f>
        <v>002064</v>
      </c>
      <c r="C2791" t="s">
        <v>5625</v>
      </c>
      <c r="D2791" t="s">
        <v>133</v>
      </c>
      <c r="F2791">
        <v>4039089728</v>
      </c>
      <c r="G2791">
        <v>2638075113</v>
      </c>
      <c r="H2791">
        <v>849087275</v>
      </c>
      <c r="I2791">
        <v>690048516</v>
      </c>
      <c r="J2791">
        <v>266495367</v>
      </c>
      <c r="K2791">
        <v>243615594</v>
      </c>
      <c r="L2791">
        <v>-804814060</v>
      </c>
      <c r="M2791">
        <v>-496758022</v>
      </c>
      <c r="N2791">
        <v>-71696180</v>
      </c>
      <c r="O2791">
        <v>-53111071</v>
      </c>
      <c r="P2791">
        <v>688</v>
      </c>
      <c r="Q2791" t="s">
        <v>5626</v>
      </c>
    </row>
    <row r="2792" spans="1:17" x14ac:dyDescent="0.3">
      <c r="A2792" t="s">
        <v>4446</v>
      </c>
      <c r="B2792" t="str">
        <f>"002065"</f>
        <v>002065</v>
      </c>
      <c r="C2792" t="s">
        <v>5627</v>
      </c>
      <c r="D2792" t="s">
        <v>212</v>
      </c>
      <c r="F2792">
        <v>401653639</v>
      </c>
      <c r="G2792">
        <v>139427972</v>
      </c>
      <c r="H2792">
        <v>208894563</v>
      </c>
      <c r="I2792">
        <v>235195291</v>
      </c>
      <c r="J2792">
        <v>90861701</v>
      </c>
      <c r="K2792">
        <v>-581579256</v>
      </c>
      <c r="L2792">
        <v>-182846440</v>
      </c>
      <c r="M2792">
        <v>-248959429</v>
      </c>
      <c r="N2792">
        <v>-69294811</v>
      </c>
      <c r="O2792">
        <v>76425957</v>
      </c>
      <c r="P2792">
        <v>942</v>
      </c>
      <c r="Q2792" t="s">
        <v>5628</v>
      </c>
    </row>
    <row r="2793" spans="1:17" x14ac:dyDescent="0.3">
      <c r="A2793" t="s">
        <v>4446</v>
      </c>
      <c r="B2793" t="str">
        <f>"002066"</f>
        <v>002066</v>
      </c>
      <c r="C2793" t="s">
        <v>5629</v>
      </c>
      <c r="D2793" t="s">
        <v>350</v>
      </c>
      <c r="F2793">
        <v>191269774</v>
      </c>
      <c r="G2793">
        <v>231995958</v>
      </c>
      <c r="H2793">
        <v>60867322</v>
      </c>
      <c r="I2793">
        <v>154993952</v>
      </c>
      <c r="J2793">
        <v>118909279</v>
      </c>
      <c r="K2793">
        <v>149499517</v>
      </c>
      <c r="L2793">
        <v>-66615743</v>
      </c>
      <c r="M2793">
        <v>33730914</v>
      </c>
      <c r="N2793">
        <v>-83936224</v>
      </c>
      <c r="O2793">
        <v>-298473780</v>
      </c>
      <c r="P2793">
        <v>75</v>
      </c>
      <c r="Q2793" t="s">
        <v>5630</v>
      </c>
    </row>
    <row r="2794" spans="1:17" x14ac:dyDescent="0.3">
      <c r="A2794" t="s">
        <v>4446</v>
      </c>
      <c r="B2794" t="str">
        <f>"002067"</f>
        <v>002067</v>
      </c>
      <c r="C2794" t="s">
        <v>5631</v>
      </c>
      <c r="D2794" t="s">
        <v>161</v>
      </c>
      <c r="F2794">
        <v>-267649547</v>
      </c>
      <c r="G2794">
        <v>18773186</v>
      </c>
      <c r="H2794">
        <v>1100627099</v>
      </c>
      <c r="I2794">
        <v>416300742</v>
      </c>
      <c r="J2794">
        <v>50276250</v>
      </c>
      <c r="K2794">
        <v>500711383</v>
      </c>
      <c r="L2794">
        <v>115871381</v>
      </c>
      <c r="M2794">
        <v>-350681198</v>
      </c>
      <c r="N2794">
        <v>-73661400</v>
      </c>
      <c r="O2794">
        <v>-75817312</v>
      </c>
      <c r="P2794">
        <v>173</v>
      </c>
      <c r="Q2794" t="s">
        <v>5632</v>
      </c>
    </row>
    <row r="2795" spans="1:17" x14ac:dyDescent="0.3">
      <c r="A2795" t="s">
        <v>4446</v>
      </c>
      <c r="B2795" t="str">
        <f>"002068"</f>
        <v>002068</v>
      </c>
      <c r="C2795" t="s">
        <v>5633</v>
      </c>
      <c r="D2795" t="s">
        <v>133</v>
      </c>
      <c r="F2795">
        <v>16480031</v>
      </c>
      <c r="G2795">
        <v>-176866167</v>
      </c>
      <c r="H2795">
        <v>362767189</v>
      </c>
      <c r="I2795">
        <v>784359770</v>
      </c>
      <c r="J2795">
        <v>15866775</v>
      </c>
      <c r="K2795">
        <v>396870628</v>
      </c>
      <c r="L2795">
        <v>-415211064</v>
      </c>
      <c r="M2795">
        <v>924674237</v>
      </c>
      <c r="N2795">
        <v>-1340204398</v>
      </c>
      <c r="O2795">
        <v>-462360013</v>
      </c>
      <c r="P2795">
        <v>300</v>
      </c>
      <c r="Q2795" t="s">
        <v>5634</v>
      </c>
    </row>
    <row r="2796" spans="1:17" x14ac:dyDescent="0.3">
      <c r="A2796" t="s">
        <v>4446</v>
      </c>
      <c r="B2796" t="str">
        <f>"002069"</f>
        <v>002069</v>
      </c>
      <c r="C2796" t="s">
        <v>5635</v>
      </c>
      <c r="D2796" t="s">
        <v>205</v>
      </c>
      <c r="F2796">
        <v>160419589</v>
      </c>
      <c r="G2796">
        <v>214544337</v>
      </c>
      <c r="H2796">
        <v>402049641</v>
      </c>
      <c r="I2796">
        <v>246617186</v>
      </c>
      <c r="J2796">
        <v>46026627</v>
      </c>
      <c r="K2796">
        <v>315218387</v>
      </c>
      <c r="L2796">
        <v>271747485</v>
      </c>
      <c r="M2796">
        <v>-176518905</v>
      </c>
      <c r="N2796">
        <v>-191706126</v>
      </c>
      <c r="O2796">
        <v>-231673329</v>
      </c>
      <c r="P2796">
        <v>406</v>
      </c>
      <c r="Q2796" t="s">
        <v>5636</v>
      </c>
    </row>
    <row r="2797" spans="1:17" x14ac:dyDescent="0.3">
      <c r="A2797" t="s">
        <v>4446</v>
      </c>
      <c r="B2797" t="str">
        <f>"002070"</f>
        <v>002070</v>
      </c>
      <c r="C2797" t="s">
        <v>5637</v>
      </c>
      <c r="I2797">
        <v>-16566514</v>
      </c>
      <c r="J2797">
        <v>39412087</v>
      </c>
      <c r="K2797">
        <v>120799231</v>
      </c>
      <c r="L2797">
        <v>759124</v>
      </c>
      <c r="M2797">
        <v>92186169.420000002</v>
      </c>
      <c r="N2797">
        <v>-34269957.649999999</v>
      </c>
      <c r="O2797">
        <v>20858381.050000001</v>
      </c>
      <c r="P2797">
        <v>27</v>
      </c>
      <c r="Q2797" t="s">
        <v>5638</v>
      </c>
    </row>
    <row r="2798" spans="1:17" x14ac:dyDescent="0.3">
      <c r="A2798" t="s">
        <v>4446</v>
      </c>
      <c r="B2798" t="str">
        <f>"002071"</f>
        <v>002071</v>
      </c>
      <c r="C2798" t="s">
        <v>5639</v>
      </c>
      <c r="G2798">
        <v>25649162</v>
      </c>
      <c r="H2798">
        <v>225153225</v>
      </c>
      <c r="I2798">
        <v>424454469</v>
      </c>
      <c r="J2798">
        <v>176733499</v>
      </c>
      <c r="K2798">
        <v>283338762</v>
      </c>
      <c r="L2798">
        <v>136275555</v>
      </c>
      <c r="M2798">
        <v>-45549404</v>
      </c>
      <c r="N2798">
        <v>68363</v>
      </c>
      <c r="O2798">
        <v>-71303674</v>
      </c>
      <c r="P2798">
        <v>97</v>
      </c>
      <c r="Q2798" t="s">
        <v>5640</v>
      </c>
    </row>
    <row r="2799" spans="1:17" x14ac:dyDescent="0.3">
      <c r="A2799" t="s">
        <v>4446</v>
      </c>
      <c r="B2799" t="str">
        <f>"002072"</f>
        <v>002072</v>
      </c>
      <c r="C2799" t="s">
        <v>5641</v>
      </c>
      <c r="D2799" t="s">
        <v>103</v>
      </c>
      <c r="F2799">
        <v>-89784067</v>
      </c>
      <c r="G2799">
        <v>84870200</v>
      </c>
      <c r="H2799">
        <v>338873</v>
      </c>
      <c r="I2799">
        <v>-7648891</v>
      </c>
      <c r="J2799">
        <v>11398904</v>
      </c>
      <c r="K2799">
        <v>-5894897</v>
      </c>
      <c r="L2799">
        <v>-20560130</v>
      </c>
      <c r="M2799">
        <v>2403227</v>
      </c>
      <c r="N2799">
        <v>44629340</v>
      </c>
      <c r="O2799">
        <v>110635479</v>
      </c>
      <c r="P2799">
        <v>64</v>
      </c>
      <c r="Q2799" t="s">
        <v>5642</v>
      </c>
    </row>
    <row r="2800" spans="1:17" x14ac:dyDescent="0.3">
      <c r="A2800" t="s">
        <v>4446</v>
      </c>
      <c r="B2800" t="str">
        <f>"002073"</f>
        <v>002073</v>
      </c>
      <c r="C2800" t="s">
        <v>5643</v>
      </c>
      <c r="D2800" t="s">
        <v>78</v>
      </c>
      <c r="F2800">
        <v>-364806212</v>
      </c>
      <c r="G2800">
        <v>48732716</v>
      </c>
      <c r="H2800">
        <v>33800122</v>
      </c>
      <c r="I2800">
        <v>85662943</v>
      </c>
      <c r="J2800">
        <v>85695400</v>
      </c>
      <c r="K2800">
        <v>-127514812</v>
      </c>
      <c r="L2800">
        <v>-132883353</v>
      </c>
      <c r="M2800">
        <v>-731559790</v>
      </c>
      <c r="N2800">
        <v>363337144</v>
      </c>
      <c r="O2800">
        <v>-79799360</v>
      </c>
      <c r="P2800">
        <v>150</v>
      </c>
      <c r="Q2800" t="s">
        <v>5644</v>
      </c>
    </row>
    <row r="2801" spans="1:17" x14ac:dyDescent="0.3">
      <c r="A2801" t="s">
        <v>4446</v>
      </c>
      <c r="B2801" t="str">
        <f>"002074"</f>
        <v>002074</v>
      </c>
      <c r="C2801" t="s">
        <v>5645</v>
      </c>
      <c r="D2801" t="s">
        <v>188</v>
      </c>
      <c r="F2801">
        <v>-3383877738</v>
      </c>
      <c r="G2801">
        <v>-1405985729</v>
      </c>
      <c r="H2801">
        <v>-2640330499</v>
      </c>
      <c r="I2801">
        <v>-3459345935</v>
      </c>
      <c r="J2801">
        <v>-1456685273</v>
      </c>
      <c r="K2801">
        <v>-30208653</v>
      </c>
      <c r="L2801">
        <v>-37521397</v>
      </c>
      <c r="M2801">
        <v>20442621</v>
      </c>
      <c r="N2801">
        <v>89023624</v>
      </c>
      <c r="O2801">
        <v>-54378449</v>
      </c>
      <c r="P2801">
        <v>1003</v>
      </c>
      <c r="Q2801" t="s">
        <v>5646</v>
      </c>
    </row>
    <row r="2802" spans="1:17" x14ac:dyDescent="0.3">
      <c r="A2802" t="s">
        <v>4446</v>
      </c>
      <c r="B2802" t="str">
        <f>"002075"</f>
        <v>002075</v>
      </c>
      <c r="C2802" t="s">
        <v>5647</v>
      </c>
      <c r="D2802" t="s">
        <v>38</v>
      </c>
      <c r="F2802">
        <v>2145406225</v>
      </c>
      <c r="G2802">
        <v>1487335762</v>
      </c>
      <c r="H2802">
        <v>111510709</v>
      </c>
      <c r="I2802">
        <v>2454409064</v>
      </c>
      <c r="J2802">
        <v>1659984001</v>
      </c>
      <c r="K2802">
        <v>197525209</v>
      </c>
      <c r="L2802">
        <v>535333819</v>
      </c>
      <c r="M2802">
        <v>1489105230</v>
      </c>
      <c r="N2802">
        <v>-43197150</v>
      </c>
      <c r="O2802">
        <v>1002791887</v>
      </c>
      <c r="P2802">
        <v>281</v>
      </c>
      <c r="Q2802" t="s">
        <v>5648</v>
      </c>
    </row>
    <row r="2803" spans="1:17" x14ac:dyDescent="0.3">
      <c r="A2803" t="s">
        <v>4446</v>
      </c>
      <c r="B2803" t="str">
        <f>"002076"</f>
        <v>002076</v>
      </c>
      <c r="C2803" t="s">
        <v>5649</v>
      </c>
      <c r="D2803" t="s">
        <v>126</v>
      </c>
      <c r="F2803">
        <v>-11952650</v>
      </c>
      <c r="G2803">
        <v>9455883</v>
      </c>
      <c r="H2803">
        <v>11381788</v>
      </c>
      <c r="I2803">
        <v>-14537734</v>
      </c>
      <c r="J2803">
        <v>-490750962</v>
      </c>
      <c r="K2803">
        <v>-24137930</v>
      </c>
      <c r="L2803">
        <v>169699423</v>
      </c>
      <c r="M2803">
        <v>-23264437</v>
      </c>
      <c r="N2803">
        <v>77545812</v>
      </c>
      <c r="O2803">
        <v>19202340</v>
      </c>
      <c r="P2803">
        <v>100</v>
      </c>
      <c r="Q2803" t="s">
        <v>5650</v>
      </c>
    </row>
    <row r="2804" spans="1:17" x14ac:dyDescent="0.3">
      <c r="A2804" t="s">
        <v>4446</v>
      </c>
      <c r="B2804" t="str">
        <f>"002077"</f>
        <v>002077</v>
      </c>
      <c r="C2804" t="s">
        <v>5651</v>
      </c>
      <c r="D2804" t="s">
        <v>150</v>
      </c>
      <c r="F2804">
        <v>183941709</v>
      </c>
      <c r="G2804">
        <v>316759755</v>
      </c>
      <c r="H2804">
        <v>258854700</v>
      </c>
      <c r="I2804">
        <v>16761568</v>
      </c>
      <c r="J2804">
        <v>-413739900</v>
      </c>
      <c r="K2804">
        <v>-404084806</v>
      </c>
      <c r="L2804">
        <v>293886894</v>
      </c>
      <c r="M2804">
        <v>-31538093</v>
      </c>
      <c r="N2804">
        <v>-491059763</v>
      </c>
      <c r="O2804">
        <v>-491452512</v>
      </c>
      <c r="P2804">
        <v>125</v>
      </c>
      <c r="Q2804" t="s">
        <v>5652</v>
      </c>
    </row>
    <row r="2805" spans="1:17" x14ac:dyDescent="0.3">
      <c r="A2805" t="s">
        <v>4446</v>
      </c>
      <c r="B2805" t="str">
        <f>"002078"</f>
        <v>002078</v>
      </c>
      <c r="C2805" t="s">
        <v>5653</v>
      </c>
      <c r="D2805" t="s">
        <v>161</v>
      </c>
      <c r="F2805">
        <v>-2304498159</v>
      </c>
      <c r="G2805">
        <v>325326693</v>
      </c>
      <c r="H2805">
        <v>628780481</v>
      </c>
      <c r="I2805">
        <v>1452346729</v>
      </c>
      <c r="J2805">
        <v>-189568484</v>
      </c>
      <c r="K2805">
        <v>1147815853</v>
      </c>
      <c r="L2805">
        <v>-1925301905</v>
      </c>
      <c r="M2805">
        <v>684009503</v>
      </c>
      <c r="N2805">
        <v>510217494</v>
      </c>
      <c r="O2805">
        <v>307149569</v>
      </c>
      <c r="P2805">
        <v>1103</v>
      </c>
      <c r="Q2805" t="s">
        <v>5654</v>
      </c>
    </row>
    <row r="2806" spans="1:17" x14ac:dyDescent="0.3">
      <c r="A2806" t="s">
        <v>4446</v>
      </c>
      <c r="B2806" t="str">
        <f>"002079"</f>
        <v>002079</v>
      </c>
      <c r="C2806" t="s">
        <v>5655</v>
      </c>
      <c r="D2806" t="s">
        <v>150</v>
      </c>
      <c r="F2806">
        <v>-37011555</v>
      </c>
      <c r="G2806">
        <v>65846429</v>
      </c>
      <c r="H2806">
        <v>103976547</v>
      </c>
      <c r="I2806">
        <v>63283370</v>
      </c>
      <c r="J2806">
        <v>88462804</v>
      </c>
      <c r="K2806">
        <v>75504295</v>
      </c>
      <c r="L2806">
        <v>2270752</v>
      </c>
      <c r="M2806">
        <v>228351360</v>
      </c>
      <c r="N2806">
        <v>-215800627</v>
      </c>
      <c r="O2806">
        <v>-32148965</v>
      </c>
      <c r="P2806">
        <v>372</v>
      </c>
      <c r="Q2806" t="s">
        <v>5656</v>
      </c>
    </row>
    <row r="2807" spans="1:17" x14ac:dyDescent="0.3">
      <c r="A2807" t="s">
        <v>4446</v>
      </c>
      <c r="B2807" t="str">
        <f>"002080"</f>
        <v>002080</v>
      </c>
      <c r="C2807" t="s">
        <v>5657</v>
      </c>
      <c r="D2807" t="s">
        <v>350</v>
      </c>
      <c r="F2807">
        <v>1979185374</v>
      </c>
      <c r="G2807">
        <v>1591604899</v>
      </c>
      <c r="H2807">
        <v>861926376</v>
      </c>
      <c r="I2807">
        <v>-127111334</v>
      </c>
      <c r="J2807">
        <v>-776621953</v>
      </c>
      <c r="K2807">
        <v>-219695891</v>
      </c>
      <c r="L2807">
        <v>459479917</v>
      </c>
      <c r="M2807">
        <v>16727529</v>
      </c>
      <c r="N2807">
        <v>-220011592</v>
      </c>
      <c r="O2807">
        <v>-183564026</v>
      </c>
      <c r="P2807">
        <v>913</v>
      </c>
      <c r="Q2807" t="s">
        <v>5658</v>
      </c>
    </row>
    <row r="2808" spans="1:17" x14ac:dyDescent="0.3">
      <c r="A2808" t="s">
        <v>4446</v>
      </c>
      <c r="B2808" t="str">
        <f>"002081"</f>
        <v>002081</v>
      </c>
      <c r="C2808" t="s">
        <v>5659</v>
      </c>
      <c r="D2808" t="s">
        <v>95</v>
      </c>
      <c r="F2808">
        <v>761214964</v>
      </c>
      <c r="G2808">
        <v>1630659863</v>
      </c>
      <c r="H2808">
        <v>1536203032</v>
      </c>
      <c r="I2808">
        <v>1443211012</v>
      </c>
      <c r="J2808">
        <v>1543258841</v>
      </c>
      <c r="K2808">
        <v>945732347</v>
      </c>
      <c r="L2808">
        <v>-174884889</v>
      </c>
      <c r="M2808">
        <v>-579495541</v>
      </c>
      <c r="N2808">
        <v>758792017</v>
      </c>
      <c r="O2808">
        <v>592366194</v>
      </c>
      <c r="P2808">
        <v>18140</v>
      </c>
      <c r="Q2808" t="s">
        <v>5660</v>
      </c>
    </row>
    <row r="2809" spans="1:17" x14ac:dyDescent="0.3">
      <c r="A2809" t="s">
        <v>4446</v>
      </c>
      <c r="B2809" t="str">
        <f>"002082"</f>
        <v>002082</v>
      </c>
      <c r="C2809" t="s">
        <v>5661</v>
      </c>
      <c r="D2809" t="s">
        <v>234</v>
      </c>
      <c r="F2809">
        <v>-254707874</v>
      </c>
      <c r="G2809">
        <v>-406900735</v>
      </c>
      <c r="H2809">
        <v>-654529345</v>
      </c>
      <c r="I2809">
        <v>-58239293</v>
      </c>
      <c r="J2809">
        <v>-6483109</v>
      </c>
      <c r="K2809">
        <v>307288126</v>
      </c>
      <c r="L2809">
        <v>-386495</v>
      </c>
      <c r="M2809">
        <v>96030456</v>
      </c>
      <c r="N2809">
        <v>226979269</v>
      </c>
      <c r="O2809">
        <v>162093456</v>
      </c>
      <c r="P2809">
        <v>135</v>
      </c>
      <c r="Q2809" t="s">
        <v>5662</v>
      </c>
    </row>
    <row r="2810" spans="1:17" x14ac:dyDescent="0.3">
      <c r="A2810" t="s">
        <v>4446</v>
      </c>
      <c r="B2810" t="str">
        <f>"002083"</f>
        <v>002083</v>
      </c>
      <c r="C2810" t="s">
        <v>5663</v>
      </c>
      <c r="D2810" t="s">
        <v>227</v>
      </c>
      <c r="F2810">
        <v>111760122</v>
      </c>
      <c r="G2810">
        <v>608004555</v>
      </c>
      <c r="H2810">
        <v>336133656</v>
      </c>
      <c r="I2810">
        <v>-18879694</v>
      </c>
      <c r="J2810">
        <v>222280604</v>
      </c>
      <c r="K2810">
        <v>1047385498</v>
      </c>
      <c r="L2810">
        <v>669454928</v>
      </c>
      <c r="M2810">
        <v>-421518753</v>
      </c>
      <c r="N2810">
        <v>623919216</v>
      </c>
      <c r="O2810">
        <v>644105604</v>
      </c>
      <c r="P2810">
        <v>283</v>
      </c>
      <c r="Q2810" t="s">
        <v>5664</v>
      </c>
    </row>
    <row r="2811" spans="1:17" x14ac:dyDescent="0.3">
      <c r="A2811" t="s">
        <v>4446</v>
      </c>
      <c r="B2811" t="str">
        <f>"002084"</f>
        <v>002084</v>
      </c>
      <c r="C2811" t="s">
        <v>5665</v>
      </c>
      <c r="D2811" t="s">
        <v>161</v>
      </c>
      <c r="F2811">
        <v>-209091078</v>
      </c>
      <c r="G2811">
        <v>-17062249</v>
      </c>
      <c r="H2811">
        <v>3419455</v>
      </c>
      <c r="I2811">
        <v>-101977243</v>
      </c>
      <c r="J2811">
        <v>74120667</v>
      </c>
      <c r="K2811">
        <v>136690263</v>
      </c>
      <c r="L2811">
        <v>122391192</v>
      </c>
      <c r="M2811">
        <v>94841150</v>
      </c>
      <c r="N2811">
        <v>61388750</v>
      </c>
      <c r="O2811">
        <v>32142647</v>
      </c>
      <c r="P2811">
        <v>148</v>
      </c>
      <c r="Q2811" t="s">
        <v>5666</v>
      </c>
    </row>
    <row r="2812" spans="1:17" x14ac:dyDescent="0.3">
      <c r="A2812" t="s">
        <v>4446</v>
      </c>
      <c r="B2812" t="str">
        <f>"002085"</f>
        <v>002085</v>
      </c>
      <c r="C2812" t="s">
        <v>5667</v>
      </c>
      <c r="D2812" t="s">
        <v>27</v>
      </c>
      <c r="F2812">
        <v>352712267</v>
      </c>
      <c r="G2812">
        <v>1313704853</v>
      </c>
      <c r="H2812">
        <v>595527061</v>
      </c>
      <c r="I2812">
        <v>96247699</v>
      </c>
      <c r="J2812">
        <v>305151175</v>
      </c>
      <c r="K2812">
        <v>588112291</v>
      </c>
      <c r="L2812">
        <v>158550743</v>
      </c>
      <c r="M2812">
        <v>256991913</v>
      </c>
      <c r="N2812">
        <v>61324094</v>
      </c>
      <c r="O2812">
        <v>331828919</v>
      </c>
      <c r="P2812">
        <v>1527</v>
      </c>
      <c r="Q2812" t="s">
        <v>5668</v>
      </c>
    </row>
    <row r="2813" spans="1:17" x14ac:dyDescent="0.3">
      <c r="A2813" t="s">
        <v>4446</v>
      </c>
      <c r="B2813" t="str">
        <f>"002086"</f>
        <v>002086</v>
      </c>
      <c r="C2813" t="s">
        <v>5669</v>
      </c>
      <c r="D2813" t="s">
        <v>205</v>
      </c>
      <c r="F2813">
        <v>9242416</v>
      </c>
      <c r="G2813">
        <v>350371402</v>
      </c>
      <c r="H2813">
        <v>-16101543</v>
      </c>
      <c r="I2813">
        <v>-993441547</v>
      </c>
      <c r="J2813">
        <v>-272052650</v>
      </c>
      <c r="K2813">
        <v>-36937220</v>
      </c>
      <c r="L2813">
        <v>14855223</v>
      </c>
      <c r="M2813">
        <v>-99168548</v>
      </c>
      <c r="N2813">
        <v>-80176631</v>
      </c>
      <c r="O2813">
        <v>-68538999</v>
      </c>
      <c r="P2813">
        <v>70</v>
      </c>
      <c r="Q2813" t="s">
        <v>5670</v>
      </c>
    </row>
    <row r="2814" spans="1:17" x14ac:dyDescent="0.3">
      <c r="A2814" t="s">
        <v>4446</v>
      </c>
      <c r="B2814" t="str">
        <f>"002087"</f>
        <v>002087</v>
      </c>
      <c r="C2814" t="s">
        <v>5671</v>
      </c>
      <c r="D2814" t="s">
        <v>227</v>
      </c>
      <c r="F2814">
        <v>321231141</v>
      </c>
      <c r="G2814">
        <v>-303628908</v>
      </c>
      <c r="H2814">
        <v>1037232695</v>
      </c>
      <c r="I2814">
        <v>-93398948</v>
      </c>
      <c r="J2814">
        <v>-735382115</v>
      </c>
      <c r="K2814">
        <v>-532764443</v>
      </c>
      <c r="L2814">
        <v>-164639750</v>
      </c>
      <c r="M2814">
        <v>-538117025</v>
      </c>
      <c r="N2814">
        <v>51489793</v>
      </c>
      <c r="O2814">
        <v>17321969</v>
      </c>
      <c r="P2814">
        <v>208</v>
      </c>
      <c r="Q2814" t="s">
        <v>5672</v>
      </c>
    </row>
    <row r="2815" spans="1:17" x14ac:dyDescent="0.3">
      <c r="A2815" t="s">
        <v>4446</v>
      </c>
      <c r="B2815" t="str">
        <f>"002088"</f>
        <v>002088</v>
      </c>
      <c r="C2815" t="s">
        <v>5673</v>
      </c>
      <c r="D2815" t="s">
        <v>350</v>
      </c>
      <c r="F2815">
        <v>452412723</v>
      </c>
      <c r="G2815">
        <v>405369124</v>
      </c>
      <c r="H2815">
        <v>156808235</v>
      </c>
      <c r="I2815">
        <v>58289127</v>
      </c>
      <c r="J2815">
        <v>346851651</v>
      </c>
      <c r="K2815">
        <v>311657030</v>
      </c>
      <c r="L2815">
        <v>110670178</v>
      </c>
      <c r="M2815">
        <v>37288097</v>
      </c>
      <c r="N2815">
        <v>-8061522</v>
      </c>
      <c r="O2815">
        <v>7582767</v>
      </c>
      <c r="P2815">
        <v>409</v>
      </c>
      <c r="Q2815" t="s">
        <v>5674</v>
      </c>
    </row>
    <row r="2816" spans="1:17" x14ac:dyDescent="0.3">
      <c r="A2816" t="s">
        <v>4446</v>
      </c>
      <c r="B2816" t="str">
        <f>"002089"</f>
        <v>002089</v>
      </c>
      <c r="C2816" t="s">
        <v>5675</v>
      </c>
      <c r="D2816" t="s">
        <v>100</v>
      </c>
      <c r="F2816">
        <v>29701533</v>
      </c>
      <c r="G2816">
        <v>-329480215</v>
      </c>
      <c r="H2816">
        <v>-218063840</v>
      </c>
      <c r="I2816">
        <v>-100146986</v>
      </c>
      <c r="J2816">
        <v>-265818</v>
      </c>
      <c r="K2816">
        <v>-79907588</v>
      </c>
      <c r="L2816">
        <v>-44188924</v>
      </c>
      <c r="M2816">
        <v>-435761722</v>
      </c>
      <c r="N2816">
        <v>-174612940</v>
      </c>
      <c r="O2816">
        <v>-182776383</v>
      </c>
      <c r="P2816">
        <v>175</v>
      </c>
      <c r="Q2816" t="s">
        <v>5676</v>
      </c>
    </row>
    <row r="2817" spans="1:17" x14ac:dyDescent="0.3">
      <c r="A2817" t="s">
        <v>4446</v>
      </c>
      <c r="B2817" t="str">
        <f>"002090"</f>
        <v>002090</v>
      </c>
      <c r="C2817" t="s">
        <v>5677</v>
      </c>
      <c r="D2817" t="s">
        <v>188</v>
      </c>
      <c r="F2817">
        <v>22467889</v>
      </c>
      <c r="G2817">
        <v>-536415639</v>
      </c>
      <c r="H2817">
        <v>-258277627</v>
      </c>
      <c r="I2817">
        <v>77762067</v>
      </c>
      <c r="J2817">
        <v>-153926153</v>
      </c>
      <c r="K2817">
        <v>124018877</v>
      </c>
      <c r="L2817">
        <v>-381090090</v>
      </c>
      <c r="M2817">
        <v>-22319774</v>
      </c>
      <c r="N2817">
        <v>107334496</v>
      </c>
      <c r="O2817">
        <v>-52632441</v>
      </c>
      <c r="P2817">
        <v>229</v>
      </c>
      <c r="Q2817" t="s">
        <v>5678</v>
      </c>
    </row>
    <row r="2818" spans="1:17" x14ac:dyDescent="0.3">
      <c r="A2818" t="s">
        <v>4446</v>
      </c>
      <c r="B2818" t="str">
        <f>"002091"</f>
        <v>002091</v>
      </c>
      <c r="C2818" t="s">
        <v>5679</v>
      </c>
      <c r="D2818" t="s">
        <v>120</v>
      </c>
      <c r="F2818">
        <v>-1122993773</v>
      </c>
      <c r="G2818">
        <v>2876928688</v>
      </c>
      <c r="H2818">
        <v>1480084784</v>
      </c>
      <c r="I2818">
        <v>1296753794</v>
      </c>
      <c r="J2818">
        <v>-491366901</v>
      </c>
      <c r="K2818">
        <v>1044879551</v>
      </c>
      <c r="L2818">
        <v>-277020878</v>
      </c>
      <c r="M2818">
        <v>-44175</v>
      </c>
      <c r="N2818">
        <v>81964310</v>
      </c>
      <c r="O2818">
        <v>234502322</v>
      </c>
      <c r="P2818">
        <v>509</v>
      </c>
      <c r="Q2818" t="s">
        <v>5680</v>
      </c>
    </row>
    <row r="2819" spans="1:17" x14ac:dyDescent="0.3">
      <c r="A2819" t="s">
        <v>4446</v>
      </c>
      <c r="B2819" t="str">
        <f>"002092"</f>
        <v>002092</v>
      </c>
      <c r="C2819" t="s">
        <v>5681</v>
      </c>
      <c r="D2819" t="s">
        <v>133</v>
      </c>
      <c r="F2819">
        <v>2852739775</v>
      </c>
      <c r="G2819">
        <v>5100002498</v>
      </c>
      <c r="H2819">
        <v>3382079061</v>
      </c>
      <c r="I2819">
        <v>2133905995</v>
      </c>
      <c r="J2819">
        <v>155925026</v>
      </c>
      <c r="K2819">
        <v>-665755990</v>
      </c>
      <c r="L2819">
        <v>-2486525789</v>
      </c>
      <c r="M2819">
        <v>-404410857</v>
      </c>
      <c r="N2819">
        <v>-744852322</v>
      </c>
      <c r="O2819">
        <v>-5381938499</v>
      </c>
      <c r="P2819">
        <v>521</v>
      </c>
      <c r="Q2819" t="s">
        <v>5682</v>
      </c>
    </row>
    <row r="2820" spans="1:17" x14ac:dyDescent="0.3">
      <c r="A2820" t="s">
        <v>4446</v>
      </c>
      <c r="B2820" t="str">
        <f>"002093"</f>
        <v>002093</v>
      </c>
      <c r="C2820" t="s">
        <v>5683</v>
      </c>
      <c r="D2820" t="s">
        <v>100</v>
      </c>
      <c r="F2820">
        <v>-66173456</v>
      </c>
      <c r="G2820">
        <v>-197663702</v>
      </c>
      <c r="H2820">
        <v>132638203</v>
      </c>
      <c r="I2820">
        <v>-15593177</v>
      </c>
      <c r="J2820">
        <v>192133240</v>
      </c>
      <c r="K2820">
        <v>101884169</v>
      </c>
      <c r="L2820">
        <v>-283684158</v>
      </c>
      <c r="M2820">
        <v>-229878242</v>
      </c>
      <c r="N2820">
        <v>-380041065</v>
      </c>
      <c r="O2820">
        <v>-194428861</v>
      </c>
      <c r="P2820">
        <v>288</v>
      </c>
      <c r="Q2820" t="s">
        <v>5684</v>
      </c>
    </row>
    <row r="2821" spans="1:17" x14ac:dyDescent="0.3">
      <c r="A2821" t="s">
        <v>4446</v>
      </c>
      <c r="B2821" t="str">
        <f>"002094"</f>
        <v>002094</v>
      </c>
      <c r="C2821" t="s">
        <v>5685</v>
      </c>
      <c r="D2821" t="s">
        <v>481</v>
      </c>
      <c r="F2821">
        <v>-486488524</v>
      </c>
      <c r="G2821">
        <v>-230573717</v>
      </c>
      <c r="H2821">
        <v>85613606</v>
      </c>
      <c r="I2821">
        <v>-175294192</v>
      </c>
      <c r="J2821">
        <v>-44132715</v>
      </c>
      <c r="K2821">
        <v>-87113865</v>
      </c>
      <c r="L2821">
        <v>181807585</v>
      </c>
      <c r="M2821">
        <v>26826215</v>
      </c>
      <c r="N2821">
        <v>66883071</v>
      </c>
      <c r="O2821">
        <v>115855158</v>
      </c>
      <c r="P2821">
        <v>183</v>
      </c>
      <c r="Q2821" t="s">
        <v>5686</v>
      </c>
    </row>
    <row r="2822" spans="1:17" x14ac:dyDescent="0.3">
      <c r="A2822" t="s">
        <v>4446</v>
      </c>
      <c r="B2822" t="str">
        <f>"002095"</f>
        <v>002095</v>
      </c>
      <c r="C2822" t="s">
        <v>5687</v>
      </c>
      <c r="D2822" t="s">
        <v>89</v>
      </c>
      <c r="F2822">
        <v>-61370574</v>
      </c>
      <c r="G2822">
        <v>-130220948</v>
      </c>
      <c r="H2822">
        <v>94796606</v>
      </c>
      <c r="I2822">
        <v>-38548128</v>
      </c>
      <c r="J2822">
        <v>-32745781</v>
      </c>
      <c r="K2822">
        <v>-17238432</v>
      </c>
      <c r="L2822">
        <v>-37192874</v>
      </c>
      <c r="M2822">
        <v>25517331</v>
      </c>
      <c r="N2822">
        <v>47299396</v>
      </c>
      <c r="O2822">
        <v>50016754</v>
      </c>
      <c r="P2822">
        <v>97</v>
      </c>
      <c r="Q2822" t="s">
        <v>5688</v>
      </c>
    </row>
    <row r="2823" spans="1:17" x14ac:dyDescent="0.3">
      <c r="A2823" t="s">
        <v>4446</v>
      </c>
      <c r="B2823" t="str">
        <f>"002096"</f>
        <v>002096</v>
      </c>
      <c r="C2823" t="s">
        <v>5689</v>
      </c>
      <c r="D2823" t="s">
        <v>133</v>
      </c>
      <c r="F2823">
        <v>-6543030</v>
      </c>
      <c r="G2823">
        <v>432500827</v>
      </c>
      <c r="H2823">
        <v>182601547</v>
      </c>
      <c r="I2823">
        <v>-207197083</v>
      </c>
      <c r="J2823">
        <v>-254678625</v>
      </c>
      <c r="K2823">
        <v>-91832072</v>
      </c>
      <c r="L2823">
        <v>31846991</v>
      </c>
      <c r="M2823">
        <v>133859601</v>
      </c>
      <c r="N2823">
        <v>17331982</v>
      </c>
      <c r="O2823">
        <v>91633638</v>
      </c>
      <c r="P2823">
        <v>79</v>
      </c>
      <c r="Q2823" t="s">
        <v>5690</v>
      </c>
    </row>
    <row r="2824" spans="1:17" x14ac:dyDescent="0.3">
      <c r="A2824" t="s">
        <v>4446</v>
      </c>
      <c r="B2824" t="str">
        <f>"002097"</f>
        <v>002097</v>
      </c>
      <c r="C2824" t="s">
        <v>5691</v>
      </c>
      <c r="D2824" t="s">
        <v>78</v>
      </c>
      <c r="F2824">
        <v>-897851059</v>
      </c>
      <c r="G2824">
        <v>1717133670</v>
      </c>
      <c r="H2824">
        <v>413787763</v>
      </c>
      <c r="I2824">
        <v>-243160606</v>
      </c>
      <c r="J2824">
        <v>-419219012</v>
      </c>
      <c r="K2824">
        <v>162213347</v>
      </c>
      <c r="L2824">
        <v>239578872</v>
      </c>
      <c r="M2824">
        <v>-48032748</v>
      </c>
      <c r="N2824">
        <v>-19321707</v>
      </c>
      <c r="O2824">
        <v>-248589132</v>
      </c>
      <c r="P2824">
        <v>217</v>
      </c>
      <c r="Q2824" t="s">
        <v>5692</v>
      </c>
    </row>
    <row r="2825" spans="1:17" x14ac:dyDescent="0.3">
      <c r="A2825" t="s">
        <v>4446</v>
      </c>
      <c r="B2825" t="str">
        <f>"002098"</f>
        <v>002098</v>
      </c>
      <c r="C2825" t="s">
        <v>5693</v>
      </c>
      <c r="D2825" t="s">
        <v>227</v>
      </c>
      <c r="F2825">
        <v>37107917</v>
      </c>
      <c r="G2825">
        <v>225962249</v>
      </c>
      <c r="H2825">
        <v>221867769</v>
      </c>
      <c r="I2825">
        <v>260477088</v>
      </c>
      <c r="J2825">
        <v>-42069256</v>
      </c>
      <c r="K2825">
        <v>58914388</v>
      </c>
      <c r="L2825">
        <v>74739084</v>
      </c>
      <c r="M2825">
        <v>45955455</v>
      </c>
      <c r="N2825">
        <v>107672188</v>
      </c>
      <c r="O2825">
        <v>119704370</v>
      </c>
      <c r="P2825">
        <v>111</v>
      </c>
      <c r="Q2825" t="s">
        <v>5694</v>
      </c>
    </row>
    <row r="2826" spans="1:17" x14ac:dyDescent="0.3">
      <c r="A2826" t="s">
        <v>4446</v>
      </c>
      <c r="B2826" t="str">
        <f>"002099"</f>
        <v>002099</v>
      </c>
      <c r="C2826" t="s">
        <v>5695</v>
      </c>
      <c r="D2826" t="s">
        <v>113</v>
      </c>
      <c r="F2826">
        <v>-117969731</v>
      </c>
      <c r="G2826">
        <v>463407809</v>
      </c>
      <c r="H2826">
        <v>456778458</v>
      </c>
      <c r="I2826">
        <v>540086758</v>
      </c>
      <c r="J2826">
        <v>-42433485</v>
      </c>
      <c r="K2826">
        <v>509580804</v>
      </c>
      <c r="L2826">
        <v>166108208</v>
      </c>
      <c r="M2826">
        <v>23891313</v>
      </c>
      <c r="N2826">
        <v>-193839065</v>
      </c>
      <c r="O2826">
        <v>-236394340</v>
      </c>
      <c r="P2826">
        <v>298</v>
      </c>
      <c r="Q2826" t="s">
        <v>5696</v>
      </c>
    </row>
    <row r="2827" spans="1:17" x14ac:dyDescent="0.3">
      <c r="A2827" t="s">
        <v>4446</v>
      </c>
      <c r="B2827" t="str">
        <f>"002100"</f>
        <v>002100</v>
      </c>
      <c r="C2827" t="s">
        <v>5697</v>
      </c>
      <c r="D2827" t="s">
        <v>205</v>
      </c>
      <c r="F2827">
        <v>-216018016</v>
      </c>
      <c r="G2827">
        <v>-1530599644</v>
      </c>
      <c r="H2827">
        <v>-1043036877</v>
      </c>
      <c r="I2827">
        <v>-1753774602</v>
      </c>
      <c r="J2827">
        <v>97685151</v>
      </c>
      <c r="K2827">
        <v>38393614</v>
      </c>
      <c r="L2827">
        <v>313873519</v>
      </c>
      <c r="M2827">
        <v>325462509</v>
      </c>
      <c r="N2827">
        <v>-64917798</v>
      </c>
      <c r="O2827">
        <v>143055977</v>
      </c>
      <c r="P2827">
        <v>737</v>
      </c>
      <c r="Q2827" t="s">
        <v>5698</v>
      </c>
    </row>
    <row r="2828" spans="1:17" x14ac:dyDescent="0.3">
      <c r="A2828" t="s">
        <v>4446</v>
      </c>
      <c r="B2828" t="str">
        <f>"002101"</f>
        <v>002101</v>
      </c>
      <c r="C2828" t="s">
        <v>5699</v>
      </c>
      <c r="D2828" t="s">
        <v>27</v>
      </c>
      <c r="F2828">
        <v>227839206</v>
      </c>
      <c r="G2828">
        <v>720373731</v>
      </c>
      <c r="H2828">
        <v>340112554</v>
      </c>
      <c r="I2828">
        <v>-72469397</v>
      </c>
      <c r="J2828">
        <v>219447275</v>
      </c>
      <c r="K2828">
        <v>-92834491</v>
      </c>
      <c r="L2828">
        <v>-91317284</v>
      </c>
      <c r="M2828">
        <v>-51460581</v>
      </c>
      <c r="N2828">
        <v>-127961858</v>
      </c>
      <c r="O2828">
        <v>-143002821</v>
      </c>
      <c r="P2828">
        <v>267</v>
      </c>
      <c r="Q2828" t="s">
        <v>5700</v>
      </c>
    </row>
    <row r="2829" spans="1:17" x14ac:dyDescent="0.3">
      <c r="A2829" t="s">
        <v>4446</v>
      </c>
      <c r="B2829" t="str">
        <f>"002102"</f>
        <v>002102</v>
      </c>
      <c r="C2829" t="s">
        <v>5701</v>
      </c>
      <c r="D2829" t="s">
        <v>113</v>
      </c>
      <c r="F2829">
        <v>75393984</v>
      </c>
      <c r="G2829">
        <v>812519711</v>
      </c>
      <c r="H2829">
        <v>743562063</v>
      </c>
      <c r="I2829">
        <v>28748068</v>
      </c>
      <c r="J2829">
        <v>-47489209</v>
      </c>
      <c r="K2829">
        <v>-322659403</v>
      </c>
      <c r="L2829">
        <v>-63007102</v>
      </c>
      <c r="M2829">
        <v>-186958394</v>
      </c>
      <c r="N2829">
        <v>11888696</v>
      </c>
      <c r="O2829">
        <v>-44091055</v>
      </c>
      <c r="P2829">
        <v>119</v>
      </c>
      <c r="Q2829" t="s">
        <v>5702</v>
      </c>
    </row>
    <row r="2830" spans="1:17" x14ac:dyDescent="0.3">
      <c r="A2830" t="s">
        <v>4446</v>
      </c>
      <c r="B2830" t="str">
        <f>"002103"</f>
        <v>002103</v>
      </c>
      <c r="C2830" t="s">
        <v>5703</v>
      </c>
      <c r="D2830" t="s">
        <v>89</v>
      </c>
      <c r="F2830">
        <v>-6056720</v>
      </c>
      <c r="G2830">
        <v>-52616284</v>
      </c>
      <c r="H2830">
        <v>59013426</v>
      </c>
      <c r="I2830">
        <v>149855948</v>
      </c>
      <c r="J2830">
        <v>54999041</v>
      </c>
      <c r="K2830">
        <v>192859296</v>
      </c>
      <c r="L2830">
        <v>-30774522</v>
      </c>
      <c r="M2830">
        <v>-20151229</v>
      </c>
      <c r="N2830">
        <v>31508292</v>
      </c>
      <c r="O2830">
        <v>26072481</v>
      </c>
      <c r="P2830">
        <v>108</v>
      </c>
      <c r="Q2830" t="s">
        <v>5704</v>
      </c>
    </row>
    <row r="2831" spans="1:17" x14ac:dyDescent="0.3">
      <c r="A2831" t="s">
        <v>4446</v>
      </c>
      <c r="B2831" t="str">
        <f>"002104"</f>
        <v>002104</v>
      </c>
      <c r="C2831" t="s">
        <v>5705</v>
      </c>
      <c r="D2831" t="s">
        <v>100</v>
      </c>
      <c r="F2831">
        <v>38028664</v>
      </c>
      <c r="G2831">
        <v>346040581</v>
      </c>
      <c r="H2831">
        <v>-90989546</v>
      </c>
      <c r="I2831">
        <v>718096410</v>
      </c>
      <c r="J2831">
        <v>-438659414</v>
      </c>
      <c r="K2831">
        <v>257478341</v>
      </c>
      <c r="L2831">
        <v>143107535</v>
      </c>
      <c r="M2831">
        <v>398418241</v>
      </c>
      <c r="N2831">
        <v>61833722</v>
      </c>
      <c r="O2831">
        <v>204311747</v>
      </c>
      <c r="P2831">
        <v>416</v>
      </c>
      <c r="Q2831" t="s">
        <v>5706</v>
      </c>
    </row>
    <row r="2832" spans="1:17" x14ac:dyDescent="0.3">
      <c r="A2832" t="s">
        <v>4446</v>
      </c>
      <c r="B2832" t="str">
        <f>"002105"</f>
        <v>002105</v>
      </c>
      <c r="C2832" t="s">
        <v>5707</v>
      </c>
      <c r="D2832" t="s">
        <v>27</v>
      </c>
      <c r="F2832">
        <v>104736114</v>
      </c>
      <c r="G2832">
        <v>205237299</v>
      </c>
      <c r="H2832">
        <v>221785994</v>
      </c>
      <c r="I2832">
        <v>51147838</v>
      </c>
      <c r="J2832">
        <v>-25455553</v>
      </c>
      <c r="K2832">
        <v>51533581</v>
      </c>
      <c r="L2832">
        <v>51530859</v>
      </c>
      <c r="M2832">
        <v>14097006</v>
      </c>
      <c r="N2832">
        <v>25715718</v>
      </c>
      <c r="O2832">
        <v>41386352</v>
      </c>
      <c r="P2832">
        <v>217</v>
      </c>
      <c r="Q2832" t="s">
        <v>5708</v>
      </c>
    </row>
    <row r="2833" spans="1:17" x14ac:dyDescent="0.3">
      <c r="A2833" t="s">
        <v>4446</v>
      </c>
      <c r="B2833" t="str">
        <f>"002106"</f>
        <v>002106</v>
      </c>
      <c r="C2833" t="s">
        <v>5709</v>
      </c>
      <c r="D2833" t="s">
        <v>150</v>
      </c>
      <c r="F2833">
        <v>461087619</v>
      </c>
      <c r="G2833">
        <v>189692771</v>
      </c>
      <c r="H2833">
        <v>501466671</v>
      </c>
      <c r="I2833">
        <v>182816325</v>
      </c>
      <c r="J2833">
        <v>286167323</v>
      </c>
      <c r="K2833">
        <v>124800706</v>
      </c>
      <c r="L2833">
        <v>-22775128</v>
      </c>
      <c r="M2833">
        <v>-505550692</v>
      </c>
      <c r="N2833">
        <v>-584147705</v>
      </c>
      <c r="O2833">
        <v>-152654664</v>
      </c>
      <c r="P2833">
        <v>296</v>
      </c>
      <c r="Q2833" t="s">
        <v>5710</v>
      </c>
    </row>
    <row r="2834" spans="1:17" x14ac:dyDescent="0.3">
      <c r="A2834" t="s">
        <v>4446</v>
      </c>
      <c r="B2834" t="str">
        <f>"002107"</f>
        <v>002107</v>
      </c>
      <c r="C2834" t="s">
        <v>5711</v>
      </c>
      <c r="D2834" t="s">
        <v>113</v>
      </c>
      <c r="F2834">
        <v>181043066</v>
      </c>
      <c r="G2834">
        <v>142529247</v>
      </c>
      <c r="H2834">
        <v>-510867</v>
      </c>
      <c r="I2834">
        <v>45827447</v>
      </c>
      <c r="J2834">
        <v>108844693</v>
      </c>
      <c r="K2834">
        <v>48277398</v>
      </c>
      <c r="L2834">
        <v>123487302</v>
      </c>
      <c r="M2834">
        <v>23252063</v>
      </c>
      <c r="N2834">
        <v>910672</v>
      </c>
      <c r="O2834">
        <v>7206499</v>
      </c>
      <c r="P2834">
        <v>351</v>
      </c>
      <c r="Q2834" t="s">
        <v>5712</v>
      </c>
    </row>
    <row r="2835" spans="1:17" x14ac:dyDescent="0.3">
      <c r="A2835" t="s">
        <v>4446</v>
      </c>
      <c r="B2835" t="str">
        <f>"002108"</f>
        <v>002108</v>
      </c>
      <c r="C2835" t="s">
        <v>5713</v>
      </c>
      <c r="D2835" t="s">
        <v>133</v>
      </c>
      <c r="F2835">
        <v>146201291</v>
      </c>
      <c r="G2835">
        <v>214065641</v>
      </c>
      <c r="H2835">
        <v>154738848</v>
      </c>
      <c r="I2835">
        <v>11705897</v>
      </c>
      <c r="J2835">
        <v>163636261</v>
      </c>
      <c r="K2835">
        <v>-191555098</v>
      </c>
      <c r="L2835">
        <v>-94432156</v>
      </c>
      <c r="M2835">
        <v>75419170</v>
      </c>
      <c r="N2835">
        <v>-128992131</v>
      </c>
      <c r="O2835">
        <v>-132614797</v>
      </c>
      <c r="P2835">
        <v>345</v>
      </c>
      <c r="Q2835" t="s">
        <v>5714</v>
      </c>
    </row>
    <row r="2836" spans="1:17" x14ac:dyDescent="0.3">
      <c r="A2836" t="s">
        <v>4446</v>
      </c>
      <c r="B2836" t="str">
        <f>"002109"</f>
        <v>002109</v>
      </c>
      <c r="C2836" t="s">
        <v>5715</v>
      </c>
      <c r="D2836" t="s">
        <v>133</v>
      </c>
      <c r="F2836">
        <v>670536044</v>
      </c>
      <c r="G2836">
        <v>601508132</v>
      </c>
      <c r="H2836">
        <v>319754571</v>
      </c>
      <c r="I2836">
        <v>473031311</v>
      </c>
      <c r="J2836">
        <v>482003097</v>
      </c>
      <c r="K2836">
        <v>198594601</v>
      </c>
      <c r="L2836">
        <v>-6767587</v>
      </c>
      <c r="M2836">
        <v>-208216078</v>
      </c>
      <c r="N2836">
        <v>-10757737</v>
      </c>
      <c r="O2836">
        <v>22961712</v>
      </c>
      <c r="P2836">
        <v>138</v>
      </c>
      <c r="Q2836" t="s">
        <v>5716</v>
      </c>
    </row>
    <row r="2837" spans="1:17" x14ac:dyDescent="0.3">
      <c r="A2837" t="s">
        <v>4446</v>
      </c>
      <c r="B2837" t="str">
        <f>"002110"</f>
        <v>002110</v>
      </c>
      <c r="C2837" t="s">
        <v>5717</v>
      </c>
      <c r="D2837" t="s">
        <v>38</v>
      </c>
      <c r="F2837">
        <v>-1293974305</v>
      </c>
      <c r="G2837">
        <v>2280219302</v>
      </c>
      <c r="H2837">
        <v>492189071</v>
      </c>
      <c r="I2837">
        <v>4077781358</v>
      </c>
      <c r="J2837">
        <v>2214132054</v>
      </c>
      <c r="K2837">
        <v>459328200</v>
      </c>
      <c r="L2837">
        <v>165345704</v>
      </c>
      <c r="M2837">
        <v>1271046901</v>
      </c>
      <c r="N2837">
        <v>173780141</v>
      </c>
      <c r="O2837">
        <v>-202934860</v>
      </c>
      <c r="P2837">
        <v>1174</v>
      </c>
      <c r="Q2837" t="s">
        <v>5718</v>
      </c>
    </row>
    <row r="2838" spans="1:17" x14ac:dyDescent="0.3">
      <c r="A2838" t="s">
        <v>4446</v>
      </c>
      <c r="B2838" t="str">
        <f>"002111"</f>
        <v>002111</v>
      </c>
      <c r="C2838" t="s">
        <v>5719</v>
      </c>
      <c r="D2838" t="s">
        <v>78</v>
      </c>
      <c r="F2838">
        <v>-599259379</v>
      </c>
      <c r="G2838">
        <v>736408739</v>
      </c>
      <c r="H2838">
        <v>546435049</v>
      </c>
      <c r="I2838">
        <v>27649358</v>
      </c>
      <c r="J2838">
        <v>-49713672</v>
      </c>
      <c r="K2838">
        <v>-75734990</v>
      </c>
      <c r="L2838">
        <v>34273390</v>
      </c>
      <c r="M2838">
        <v>8016681</v>
      </c>
      <c r="N2838">
        <v>-97166158</v>
      </c>
      <c r="O2838">
        <v>-94505996</v>
      </c>
      <c r="P2838">
        <v>214</v>
      </c>
      <c r="Q2838" t="s">
        <v>5720</v>
      </c>
    </row>
    <row r="2839" spans="1:17" x14ac:dyDescent="0.3">
      <c r="A2839" t="s">
        <v>4446</v>
      </c>
      <c r="B2839" t="str">
        <f>"002112"</f>
        <v>002112</v>
      </c>
      <c r="C2839" t="s">
        <v>5721</v>
      </c>
      <c r="D2839" t="s">
        <v>188</v>
      </c>
      <c r="F2839">
        <v>-37901348</v>
      </c>
      <c r="G2839">
        <v>-65179951</v>
      </c>
      <c r="H2839">
        <v>-45110625</v>
      </c>
      <c r="I2839">
        <v>79691069</v>
      </c>
      <c r="J2839">
        <v>40339797</v>
      </c>
      <c r="K2839">
        <v>66179443</v>
      </c>
      <c r="L2839">
        <v>-25577571</v>
      </c>
      <c r="M2839">
        <v>66639245</v>
      </c>
      <c r="N2839">
        <v>21562961</v>
      </c>
      <c r="O2839">
        <v>129071980</v>
      </c>
      <c r="P2839">
        <v>76</v>
      </c>
      <c r="Q2839" t="s">
        <v>5722</v>
      </c>
    </row>
    <row r="2840" spans="1:17" x14ac:dyDescent="0.3">
      <c r="A2840" t="s">
        <v>4446</v>
      </c>
      <c r="B2840" t="str">
        <f>"002113"</f>
        <v>002113</v>
      </c>
      <c r="C2840" t="s">
        <v>5723</v>
      </c>
      <c r="D2840" t="s">
        <v>89</v>
      </c>
      <c r="F2840">
        <v>101969781</v>
      </c>
      <c r="G2840">
        <v>-17515361</v>
      </c>
      <c r="H2840">
        <v>66218856</v>
      </c>
      <c r="I2840">
        <v>-270495400</v>
      </c>
      <c r="J2840">
        <v>-3531940</v>
      </c>
      <c r="K2840">
        <v>5803498</v>
      </c>
      <c r="L2840">
        <v>-441694</v>
      </c>
      <c r="M2840">
        <v>5310187</v>
      </c>
      <c r="N2840">
        <v>-7752093</v>
      </c>
      <c r="O2840">
        <v>26085614</v>
      </c>
      <c r="P2840">
        <v>77</v>
      </c>
      <c r="Q2840" t="s">
        <v>5724</v>
      </c>
    </row>
    <row r="2841" spans="1:17" x14ac:dyDescent="0.3">
      <c r="A2841" t="s">
        <v>4446</v>
      </c>
      <c r="B2841" t="str">
        <f>"002114"</f>
        <v>002114</v>
      </c>
      <c r="C2841" t="s">
        <v>5725</v>
      </c>
      <c r="D2841" t="s">
        <v>234</v>
      </c>
      <c r="F2841">
        <v>834756</v>
      </c>
      <c r="G2841">
        <v>-45433497</v>
      </c>
      <c r="H2841">
        <v>261589454</v>
      </c>
      <c r="I2841">
        <v>127550722</v>
      </c>
      <c r="J2841">
        <v>-128326738</v>
      </c>
      <c r="K2841">
        <v>64969391</v>
      </c>
      <c r="L2841">
        <v>-82545059</v>
      </c>
      <c r="M2841">
        <v>7212047</v>
      </c>
      <c r="N2841">
        <v>96010195</v>
      </c>
      <c r="O2841">
        <v>281330614</v>
      </c>
      <c r="P2841">
        <v>73</v>
      </c>
      <c r="Q2841" t="s">
        <v>5726</v>
      </c>
    </row>
    <row r="2842" spans="1:17" x14ac:dyDescent="0.3">
      <c r="A2842" t="s">
        <v>4446</v>
      </c>
      <c r="B2842" t="str">
        <f>"002115"</f>
        <v>002115</v>
      </c>
      <c r="C2842" t="s">
        <v>5727</v>
      </c>
      <c r="D2842" t="s">
        <v>100</v>
      </c>
      <c r="F2842">
        <v>-202517804</v>
      </c>
      <c r="G2842">
        <v>611906120</v>
      </c>
      <c r="H2842">
        <v>456256780</v>
      </c>
      <c r="I2842">
        <v>-491494040</v>
      </c>
      <c r="J2842">
        <v>-205381675</v>
      </c>
      <c r="K2842">
        <v>2410867</v>
      </c>
      <c r="L2842">
        <v>79464299</v>
      </c>
      <c r="M2842">
        <v>6758967</v>
      </c>
      <c r="N2842">
        <v>-6216664</v>
      </c>
      <c r="O2842">
        <v>37733794</v>
      </c>
      <c r="P2842">
        <v>239</v>
      </c>
      <c r="Q2842" t="s">
        <v>5728</v>
      </c>
    </row>
    <row r="2843" spans="1:17" x14ac:dyDescent="0.3">
      <c r="A2843" t="s">
        <v>4446</v>
      </c>
      <c r="B2843" t="str">
        <f>"002116"</f>
        <v>002116</v>
      </c>
      <c r="C2843" t="s">
        <v>5729</v>
      </c>
      <c r="D2843" t="s">
        <v>95</v>
      </c>
      <c r="F2843">
        <v>391194893</v>
      </c>
      <c r="G2843">
        <v>444351876</v>
      </c>
      <c r="H2843">
        <v>316989492</v>
      </c>
      <c r="I2843">
        <v>-49682406</v>
      </c>
      <c r="J2843">
        <v>-18468301</v>
      </c>
      <c r="K2843">
        <v>400390589</v>
      </c>
      <c r="L2843">
        <v>458571425</v>
      </c>
      <c r="M2843">
        <v>58882509</v>
      </c>
      <c r="N2843">
        <v>296217893</v>
      </c>
      <c r="O2843">
        <v>22770</v>
      </c>
      <c r="P2843">
        <v>176</v>
      </c>
      <c r="Q2843" t="s">
        <v>5730</v>
      </c>
    </row>
    <row r="2844" spans="1:17" x14ac:dyDescent="0.3">
      <c r="A2844" t="s">
        <v>4446</v>
      </c>
      <c r="B2844" t="str">
        <f>"002117"</f>
        <v>002117</v>
      </c>
      <c r="C2844" t="s">
        <v>5731</v>
      </c>
      <c r="D2844" t="s">
        <v>161</v>
      </c>
      <c r="F2844">
        <v>148249715</v>
      </c>
      <c r="G2844">
        <v>228500068</v>
      </c>
      <c r="H2844">
        <v>333652397</v>
      </c>
      <c r="I2844">
        <v>185578175</v>
      </c>
      <c r="J2844">
        <v>167055416</v>
      </c>
      <c r="K2844">
        <v>127004204</v>
      </c>
      <c r="L2844">
        <v>169475123</v>
      </c>
      <c r="M2844">
        <v>218568516</v>
      </c>
      <c r="N2844">
        <v>179124629</v>
      </c>
      <c r="O2844">
        <v>132140039</v>
      </c>
      <c r="P2844">
        <v>392</v>
      </c>
      <c r="Q2844" t="s">
        <v>5732</v>
      </c>
    </row>
    <row r="2845" spans="1:17" x14ac:dyDescent="0.3">
      <c r="A2845" t="s">
        <v>4446</v>
      </c>
      <c r="B2845" t="str">
        <f>"002118"</f>
        <v>002118</v>
      </c>
      <c r="C2845" t="s">
        <v>5733</v>
      </c>
      <c r="D2845" t="s">
        <v>113</v>
      </c>
      <c r="G2845">
        <v>-41713199</v>
      </c>
      <c r="H2845">
        <v>-702005361</v>
      </c>
      <c r="I2845">
        <v>-917656439</v>
      </c>
      <c r="J2845">
        <v>-1570336554</v>
      </c>
      <c r="K2845">
        <v>-871554030</v>
      </c>
      <c r="L2845">
        <v>-93817289</v>
      </c>
      <c r="M2845">
        <v>-60970815</v>
      </c>
      <c r="N2845">
        <v>-564728005</v>
      </c>
      <c r="O2845">
        <v>-385677569</v>
      </c>
      <c r="P2845">
        <v>226</v>
      </c>
      <c r="Q2845" t="s">
        <v>5734</v>
      </c>
    </row>
    <row r="2846" spans="1:17" x14ac:dyDescent="0.3">
      <c r="A2846" t="s">
        <v>4446</v>
      </c>
      <c r="B2846" t="str">
        <f>"002119"</f>
        <v>002119</v>
      </c>
      <c r="C2846" t="s">
        <v>5735</v>
      </c>
      <c r="D2846" t="s">
        <v>150</v>
      </c>
      <c r="F2846">
        <v>83363822</v>
      </c>
      <c r="G2846">
        <v>119833550</v>
      </c>
      <c r="H2846">
        <v>-36791399</v>
      </c>
      <c r="I2846">
        <v>125138994</v>
      </c>
      <c r="J2846">
        <v>-26724557</v>
      </c>
      <c r="K2846">
        <v>49315458</v>
      </c>
      <c r="L2846">
        <v>63430288</v>
      </c>
      <c r="M2846">
        <v>108349455</v>
      </c>
      <c r="N2846">
        <v>32719938</v>
      </c>
      <c r="O2846">
        <v>-111503191</v>
      </c>
      <c r="P2846">
        <v>214</v>
      </c>
      <c r="Q2846" t="s">
        <v>5736</v>
      </c>
    </row>
    <row r="2847" spans="1:17" x14ac:dyDescent="0.3">
      <c r="A2847" t="s">
        <v>4446</v>
      </c>
      <c r="B2847" t="str">
        <f>"002120"</f>
        <v>002120</v>
      </c>
      <c r="C2847" t="s">
        <v>5737</v>
      </c>
      <c r="D2847" t="s">
        <v>22</v>
      </c>
      <c r="F2847">
        <v>-5201690421</v>
      </c>
      <c r="G2847">
        <v>-3817386390</v>
      </c>
      <c r="H2847">
        <v>663059753</v>
      </c>
      <c r="I2847">
        <v>245729451</v>
      </c>
      <c r="J2847">
        <v>1582680485</v>
      </c>
      <c r="K2847">
        <v>289539090</v>
      </c>
      <c r="L2847">
        <v>86785409</v>
      </c>
      <c r="M2847">
        <v>55763843</v>
      </c>
      <c r="N2847">
        <v>71366554</v>
      </c>
      <c r="O2847">
        <v>159954508</v>
      </c>
      <c r="P2847">
        <v>1163</v>
      </c>
      <c r="Q2847" t="s">
        <v>5738</v>
      </c>
    </row>
    <row r="2848" spans="1:17" x14ac:dyDescent="0.3">
      <c r="A2848" t="s">
        <v>4446</v>
      </c>
      <c r="B2848" t="str">
        <f>"002121"</f>
        <v>002121</v>
      </c>
      <c r="C2848" t="s">
        <v>5739</v>
      </c>
      <c r="D2848" t="s">
        <v>188</v>
      </c>
      <c r="F2848">
        <v>-185785179</v>
      </c>
      <c r="G2848">
        <v>545961960</v>
      </c>
      <c r="H2848">
        <v>-227616167</v>
      </c>
      <c r="I2848">
        <v>-460825074</v>
      </c>
      <c r="J2848">
        <v>-1086235185</v>
      </c>
      <c r="K2848">
        <v>-1314584945</v>
      </c>
      <c r="L2848">
        <v>-1828491986</v>
      </c>
      <c r="M2848">
        <v>-616244687</v>
      </c>
      <c r="N2848">
        <v>-102980072</v>
      </c>
      <c r="O2848">
        <v>104589430</v>
      </c>
      <c r="P2848">
        <v>234</v>
      </c>
      <c r="Q2848" t="s">
        <v>5740</v>
      </c>
    </row>
    <row r="2849" spans="1:17" x14ac:dyDescent="0.3">
      <c r="A2849" t="s">
        <v>4446</v>
      </c>
      <c r="B2849" t="str">
        <f>"002122"</f>
        <v>002122</v>
      </c>
      <c r="C2849" t="s">
        <v>5741</v>
      </c>
      <c r="D2849" t="s">
        <v>78</v>
      </c>
      <c r="F2849">
        <v>46428766</v>
      </c>
      <c r="G2849">
        <v>221416100</v>
      </c>
      <c r="H2849">
        <v>-57240059</v>
      </c>
      <c r="I2849">
        <v>-108903029</v>
      </c>
      <c r="J2849">
        <v>-266370768</v>
      </c>
      <c r="K2849">
        <v>769065415</v>
      </c>
      <c r="L2849">
        <v>-68959230</v>
      </c>
      <c r="M2849">
        <v>41574039</v>
      </c>
      <c r="N2849">
        <v>-990302</v>
      </c>
      <c r="O2849">
        <v>92075179</v>
      </c>
      <c r="P2849">
        <v>69</v>
      </c>
      <c r="Q2849" t="s">
        <v>5742</v>
      </c>
    </row>
    <row r="2850" spans="1:17" x14ac:dyDescent="0.3">
      <c r="A2850" t="s">
        <v>4446</v>
      </c>
      <c r="B2850" t="str">
        <f>"002123"</f>
        <v>002123</v>
      </c>
      <c r="C2850" t="s">
        <v>5743</v>
      </c>
      <c r="D2850" t="s">
        <v>100</v>
      </c>
      <c r="F2850">
        <v>-709567772</v>
      </c>
      <c r="G2850">
        <v>257480117</v>
      </c>
      <c r="H2850">
        <v>112819219</v>
      </c>
      <c r="I2850">
        <v>212409536</v>
      </c>
      <c r="J2850">
        <v>201436731</v>
      </c>
      <c r="K2850">
        <v>16539700</v>
      </c>
      <c r="L2850">
        <v>153010591</v>
      </c>
      <c r="M2850">
        <v>-123874626</v>
      </c>
      <c r="N2850">
        <v>-206659202</v>
      </c>
      <c r="O2850">
        <v>-236050391</v>
      </c>
      <c r="P2850">
        <v>364</v>
      </c>
      <c r="Q2850" t="s">
        <v>5744</v>
      </c>
    </row>
    <row r="2851" spans="1:17" x14ac:dyDescent="0.3">
      <c r="A2851" t="s">
        <v>4446</v>
      </c>
      <c r="B2851" t="str">
        <f>"002124"</f>
        <v>002124</v>
      </c>
      <c r="C2851" t="s">
        <v>5745</v>
      </c>
      <c r="D2851" t="s">
        <v>205</v>
      </c>
      <c r="F2851">
        <v>-2863149821</v>
      </c>
      <c r="G2851">
        <v>-601288086</v>
      </c>
      <c r="H2851">
        <v>-700866690</v>
      </c>
      <c r="I2851">
        <v>-1493361698</v>
      </c>
      <c r="J2851">
        <v>-651989225</v>
      </c>
      <c r="K2851">
        <v>-138075515</v>
      </c>
      <c r="L2851">
        <v>121570522</v>
      </c>
      <c r="M2851">
        <v>-32160440</v>
      </c>
      <c r="N2851">
        <v>69939395</v>
      </c>
      <c r="O2851">
        <v>33563083</v>
      </c>
      <c r="P2851">
        <v>922</v>
      </c>
      <c r="Q2851" t="s">
        <v>5746</v>
      </c>
    </row>
    <row r="2852" spans="1:17" x14ac:dyDescent="0.3">
      <c r="A2852" t="s">
        <v>4446</v>
      </c>
      <c r="B2852" t="str">
        <f>"002125"</f>
        <v>002125</v>
      </c>
      <c r="C2852" t="s">
        <v>5747</v>
      </c>
      <c r="D2852" t="s">
        <v>133</v>
      </c>
      <c r="F2852">
        <v>-157167553</v>
      </c>
      <c r="G2852">
        <v>-186144331</v>
      </c>
      <c r="H2852">
        <v>-126804149</v>
      </c>
      <c r="I2852">
        <v>-290178195</v>
      </c>
      <c r="J2852">
        <v>-208471155</v>
      </c>
      <c r="K2852">
        <v>-137544561</v>
      </c>
      <c r="L2852">
        <v>-108497091</v>
      </c>
      <c r="M2852">
        <v>-216381414</v>
      </c>
      <c r="N2852">
        <v>4552548</v>
      </c>
      <c r="O2852">
        <v>-75231874</v>
      </c>
      <c r="P2852">
        <v>157</v>
      </c>
      <c r="Q2852" t="s">
        <v>5748</v>
      </c>
    </row>
    <row r="2853" spans="1:17" x14ac:dyDescent="0.3">
      <c r="A2853" t="s">
        <v>4446</v>
      </c>
      <c r="B2853" t="str">
        <f>"002126"</f>
        <v>002126</v>
      </c>
      <c r="C2853" t="s">
        <v>5749</v>
      </c>
      <c r="D2853" t="s">
        <v>27</v>
      </c>
      <c r="F2853">
        <v>-395460446</v>
      </c>
      <c r="G2853">
        <v>44828294</v>
      </c>
      <c r="H2853">
        <v>336043587</v>
      </c>
      <c r="I2853">
        <v>-190549803</v>
      </c>
      <c r="J2853">
        <v>-51162716</v>
      </c>
      <c r="K2853">
        <v>189174210</v>
      </c>
      <c r="L2853">
        <v>-51839924</v>
      </c>
      <c r="M2853">
        <v>-143780679</v>
      </c>
      <c r="N2853">
        <v>-63763735</v>
      </c>
      <c r="O2853">
        <v>21731981</v>
      </c>
      <c r="P2853">
        <v>450</v>
      </c>
      <c r="Q2853" t="s">
        <v>5750</v>
      </c>
    </row>
    <row r="2854" spans="1:17" x14ac:dyDescent="0.3">
      <c r="A2854" t="s">
        <v>4446</v>
      </c>
      <c r="B2854" t="str">
        <f>"002127"</f>
        <v>002127</v>
      </c>
      <c r="C2854" t="s">
        <v>5751</v>
      </c>
      <c r="D2854" t="s">
        <v>120</v>
      </c>
      <c r="F2854">
        <v>377570510</v>
      </c>
      <c r="G2854">
        <v>950736989</v>
      </c>
      <c r="H2854">
        <v>1240152112</v>
      </c>
      <c r="I2854">
        <v>550622652</v>
      </c>
      <c r="J2854">
        <v>535459946</v>
      </c>
      <c r="K2854">
        <v>455363981</v>
      </c>
      <c r="L2854">
        <v>34769409</v>
      </c>
      <c r="M2854">
        <v>-123592299</v>
      </c>
      <c r="N2854">
        <v>555903696</v>
      </c>
      <c r="O2854">
        <v>-791151339</v>
      </c>
      <c r="P2854">
        <v>1745</v>
      </c>
      <c r="Q2854" t="s">
        <v>5752</v>
      </c>
    </row>
    <row r="2855" spans="1:17" x14ac:dyDescent="0.3">
      <c r="A2855" t="s">
        <v>4446</v>
      </c>
      <c r="B2855" t="str">
        <f>"002128"</f>
        <v>002128</v>
      </c>
      <c r="C2855" t="s">
        <v>5753</v>
      </c>
      <c r="D2855" t="s">
        <v>257</v>
      </c>
      <c r="F2855">
        <v>2998082529</v>
      </c>
      <c r="G2855">
        <v>3504038592</v>
      </c>
      <c r="H2855">
        <v>954924314</v>
      </c>
      <c r="I2855">
        <v>-605319310</v>
      </c>
      <c r="J2855">
        <v>1728728186</v>
      </c>
      <c r="K2855">
        <v>718638567</v>
      </c>
      <c r="L2855">
        <v>1416277089</v>
      </c>
      <c r="M2855">
        <v>670170739</v>
      </c>
      <c r="N2855">
        <v>909512915</v>
      </c>
      <c r="O2855">
        <v>704605717</v>
      </c>
      <c r="P2855">
        <v>1050</v>
      </c>
      <c r="Q2855" t="s">
        <v>5754</v>
      </c>
    </row>
    <row r="2856" spans="1:17" x14ac:dyDescent="0.3">
      <c r="A2856" t="s">
        <v>4446</v>
      </c>
      <c r="B2856" t="str">
        <f>"002129"</f>
        <v>002129</v>
      </c>
      <c r="C2856" t="s">
        <v>5755</v>
      </c>
      <c r="D2856" t="s">
        <v>188</v>
      </c>
      <c r="F2856">
        <v>-1700794335</v>
      </c>
      <c r="G2856">
        <v>-748317628</v>
      </c>
      <c r="H2856">
        <v>-2114826475</v>
      </c>
      <c r="I2856">
        <v>-3555470401</v>
      </c>
      <c r="J2856">
        <v>-2832349073</v>
      </c>
      <c r="K2856">
        <v>-1273401176</v>
      </c>
      <c r="L2856">
        <v>-1190643680</v>
      </c>
      <c r="M2856">
        <v>-1624205461</v>
      </c>
      <c r="N2856">
        <v>-1115809764</v>
      </c>
      <c r="O2856">
        <v>-1580184379</v>
      </c>
      <c r="P2856">
        <v>1523</v>
      </c>
      <c r="Q2856" t="s">
        <v>5756</v>
      </c>
    </row>
    <row r="2857" spans="1:17" x14ac:dyDescent="0.3">
      <c r="A2857" t="s">
        <v>4446</v>
      </c>
      <c r="B2857" t="str">
        <f>"002130"</f>
        <v>002130</v>
      </c>
      <c r="C2857" t="s">
        <v>5757</v>
      </c>
      <c r="D2857" t="s">
        <v>150</v>
      </c>
      <c r="F2857">
        <v>318405029</v>
      </c>
      <c r="G2857">
        <v>469260454</v>
      </c>
      <c r="H2857">
        <v>394526553</v>
      </c>
      <c r="I2857">
        <v>316284914</v>
      </c>
      <c r="J2857">
        <v>-214165123</v>
      </c>
      <c r="K2857">
        <v>-775854135</v>
      </c>
      <c r="L2857">
        <v>-97271441</v>
      </c>
      <c r="M2857">
        <v>-66898260</v>
      </c>
      <c r="N2857">
        <v>8896792</v>
      </c>
      <c r="O2857">
        <v>-195660411</v>
      </c>
      <c r="P2857">
        <v>266</v>
      </c>
      <c r="Q2857" t="s">
        <v>5758</v>
      </c>
    </row>
    <row r="2858" spans="1:17" x14ac:dyDescent="0.3">
      <c r="A2858" t="s">
        <v>4446</v>
      </c>
      <c r="B2858" t="str">
        <f>"002131"</f>
        <v>002131</v>
      </c>
      <c r="C2858" t="s">
        <v>5759</v>
      </c>
      <c r="D2858" t="s">
        <v>89</v>
      </c>
      <c r="F2858">
        <v>-672980771</v>
      </c>
      <c r="G2858">
        <v>178204916</v>
      </c>
      <c r="H2858">
        <v>983481312</v>
      </c>
      <c r="I2858">
        <v>-408933980</v>
      </c>
      <c r="J2858">
        <v>-649098044</v>
      </c>
      <c r="K2858">
        <v>-431261348</v>
      </c>
      <c r="L2858">
        <v>45308255</v>
      </c>
      <c r="M2858">
        <v>-244720687</v>
      </c>
      <c r="N2858">
        <v>-163301038</v>
      </c>
      <c r="O2858">
        <v>-60594821</v>
      </c>
      <c r="P2858">
        <v>417</v>
      </c>
      <c r="Q2858" t="s">
        <v>5760</v>
      </c>
    </row>
    <row r="2859" spans="1:17" x14ac:dyDescent="0.3">
      <c r="A2859" t="s">
        <v>4446</v>
      </c>
      <c r="B2859" t="str">
        <f>"002132"</f>
        <v>002132</v>
      </c>
      <c r="C2859" t="s">
        <v>5761</v>
      </c>
      <c r="D2859" t="s">
        <v>78</v>
      </c>
      <c r="F2859">
        <v>-910933885</v>
      </c>
      <c r="G2859">
        <v>57911346</v>
      </c>
      <c r="H2859">
        <v>140910769</v>
      </c>
      <c r="I2859">
        <v>-109450392</v>
      </c>
      <c r="J2859">
        <v>-247403935</v>
      </c>
      <c r="K2859">
        <v>50426052</v>
      </c>
      <c r="L2859">
        <v>41614008</v>
      </c>
      <c r="M2859">
        <v>244346187</v>
      </c>
      <c r="N2859">
        <v>148177471</v>
      </c>
      <c r="O2859">
        <v>85806533</v>
      </c>
      <c r="P2859">
        <v>127</v>
      </c>
      <c r="Q2859" t="s">
        <v>5762</v>
      </c>
    </row>
    <row r="2860" spans="1:17" x14ac:dyDescent="0.3">
      <c r="A2860" t="s">
        <v>4446</v>
      </c>
      <c r="B2860" t="str">
        <f>"002133"</f>
        <v>002133</v>
      </c>
      <c r="C2860" t="s">
        <v>5763</v>
      </c>
      <c r="D2860" t="s">
        <v>30</v>
      </c>
      <c r="F2860">
        <v>-538412026</v>
      </c>
      <c r="G2860">
        <v>-941218593</v>
      </c>
      <c r="H2860">
        <v>966622240</v>
      </c>
      <c r="I2860">
        <v>-1153621134</v>
      </c>
      <c r="J2860">
        <v>500661790</v>
      </c>
      <c r="K2860">
        <v>1842941605</v>
      </c>
      <c r="L2860">
        <v>1513188952</v>
      </c>
      <c r="M2860">
        <v>419624228</v>
      </c>
      <c r="N2860">
        <v>-911360440</v>
      </c>
      <c r="O2860">
        <v>249387383</v>
      </c>
      <c r="P2860">
        <v>132</v>
      </c>
      <c r="Q2860" t="s">
        <v>5764</v>
      </c>
    </row>
    <row r="2861" spans="1:17" x14ac:dyDescent="0.3">
      <c r="A2861" t="s">
        <v>4446</v>
      </c>
      <c r="B2861" t="str">
        <f>"002134"</f>
        <v>002134</v>
      </c>
      <c r="C2861" t="s">
        <v>5765</v>
      </c>
      <c r="D2861" t="s">
        <v>150</v>
      </c>
      <c r="F2861">
        <v>66542581</v>
      </c>
      <c r="G2861">
        <v>3942328</v>
      </c>
      <c r="H2861">
        <v>5710340</v>
      </c>
      <c r="I2861">
        <v>4373449</v>
      </c>
      <c r="J2861">
        <v>22359868</v>
      </c>
      <c r="K2861">
        <v>-25174670</v>
      </c>
      <c r="L2861">
        <v>34321723</v>
      </c>
      <c r="M2861">
        <v>19702182</v>
      </c>
      <c r="N2861">
        <v>29332311</v>
      </c>
      <c r="O2861">
        <v>-70258581</v>
      </c>
      <c r="P2861">
        <v>119</v>
      </c>
      <c r="Q2861" t="s">
        <v>5766</v>
      </c>
    </row>
    <row r="2862" spans="1:17" x14ac:dyDescent="0.3">
      <c r="A2862" t="s">
        <v>4446</v>
      </c>
      <c r="B2862" t="str">
        <f>"002135"</f>
        <v>002135</v>
      </c>
      <c r="C2862" t="s">
        <v>5767</v>
      </c>
      <c r="D2862" t="s">
        <v>95</v>
      </c>
      <c r="F2862">
        <v>-769458585</v>
      </c>
      <c r="G2862">
        <v>-447886033</v>
      </c>
      <c r="H2862">
        <v>-199286778</v>
      </c>
      <c r="I2862">
        <v>-181178944</v>
      </c>
      <c r="J2862">
        <v>261852858</v>
      </c>
      <c r="K2862">
        <v>-49734050</v>
      </c>
      <c r="L2862">
        <v>-467695481</v>
      </c>
      <c r="M2862">
        <v>-172584916</v>
      </c>
      <c r="N2862">
        <v>-174411365</v>
      </c>
      <c r="O2862">
        <v>-853495939</v>
      </c>
      <c r="P2862">
        <v>164</v>
      </c>
      <c r="Q2862" t="s">
        <v>5768</v>
      </c>
    </row>
    <row r="2863" spans="1:17" x14ac:dyDescent="0.3">
      <c r="A2863" t="s">
        <v>4446</v>
      </c>
      <c r="B2863" t="str">
        <f>"002136"</f>
        <v>002136</v>
      </c>
      <c r="C2863" t="s">
        <v>5769</v>
      </c>
      <c r="D2863" t="s">
        <v>133</v>
      </c>
      <c r="F2863">
        <v>82295380</v>
      </c>
      <c r="G2863">
        <v>27583883</v>
      </c>
      <c r="H2863">
        <v>124427820</v>
      </c>
      <c r="I2863">
        <v>29713435</v>
      </c>
      <c r="J2863">
        <v>207234189</v>
      </c>
      <c r="K2863">
        <v>62722703</v>
      </c>
      <c r="L2863">
        <v>-19724220</v>
      </c>
      <c r="M2863">
        <v>35855913</v>
      </c>
      <c r="N2863">
        <v>-214372893</v>
      </c>
      <c r="O2863">
        <v>-200756615</v>
      </c>
      <c r="P2863">
        <v>131</v>
      </c>
      <c r="Q2863" t="s">
        <v>5770</v>
      </c>
    </row>
    <row r="2864" spans="1:17" x14ac:dyDescent="0.3">
      <c r="A2864" t="s">
        <v>4446</v>
      </c>
      <c r="B2864" t="str">
        <f>"002137"</f>
        <v>002137</v>
      </c>
      <c r="C2864" t="s">
        <v>5771</v>
      </c>
      <c r="D2864" t="s">
        <v>89</v>
      </c>
      <c r="F2864">
        <v>28986833</v>
      </c>
      <c r="G2864">
        <v>102717502</v>
      </c>
      <c r="H2864">
        <v>34000688</v>
      </c>
      <c r="I2864">
        <v>-721787</v>
      </c>
      <c r="J2864">
        <v>98938329</v>
      </c>
      <c r="K2864">
        <v>33773797</v>
      </c>
      <c r="L2864">
        <v>19795628</v>
      </c>
      <c r="M2864">
        <v>-4905188</v>
      </c>
      <c r="N2864">
        <v>-59653467</v>
      </c>
      <c r="O2864">
        <v>81858157</v>
      </c>
      <c r="P2864">
        <v>148</v>
      </c>
      <c r="Q2864" t="s">
        <v>5772</v>
      </c>
    </row>
    <row r="2865" spans="1:17" x14ac:dyDescent="0.3">
      <c r="A2865" t="s">
        <v>4446</v>
      </c>
      <c r="B2865" t="str">
        <f>"002138"</f>
        <v>002138</v>
      </c>
      <c r="C2865" t="s">
        <v>5773</v>
      </c>
      <c r="D2865" t="s">
        <v>150</v>
      </c>
      <c r="F2865">
        <v>-310160512</v>
      </c>
      <c r="G2865">
        <v>-337721310</v>
      </c>
      <c r="H2865">
        <v>-400080247</v>
      </c>
      <c r="I2865">
        <v>174239407</v>
      </c>
      <c r="J2865">
        <v>113165262</v>
      </c>
      <c r="K2865">
        <v>-234637344</v>
      </c>
      <c r="L2865">
        <v>-33966520</v>
      </c>
      <c r="M2865">
        <v>-251737491</v>
      </c>
      <c r="N2865">
        <v>-192287548</v>
      </c>
      <c r="O2865">
        <v>-10586006</v>
      </c>
      <c r="P2865">
        <v>1066</v>
      </c>
      <c r="Q2865" t="s">
        <v>5774</v>
      </c>
    </row>
    <row r="2866" spans="1:17" x14ac:dyDescent="0.3">
      <c r="A2866" t="s">
        <v>4446</v>
      </c>
      <c r="B2866" t="str">
        <f>"002139"</f>
        <v>002139</v>
      </c>
      <c r="C2866" t="s">
        <v>5775</v>
      </c>
      <c r="D2866" t="s">
        <v>150</v>
      </c>
      <c r="F2866">
        <v>-1071842066</v>
      </c>
      <c r="G2866">
        <v>75849445</v>
      </c>
      <c r="H2866">
        <v>-852519</v>
      </c>
      <c r="I2866">
        <v>-166111287</v>
      </c>
      <c r="J2866">
        <v>-103347209</v>
      </c>
      <c r="K2866">
        <v>-126355883</v>
      </c>
      <c r="L2866">
        <v>-109233018</v>
      </c>
      <c r="M2866">
        <v>40533384</v>
      </c>
      <c r="N2866">
        <v>50876938</v>
      </c>
      <c r="O2866">
        <v>41482219</v>
      </c>
      <c r="P2866">
        <v>920</v>
      </c>
      <c r="Q2866" t="s">
        <v>5776</v>
      </c>
    </row>
    <row r="2867" spans="1:17" x14ac:dyDescent="0.3">
      <c r="A2867" t="s">
        <v>4446</v>
      </c>
      <c r="B2867" t="str">
        <f>"002140"</f>
        <v>002140</v>
      </c>
      <c r="C2867" t="s">
        <v>5777</v>
      </c>
      <c r="D2867" t="s">
        <v>95</v>
      </c>
      <c r="F2867">
        <v>258877270</v>
      </c>
      <c r="G2867">
        <v>369815975</v>
      </c>
      <c r="H2867">
        <v>251570662</v>
      </c>
      <c r="I2867">
        <v>-565084196</v>
      </c>
      <c r="J2867">
        <v>-293169306</v>
      </c>
      <c r="K2867">
        <v>185372745</v>
      </c>
      <c r="L2867">
        <v>-130162819</v>
      </c>
      <c r="M2867">
        <v>380432006</v>
      </c>
      <c r="N2867">
        <v>80645755</v>
      </c>
      <c r="O2867">
        <v>282566047</v>
      </c>
      <c r="P2867">
        <v>131</v>
      </c>
      <c r="Q2867" t="s">
        <v>5778</v>
      </c>
    </row>
    <row r="2868" spans="1:17" x14ac:dyDescent="0.3">
      <c r="A2868" t="s">
        <v>4446</v>
      </c>
      <c r="B2868" t="str">
        <f>"002141"</f>
        <v>002141</v>
      </c>
      <c r="C2868" t="s">
        <v>5779</v>
      </c>
      <c r="D2868" t="s">
        <v>150</v>
      </c>
      <c r="F2868">
        <v>-54074829</v>
      </c>
      <c r="G2868">
        <v>-122602435</v>
      </c>
      <c r="H2868">
        <v>-63648954</v>
      </c>
      <c r="I2868">
        <v>-152379808</v>
      </c>
      <c r="J2868">
        <v>-47317887</v>
      </c>
      <c r="K2868">
        <v>-32481313</v>
      </c>
      <c r="L2868">
        <v>79941136</v>
      </c>
      <c r="M2868">
        <v>83170174</v>
      </c>
      <c r="N2868">
        <v>17231006</v>
      </c>
      <c r="O2868">
        <v>92698893</v>
      </c>
      <c r="P2868">
        <v>74</v>
      </c>
      <c r="Q2868" t="s">
        <v>5780</v>
      </c>
    </row>
    <row r="2869" spans="1:17" x14ac:dyDescent="0.3">
      <c r="A2869" t="s">
        <v>4446</v>
      </c>
      <c r="B2869" t="str">
        <f>"002142"</f>
        <v>002142</v>
      </c>
      <c r="C2869" t="s">
        <v>5781</v>
      </c>
      <c r="D2869" t="s">
        <v>19</v>
      </c>
      <c r="F2869">
        <v>-47067000000</v>
      </c>
      <c r="G2869">
        <v>59032000000</v>
      </c>
      <c r="H2869">
        <v>37748420000</v>
      </c>
      <c r="I2869">
        <v>-52269634000</v>
      </c>
      <c r="J2869">
        <v>17002809000</v>
      </c>
      <c r="K2869">
        <v>107945894000</v>
      </c>
      <c r="L2869">
        <v>18552562000</v>
      </c>
      <c r="M2869">
        <v>21640363000</v>
      </c>
      <c r="N2869">
        <v>37321638000</v>
      </c>
      <c r="O2869">
        <v>46969199000</v>
      </c>
      <c r="P2869">
        <v>59330</v>
      </c>
      <c r="Q2869" t="s">
        <v>5782</v>
      </c>
    </row>
    <row r="2870" spans="1:17" x14ac:dyDescent="0.3">
      <c r="A2870" t="s">
        <v>4446</v>
      </c>
      <c r="B2870" t="str">
        <f>"002143"</f>
        <v>002143</v>
      </c>
      <c r="C2870" t="s">
        <v>5783</v>
      </c>
      <c r="I2870">
        <v>-423179892</v>
      </c>
      <c r="J2870">
        <v>324178388</v>
      </c>
      <c r="K2870">
        <v>47417103</v>
      </c>
      <c r="L2870">
        <v>126906913</v>
      </c>
      <c r="M2870">
        <v>-227273345</v>
      </c>
      <c r="N2870">
        <v>172431176</v>
      </c>
      <c r="O2870">
        <v>-193264023</v>
      </c>
      <c r="P2870">
        <v>59</v>
      </c>
      <c r="Q2870" t="s">
        <v>5784</v>
      </c>
    </row>
    <row r="2871" spans="1:17" x14ac:dyDescent="0.3">
      <c r="A2871" t="s">
        <v>4446</v>
      </c>
      <c r="B2871" t="str">
        <f>"002144"</f>
        <v>002144</v>
      </c>
      <c r="C2871" t="s">
        <v>5785</v>
      </c>
      <c r="D2871" t="s">
        <v>227</v>
      </c>
      <c r="F2871">
        <v>-63298776</v>
      </c>
      <c r="G2871">
        <v>104066890</v>
      </c>
      <c r="H2871">
        <v>108424839</v>
      </c>
      <c r="I2871">
        <v>-2227807</v>
      </c>
      <c r="J2871">
        <v>112257594</v>
      </c>
      <c r="K2871">
        <v>107580463</v>
      </c>
      <c r="L2871">
        <v>3135902</v>
      </c>
      <c r="M2871">
        <v>-12978914</v>
      </c>
      <c r="N2871">
        <v>18801119</v>
      </c>
      <c r="O2871">
        <v>74882439</v>
      </c>
      <c r="P2871">
        <v>115</v>
      </c>
      <c r="Q2871" t="s">
        <v>5786</v>
      </c>
    </row>
    <row r="2872" spans="1:17" x14ac:dyDescent="0.3">
      <c r="A2872" t="s">
        <v>4446</v>
      </c>
      <c r="B2872" t="str">
        <f>"002145"</f>
        <v>002145</v>
      </c>
      <c r="C2872" t="s">
        <v>5787</v>
      </c>
      <c r="D2872" t="s">
        <v>133</v>
      </c>
      <c r="F2872">
        <v>957119317</v>
      </c>
      <c r="G2872">
        <v>687869887</v>
      </c>
      <c r="H2872">
        <v>334960874</v>
      </c>
      <c r="I2872">
        <v>105374963</v>
      </c>
      <c r="J2872">
        <v>135430096</v>
      </c>
      <c r="K2872">
        <v>89471652</v>
      </c>
      <c r="L2872">
        <v>-780566508</v>
      </c>
      <c r="M2872">
        <v>-235704484</v>
      </c>
      <c r="N2872">
        <v>-270264936</v>
      </c>
      <c r="O2872">
        <v>-80021633</v>
      </c>
      <c r="P2872">
        <v>283</v>
      </c>
      <c r="Q2872" t="s">
        <v>5788</v>
      </c>
    </row>
    <row r="2873" spans="1:17" x14ac:dyDescent="0.3">
      <c r="A2873" t="s">
        <v>4446</v>
      </c>
      <c r="B2873" t="str">
        <f>"002146"</f>
        <v>002146</v>
      </c>
      <c r="C2873" t="s">
        <v>5789</v>
      </c>
      <c r="D2873" t="s">
        <v>30</v>
      </c>
      <c r="F2873">
        <v>15984405460</v>
      </c>
      <c r="G2873">
        <v>1065656439</v>
      </c>
      <c r="H2873">
        <v>1484928025</v>
      </c>
      <c r="I2873">
        <v>16010710389</v>
      </c>
      <c r="J2873">
        <v>1845732948</v>
      </c>
      <c r="K2873">
        <v>-3779777826</v>
      </c>
      <c r="L2873">
        <v>-2549862418</v>
      </c>
      <c r="M2873">
        <v>-1779707415</v>
      </c>
      <c r="N2873">
        <v>-4887033177</v>
      </c>
      <c r="O2873">
        <v>-1381940392</v>
      </c>
      <c r="P2873">
        <v>12586</v>
      </c>
      <c r="Q2873" t="s">
        <v>5790</v>
      </c>
    </row>
    <row r="2874" spans="1:17" x14ac:dyDescent="0.3">
      <c r="A2874" t="s">
        <v>4446</v>
      </c>
      <c r="B2874" t="str">
        <f>"002147"</f>
        <v>002147</v>
      </c>
      <c r="C2874" t="s">
        <v>5791</v>
      </c>
      <c r="D2874" t="s">
        <v>78</v>
      </c>
      <c r="F2874">
        <v>532079430</v>
      </c>
      <c r="G2874">
        <v>183924200</v>
      </c>
      <c r="H2874">
        <v>23960219</v>
      </c>
      <c r="I2874">
        <v>16025252</v>
      </c>
      <c r="J2874">
        <v>-2196628413</v>
      </c>
      <c r="K2874">
        <v>100184182</v>
      </c>
      <c r="L2874">
        <v>-9876539</v>
      </c>
      <c r="M2874">
        <v>26241582</v>
      </c>
      <c r="N2874">
        <v>-45613927</v>
      </c>
      <c r="O2874">
        <v>-77618885</v>
      </c>
      <c r="P2874">
        <v>94</v>
      </c>
      <c r="Q2874" t="s">
        <v>5792</v>
      </c>
    </row>
    <row r="2875" spans="1:17" x14ac:dyDescent="0.3">
      <c r="A2875" t="s">
        <v>4446</v>
      </c>
      <c r="B2875" t="str">
        <f>"002148"</f>
        <v>002148</v>
      </c>
      <c r="C2875" t="s">
        <v>5793</v>
      </c>
      <c r="D2875" t="s">
        <v>100</v>
      </c>
      <c r="F2875">
        <v>27062551</v>
      </c>
      <c r="G2875">
        <v>7043840</v>
      </c>
      <c r="H2875">
        <v>-5631220</v>
      </c>
      <c r="I2875">
        <v>24214461</v>
      </c>
      <c r="J2875">
        <v>163280436</v>
      </c>
      <c r="K2875">
        <v>41894560</v>
      </c>
      <c r="L2875">
        <v>-101081547</v>
      </c>
      <c r="M2875">
        <v>-170837068</v>
      </c>
      <c r="N2875">
        <v>-61691941</v>
      </c>
      <c r="O2875">
        <v>-48490404</v>
      </c>
      <c r="P2875">
        <v>103</v>
      </c>
      <c r="Q2875" t="s">
        <v>5794</v>
      </c>
    </row>
    <row r="2876" spans="1:17" x14ac:dyDescent="0.3">
      <c r="A2876" t="s">
        <v>4446</v>
      </c>
      <c r="B2876" t="str">
        <f>"002149"</f>
        <v>002149</v>
      </c>
      <c r="C2876" t="s">
        <v>5795</v>
      </c>
      <c r="D2876" t="s">
        <v>234</v>
      </c>
      <c r="F2876">
        <v>-266636814</v>
      </c>
      <c r="G2876">
        <v>-341638246</v>
      </c>
      <c r="H2876">
        <v>83575599</v>
      </c>
      <c r="I2876">
        <v>45446911</v>
      </c>
      <c r="J2876">
        <v>-330385396</v>
      </c>
      <c r="K2876">
        <v>-149343450</v>
      </c>
      <c r="L2876">
        <v>-113303261</v>
      </c>
      <c r="M2876">
        <v>6544964</v>
      </c>
      <c r="N2876">
        <v>10056775</v>
      </c>
      <c r="O2876">
        <v>157221346</v>
      </c>
      <c r="P2876">
        <v>259</v>
      </c>
      <c r="Q2876" t="s">
        <v>5796</v>
      </c>
    </row>
    <row r="2877" spans="1:17" x14ac:dyDescent="0.3">
      <c r="A2877" t="s">
        <v>4446</v>
      </c>
      <c r="B2877" t="str">
        <f>"002150"</f>
        <v>002150</v>
      </c>
      <c r="C2877" t="s">
        <v>5797</v>
      </c>
      <c r="D2877" t="s">
        <v>78</v>
      </c>
      <c r="F2877">
        <v>-119870606</v>
      </c>
      <c r="G2877">
        <v>115906056</v>
      </c>
      <c r="H2877">
        <v>156876330</v>
      </c>
      <c r="I2877">
        <v>61627717</v>
      </c>
      <c r="J2877">
        <v>34720574</v>
      </c>
      <c r="K2877">
        <v>144555686</v>
      </c>
      <c r="L2877">
        <v>106888153</v>
      </c>
      <c r="M2877">
        <v>75672905</v>
      </c>
      <c r="N2877">
        <v>17899589</v>
      </c>
      <c r="O2877">
        <v>61913896</v>
      </c>
      <c r="P2877">
        <v>103</v>
      </c>
      <c r="Q2877" t="s">
        <v>5798</v>
      </c>
    </row>
    <row r="2878" spans="1:17" x14ac:dyDescent="0.3">
      <c r="A2878" t="s">
        <v>4446</v>
      </c>
      <c r="B2878" t="str">
        <f>"002151"</f>
        <v>002151</v>
      </c>
      <c r="C2878" t="s">
        <v>5799</v>
      </c>
      <c r="D2878" t="s">
        <v>92</v>
      </c>
      <c r="F2878">
        <v>-127507875</v>
      </c>
      <c r="G2878">
        <v>111229388</v>
      </c>
      <c r="H2878">
        <v>-75572127</v>
      </c>
      <c r="I2878">
        <v>21603777</v>
      </c>
      <c r="J2878">
        <v>-279931978</v>
      </c>
      <c r="K2878">
        <v>-152396256</v>
      </c>
      <c r="L2878">
        <v>6793539</v>
      </c>
      <c r="M2878">
        <v>-40960297</v>
      </c>
      <c r="N2878">
        <v>-304319</v>
      </c>
      <c r="O2878">
        <v>-40144026</v>
      </c>
      <c r="P2878">
        <v>3423</v>
      </c>
      <c r="Q2878" t="s">
        <v>5800</v>
      </c>
    </row>
    <row r="2879" spans="1:17" x14ac:dyDescent="0.3">
      <c r="A2879" t="s">
        <v>4446</v>
      </c>
      <c r="B2879" t="str">
        <f>"002152"</f>
        <v>002152</v>
      </c>
      <c r="C2879" t="s">
        <v>5801</v>
      </c>
      <c r="D2879" t="s">
        <v>212</v>
      </c>
      <c r="F2879">
        <v>1333833170</v>
      </c>
      <c r="G2879">
        <v>539825119</v>
      </c>
      <c r="H2879">
        <v>679908800</v>
      </c>
      <c r="I2879">
        <v>822312243</v>
      </c>
      <c r="J2879">
        <v>505230769</v>
      </c>
      <c r="K2879">
        <v>934437185</v>
      </c>
      <c r="L2879">
        <v>689919635</v>
      </c>
      <c r="M2879">
        <v>1013104483</v>
      </c>
      <c r="N2879">
        <v>561440273</v>
      </c>
      <c r="O2879">
        <v>840069351</v>
      </c>
      <c r="P2879">
        <v>16880</v>
      </c>
      <c r="Q2879" t="s">
        <v>5802</v>
      </c>
    </row>
    <row r="2880" spans="1:17" x14ac:dyDescent="0.3">
      <c r="A2880" t="s">
        <v>4446</v>
      </c>
      <c r="B2880" t="str">
        <f>"002153"</f>
        <v>002153</v>
      </c>
      <c r="C2880" t="s">
        <v>5803</v>
      </c>
      <c r="D2880" t="s">
        <v>212</v>
      </c>
      <c r="F2880">
        <v>-157808237</v>
      </c>
      <c r="G2880">
        <v>-221161672</v>
      </c>
      <c r="H2880">
        <v>148335552</v>
      </c>
      <c r="I2880">
        <v>261637642</v>
      </c>
      <c r="J2880">
        <v>330017667</v>
      </c>
      <c r="K2880">
        <v>581336950</v>
      </c>
      <c r="L2880">
        <v>324112217</v>
      </c>
      <c r="M2880">
        <v>471154132</v>
      </c>
      <c r="N2880">
        <v>302228352</v>
      </c>
      <c r="O2880">
        <v>264432455</v>
      </c>
      <c r="P2880">
        <v>679</v>
      </c>
      <c r="Q2880" t="s">
        <v>5804</v>
      </c>
    </row>
    <row r="2881" spans="1:17" x14ac:dyDescent="0.3">
      <c r="A2881" t="s">
        <v>4446</v>
      </c>
      <c r="B2881" t="str">
        <f>"002154"</f>
        <v>002154</v>
      </c>
      <c r="C2881" t="s">
        <v>5805</v>
      </c>
      <c r="D2881" t="s">
        <v>227</v>
      </c>
      <c r="F2881">
        <v>516210313</v>
      </c>
      <c r="G2881">
        <v>675914221</v>
      </c>
      <c r="H2881">
        <v>281722715</v>
      </c>
      <c r="I2881">
        <v>264757023</v>
      </c>
      <c r="J2881">
        <v>304000819</v>
      </c>
      <c r="K2881">
        <v>105918085</v>
      </c>
      <c r="L2881">
        <v>63417320</v>
      </c>
      <c r="M2881">
        <v>326370271</v>
      </c>
      <c r="N2881">
        <v>-86761943</v>
      </c>
      <c r="O2881">
        <v>63171320</v>
      </c>
      <c r="P2881">
        <v>204</v>
      </c>
      <c r="Q2881" t="s">
        <v>5806</v>
      </c>
    </row>
    <row r="2882" spans="1:17" x14ac:dyDescent="0.3">
      <c r="A2882" t="s">
        <v>4446</v>
      </c>
      <c r="B2882" t="str">
        <f>"002155"</f>
        <v>002155</v>
      </c>
      <c r="C2882" t="s">
        <v>5807</v>
      </c>
      <c r="D2882" t="s">
        <v>234</v>
      </c>
      <c r="F2882">
        <v>-96991514</v>
      </c>
      <c r="G2882">
        <v>391142168</v>
      </c>
      <c r="H2882">
        <v>212066432</v>
      </c>
      <c r="I2882">
        <v>172196132</v>
      </c>
      <c r="J2882">
        <v>-134241897</v>
      </c>
      <c r="K2882">
        <v>3227615</v>
      </c>
      <c r="L2882">
        <v>2032551</v>
      </c>
      <c r="M2882">
        <v>-73692705</v>
      </c>
      <c r="N2882">
        <v>136328751</v>
      </c>
      <c r="O2882">
        <v>-248658608</v>
      </c>
      <c r="P2882">
        <v>219</v>
      </c>
      <c r="Q2882" t="s">
        <v>5808</v>
      </c>
    </row>
    <row r="2883" spans="1:17" x14ac:dyDescent="0.3">
      <c r="A2883" t="s">
        <v>4446</v>
      </c>
      <c r="B2883" t="str">
        <f>"002156"</f>
        <v>002156</v>
      </c>
      <c r="C2883" t="s">
        <v>5809</v>
      </c>
      <c r="D2883" t="s">
        <v>150</v>
      </c>
      <c r="F2883">
        <v>-3458606281</v>
      </c>
      <c r="G2883">
        <v>-897697994</v>
      </c>
      <c r="H2883">
        <v>-692484321</v>
      </c>
      <c r="I2883">
        <v>-1472881415</v>
      </c>
      <c r="J2883">
        <v>-614258618</v>
      </c>
      <c r="K2883">
        <v>-776594479</v>
      </c>
      <c r="L2883">
        <v>-1018558261</v>
      </c>
      <c r="M2883">
        <v>-248354682</v>
      </c>
      <c r="N2883">
        <v>191879988</v>
      </c>
      <c r="O2883">
        <v>-108085806</v>
      </c>
      <c r="P2883">
        <v>771</v>
      </c>
      <c r="Q2883" t="s">
        <v>5810</v>
      </c>
    </row>
    <row r="2884" spans="1:17" x14ac:dyDescent="0.3">
      <c r="A2884" t="s">
        <v>4446</v>
      </c>
      <c r="B2884" t="str">
        <f>"002157"</f>
        <v>002157</v>
      </c>
      <c r="C2884" t="s">
        <v>5811</v>
      </c>
      <c r="D2884" t="s">
        <v>205</v>
      </c>
      <c r="F2884">
        <v>-3509363494</v>
      </c>
      <c r="G2884">
        <v>-5780914748</v>
      </c>
      <c r="H2884">
        <v>-1773056937</v>
      </c>
      <c r="I2884">
        <v>-1819531459</v>
      </c>
      <c r="J2884">
        <v>-3181881520</v>
      </c>
      <c r="K2884">
        <v>-395260335</v>
      </c>
      <c r="L2884">
        <v>-128633007</v>
      </c>
      <c r="M2884">
        <v>-807930835</v>
      </c>
      <c r="N2884">
        <v>-1237880290</v>
      </c>
      <c r="O2884">
        <v>-650107436</v>
      </c>
      <c r="P2884">
        <v>1128</v>
      </c>
      <c r="Q2884" t="s">
        <v>5812</v>
      </c>
    </row>
    <row r="2885" spans="1:17" x14ac:dyDescent="0.3">
      <c r="A2885" t="s">
        <v>4446</v>
      </c>
      <c r="B2885" t="str">
        <f>"002158"</f>
        <v>002158</v>
      </c>
      <c r="C2885" t="s">
        <v>5813</v>
      </c>
      <c r="D2885" t="s">
        <v>78</v>
      </c>
      <c r="F2885">
        <v>433205110</v>
      </c>
      <c r="G2885">
        <v>323151365</v>
      </c>
      <c r="H2885">
        <v>170085370</v>
      </c>
      <c r="I2885">
        <v>-6528780</v>
      </c>
      <c r="J2885">
        <v>85468747</v>
      </c>
      <c r="K2885">
        <v>108169824</v>
      </c>
      <c r="L2885">
        <v>107257730</v>
      </c>
      <c r="M2885">
        <v>136199712</v>
      </c>
      <c r="N2885">
        <v>163165012</v>
      </c>
      <c r="O2885">
        <v>95036619</v>
      </c>
      <c r="P2885">
        <v>478</v>
      </c>
      <c r="Q2885" t="s">
        <v>5814</v>
      </c>
    </row>
    <row r="2886" spans="1:17" x14ac:dyDescent="0.3">
      <c r="A2886" t="s">
        <v>4446</v>
      </c>
      <c r="B2886" t="str">
        <f>"002159"</f>
        <v>002159</v>
      </c>
      <c r="C2886" t="s">
        <v>5815</v>
      </c>
      <c r="D2886" t="s">
        <v>110</v>
      </c>
      <c r="F2886">
        <v>-23546748</v>
      </c>
      <c r="G2886">
        <v>73412746</v>
      </c>
      <c r="H2886">
        <v>250871902</v>
      </c>
      <c r="I2886">
        <v>110846769</v>
      </c>
      <c r="J2886">
        <v>-4702470</v>
      </c>
      <c r="K2886">
        <v>-175438632</v>
      </c>
      <c r="L2886">
        <v>-235663014</v>
      </c>
      <c r="M2886">
        <v>-118592985</v>
      </c>
      <c r="N2886">
        <v>-198647935</v>
      </c>
      <c r="O2886">
        <v>-112788825</v>
      </c>
      <c r="P2886">
        <v>119</v>
      </c>
      <c r="Q2886" t="s">
        <v>5816</v>
      </c>
    </row>
    <row r="2887" spans="1:17" x14ac:dyDescent="0.3">
      <c r="A2887" t="s">
        <v>4446</v>
      </c>
      <c r="B2887" t="str">
        <f>"002160"</f>
        <v>002160</v>
      </c>
      <c r="C2887" t="s">
        <v>5817</v>
      </c>
      <c r="D2887" t="s">
        <v>234</v>
      </c>
      <c r="F2887">
        <v>-227436662</v>
      </c>
      <c r="G2887">
        <v>105536856</v>
      </c>
      <c r="H2887">
        <v>227097466</v>
      </c>
      <c r="I2887">
        <v>-157994753</v>
      </c>
      <c r="J2887">
        <v>-349071747</v>
      </c>
      <c r="K2887">
        <v>-492934326</v>
      </c>
      <c r="L2887">
        <v>70825020</v>
      </c>
      <c r="M2887">
        <v>-93067613</v>
      </c>
      <c r="N2887">
        <v>-381200440</v>
      </c>
      <c r="O2887">
        <v>-24329166</v>
      </c>
      <c r="P2887">
        <v>166</v>
      </c>
      <c r="Q2887" t="s">
        <v>5818</v>
      </c>
    </row>
    <row r="2888" spans="1:17" x14ac:dyDescent="0.3">
      <c r="A2888" t="s">
        <v>4446</v>
      </c>
      <c r="B2888" t="str">
        <f>"002161"</f>
        <v>002161</v>
      </c>
      <c r="C2888" t="s">
        <v>5819</v>
      </c>
      <c r="D2888" t="s">
        <v>150</v>
      </c>
      <c r="F2888">
        <v>8294891</v>
      </c>
      <c r="G2888">
        <v>-123785679</v>
      </c>
      <c r="H2888">
        <v>-42929876</v>
      </c>
      <c r="I2888">
        <v>-47889439</v>
      </c>
      <c r="J2888">
        <v>-26987976</v>
      </c>
      <c r="K2888">
        <v>-81101777</v>
      </c>
      <c r="L2888">
        <v>16906085</v>
      </c>
      <c r="M2888">
        <v>1741757</v>
      </c>
      <c r="N2888">
        <v>28969312</v>
      </c>
      <c r="O2888">
        <v>-131206033</v>
      </c>
      <c r="P2888">
        <v>211</v>
      </c>
      <c r="Q2888" t="s">
        <v>5820</v>
      </c>
    </row>
    <row r="2889" spans="1:17" x14ac:dyDescent="0.3">
      <c r="A2889" t="s">
        <v>4446</v>
      </c>
      <c r="B2889" t="str">
        <f>"002162"</f>
        <v>002162</v>
      </c>
      <c r="C2889" t="s">
        <v>5821</v>
      </c>
      <c r="D2889" t="s">
        <v>161</v>
      </c>
      <c r="F2889">
        <v>129962404</v>
      </c>
      <c r="G2889">
        <v>126828271</v>
      </c>
      <c r="H2889">
        <v>115474277</v>
      </c>
      <c r="I2889">
        <v>80745397</v>
      </c>
      <c r="J2889">
        <v>72158444</v>
      </c>
      <c r="K2889">
        <v>81312105</v>
      </c>
      <c r="L2889">
        <v>-59453936</v>
      </c>
      <c r="M2889">
        <v>-4484998</v>
      </c>
      <c r="N2889">
        <v>15156411</v>
      </c>
      <c r="O2889">
        <v>-22378477</v>
      </c>
      <c r="P2889">
        <v>137</v>
      </c>
      <c r="Q2889" t="s">
        <v>5822</v>
      </c>
    </row>
    <row r="2890" spans="1:17" x14ac:dyDescent="0.3">
      <c r="A2890" t="s">
        <v>4446</v>
      </c>
      <c r="B2890" t="str">
        <f>"002163"</f>
        <v>002163</v>
      </c>
      <c r="C2890" t="s">
        <v>5823</v>
      </c>
      <c r="D2890" t="s">
        <v>350</v>
      </c>
      <c r="F2890">
        <v>30374216</v>
      </c>
      <c r="G2890">
        <v>267649731</v>
      </c>
      <c r="H2890">
        <v>382102460</v>
      </c>
      <c r="I2890">
        <v>470179211</v>
      </c>
      <c r="J2890">
        <v>484343485</v>
      </c>
      <c r="K2890">
        <v>243772460</v>
      </c>
      <c r="L2890">
        <v>-70161138</v>
      </c>
      <c r="M2890">
        <v>281460179</v>
      </c>
      <c r="N2890">
        <v>-111558173</v>
      </c>
      <c r="O2890">
        <v>-359727922</v>
      </c>
      <c r="P2890">
        <v>170</v>
      </c>
      <c r="Q2890" t="s">
        <v>5824</v>
      </c>
    </row>
    <row r="2891" spans="1:17" x14ac:dyDescent="0.3">
      <c r="A2891" t="s">
        <v>4446</v>
      </c>
      <c r="B2891" t="str">
        <f>"002164"</f>
        <v>002164</v>
      </c>
      <c r="C2891" t="s">
        <v>5825</v>
      </c>
      <c r="D2891" t="s">
        <v>78</v>
      </c>
      <c r="F2891">
        <v>495537444</v>
      </c>
      <c r="G2891">
        <v>254747983</v>
      </c>
      <c r="H2891">
        <v>90228245</v>
      </c>
      <c r="I2891">
        <v>444306249</v>
      </c>
      <c r="J2891">
        <v>-560275</v>
      </c>
      <c r="K2891">
        <v>144465598</v>
      </c>
      <c r="L2891">
        <v>50309190</v>
      </c>
      <c r="M2891">
        <v>-55679210</v>
      </c>
      <c r="N2891">
        <v>-60136706</v>
      </c>
      <c r="O2891">
        <v>-77748501</v>
      </c>
      <c r="P2891">
        <v>187</v>
      </c>
      <c r="Q2891" t="s">
        <v>5826</v>
      </c>
    </row>
    <row r="2892" spans="1:17" x14ac:dyDescent="0.3">
      <c r="A2892" t="s">
        <v>4446</v>
      </c>
      <c r="B2892" t="str">
        <f>"002165"</f>
        <v>002165</v>
      </c>
      <c r="C2892" t="s">
        <v>5827</v>
      </c>
      <c r="D2892" t="s">
        <v>133</v>
      </c>
      <c r="F2892">
        <v>122876882</v>
      </c>
      <c r="G2892">
        <v>-251106815</v>
      </c>
      <c r="H2892">
        <v>-111889971</v>
      </c>
      <c r="I2892">
        <v>-205562666</v>
      </c>
      <c r="J2892">
        <v>-596473683</v>
      </c>
      <c r="K2892">
        <v>25401948</v>
      </c>
      <c r="L2892">
        <v>14656026</v>
      </c>
      <c r="M2892">
        <v>160079081</v>
      </c>
      <c r="N2892">
        <v>15874487</v>
      </c>
      <c r="O2892">
        <v>-8076556</v>
      </c>
      <c r="P2892">
        <v>100</v>
      </c>
      <c r="Q2892" t="s">
        <v>5828</v>
      </c>
    </row>
    <row r="2893" spans="1:17" x14ac:dyDescent="0.3">
      <c r="A2893" t="s">
        <v>4446</v>
      </c>
      <c r="B2893" t="str">
        <f>"002166"</f>
        <v>002166</v>
      </c>
      <c r="C2893" t="s">
        <v>5829</v>
      </c>
      <c r="D2893" t="s">
        <v>113</v>
      </c>
      <c r="F2893">
        <v>-151337781</v>
      </c>
      <c r="G2893">
        <v>-103426583</v>
      </c>
      <c r="H2893">
        <v>-222517169</v>
      </c>
      <c r="I2893">
        <v>-166613142</v>
      </c>
      <c r="J2893">
        <v>89702662</v>
      </c>
      <c r="K2893">
        <v>-318653814</v>
      </c>
      <c r="L2893">
        <v>-134705346</v>
      </c>
      <c r="M2893">
        <v>49487232</v>
      </c>
      <c r="N2893">
        <v>-323927805</v>
      </c>
      <c r="O2893">
        <v>-219458918</v>
      </c>
      <c r="P2893">
        <v>201</v>
      </c>
      <c r="Q2893" t="s">
        <v>5830</v>
      </c>
    </row>
    <row r="2894" spans="1:17" x14ac:dyDescent="0.3">
      <c r="A2894" t="s">
        <v>4446</v>
      </c>
      <c r="B2894" t="str">
        <f>"002167"</f>
        <v>002167</v>
      </c>
      <c r="C2894" t="s">
        <v>5831</v>
      </c>
      <c r="D2894" t="s">
        <v>234</v>
      </c>
      <c r="F2894">
        <v>154414275</v>
      </c>
      <c r="G2894">
        <v>9048698</v>
      </c>
      <c r="H2894">
        <v>-11592388</v>
      </c>
      <c r="I2894">
        <v>233745781</v>
      </c>
      <c r="J2894">
        <v>153332796</v>
      </c>
      <c r="K2894">
        <v>93767138</v>
      </c>
      <c r="L2894">
        <v>-32802704</v>
      </c>
      <c r="M2894">
        <v>-46192037</v>
      </c>
      <c r="N2894">
        <v>-462955565</v>
      </c>
      <c r="O2894">
        <v>-568032942</v>
      </c>
      <c r="P2894">
        <v>112</v>
      </c>
      <c r="Q2894" t="s">
        <v>5832</v>
      </c>
    </row>
    <row r="2895" spans="1:17" x14ac:dyDescent="0.3">
      <c r="A2895" t="s">
        <v>4446</v>
      </c>
      <c r="B2895" t="str">
        <f>"002168"</f>
        <v>002168</v>
      </c>
      <c r="C2895" t="s">
        <v>5833</v>
      </c>
      <c r="D2895" t="s">
        <v>89</v>
      </c>
      <c r="F2895">
        <v>199211932</v>
      </c>
      <c r="G2895">
        <v>129233306</v>
      </c>
      <c r="H2895">
        <v>-322872575</v>
      </c>
      <c r="I2895">
        <v>271618233</v>
      </c>
      <c r="J2895">
        <v>14872857</v>
      </c>
      <c r="K2895">
        <v>-34626247</v>
      </c>
      <c r="L2895">
        <v>-126267115</v>
      </c>
      <c r="M2895">
        <v>-15354695</v>
      </c>
      <c r="N2895">
        <v>11194959</v>
      </c>
      <c r="O2895">
        <v>-101812692</v>
      </c>
      <c r="P2895">
        <v>158</v>
      </c>
      <c r="Q2895" t="s">
        <v>5834</v>
      </c>
    </row>
    <row r="2896" spans="1:17" x14ac:dyDescent="0.3">
      <c r="A2896" t="s">
        <v>4446</v>
      </c>
      <c r="B2896" t="str">
        <f>"002169"</f>
        <v>002169</v>
      </c>
      <c r="C2896" t="s">
        <v>5835</v>
      </c>
      <c r="D2896" t="s">
        <v>188</v>
      </c>
      <c r="F2896">
        <v>-79055299</v>
      </c>
      <c r="G2896">
        <v>353305026</v>
      </c>
      <c r="H2896">
        <v>143363734</v>
      </c>
      <c r="I2896">
        <v>-351775006</v>
      </c>
      <c r="J2896">
        <v>-238127228</v>
      </c>
      <c r="K2896">
        <v>-194953583</v>
      </c>
      <c r="L2896">
        <v>23884270</v>
      </c>
      <c r="M2896">
        <v>-89825269</v>
      </c>
      <c r="N2896">
        <v>-84159931</v>
      </c>
      <c r="O2896">
        <v>-76192517</v>
      </c>
      <c r="P2896">
        <v>219</v>
      </c>
      <c r="Q2896" t="s">
        <v>5836</v>
      </c>
    </row>
    <row r="2897" spans="1:17" x14ac:dyDescent="0.3">
      <c r="A2897" t="s">
        <v>4446</v>
      </c>
      <c r="B2897" t="str">
        <f>"002170"</f>
        <v>002170</v>
      </c>
      <c r="C2897" t="s">
        <v>5837</v>
      </c>
      <c r="D2897" t="s">
        <v>133</v>
      </c>
      <c r="F2897">
        <v>-39698877</v>
      </c>
      <c r="G2897">
        <v>362134630</v>
      </c>
      <c r="H2897">
        <v>511614441</v>
      </c>
      <c r="I2897">
        <v>142403006</v>
      </c>
      <c r="J2897">
        <v>179243742</v>
      </c>
      <c r="K2897">
        <v>-38606716</v>
      </c>
      <c r="L2897">
        <v>-201350044</v>
      </c>
      <c r="M2897">
        <v>-855216455</v>
      </c>
      <c r="N2897">
        <v>-195094809</v>
      </c>
      <c r="O2897">
        <v>81429230</v>
      </c>
      <c r="P2897">
        <v>103</v>
      </c>
      <c r="Q2897" t="s">
        <v>5838</v>
      </c>
    </row>
    <row r="2898" spans="1:17" x14ac:dyDescent="0.3">
      <c r="A2898" t="s">
        <v>4446</v>
      </c>
      <c r="B2898" t="str">
        <f>"002171"</f>
        <v>002171</v>
      </c>
      <c r="C2898" t="s">
        <v>5839</v>
      </c>
      <c r="D2898" t="s">
        <v>234</v>
      </c>
      <c r="F2898">
        <v>-601302017</v>
      </c>
      <c r="G2898">
        <v>-1108971847</v>
      </c>
      <c r="H2898">
        <v>-468060838</v>
      </c>
      <c r="I2898">
        <v>-286831486</v>
      </c>
      <c r="J2898">
        <v>-44521926</v>
      </c>
      <c r="K2898">
        <v>-179316397</v>
      </c>
      <c r="L2898">
        <v>310019317</v>
      </c>
      <c r="M2898">
        <v>64821334</v>
      </c>
      <c r="N2898">
        <v>89739693</v>
      </c>
      <c r="O2898">
        <v>-246099641</v>
      </c>
      <c r="P2898">
        <v>237</v>
      </c>
      <c r="Q2898" t="s">
        <v>5840</v>
      </c>
    </row>
    <row r="2899" spans="1:17" x14ac:dyDescent="0.3">
      <c r="A2899" t="s">
        <v>4446</v>
      </c>
      <c r="B2899" t="str">
        <f>"002172"</f>
        <v>002172</v>
      </c>
      <c r="C2899" t="s">
        <v>5841</v>
      </c>
      <c r="D2899" t="s">
        <v>133</v>
      </c>
      <c r="F2899">
        <v>241071775</v>
      </c>
      <c r="G2899">
        <v>140698582</v>
      </c>
      <c r="H2899">
        <v>-874865182</v>
      </c>
      <c r="I2899">
        <v>-1291173965</v>
      </c>
      <c r="J2899">
        <v>-621324733</v>
      </c>
      <c r="K2899">
        <v>462194308</v>
      </c>
      <c r="L2899">
        <v>188680450</v>
      </c>
      <c r="M2899">
        <v>313005126</v>
      </c>
      <c r="N2899">
        <v>142548272</v>
      </c>
      <c r="O2899">
        <v>513048859</v>
      </c>
      <c r="P2899">
        <v>141</v>
      </c>
      <c r="Q2899" t="s">
        <v>5842</v>
      </c>
    </row>
    <row r="2900" spans="1:17" x14ac:dyDescent="0.3">
      <c r="A2900" t="s">
        <v>4446</v>
      </c>
      <c r="B2900" t="str">
        <f>"002173"</f>
        <v>002173</v>
      </c>
      <c r="C2900" t="s">
        <v>5843</v>
      </c>
      <c r="D2900" t="s">
        <v>113</v>
      </c>
      <c r="F2900">
        <v>-67204903</v>
      </c>
      <c r="G2900">
        <v>23429159</v>
      </c>
      <c r="H2900">
        <v>-63842636</v>
      </c>
      <c r="I2900">
        <v>-270387589</v>
      </c>
      <c r="J2900">
        <v>41944791</v>
      </c>
      <c r="K2900">
        <v>69159361</v>
      </c>
      <c r="L2900">
        <v>29675830</v>
      </c>
      <c r="M2900">
        <v>-6025573</v>
      </c>
      <c r="N2900">
        <v>4068348</v>
      </c>
      <c r="O2900">
        <v>1052962</v>
      </c>
      <c r="P2900">
        <v>125</v>
      </c>
      <c r="Q2900" t="s">
        <v>5844</v>
      </c>
    </row>
    <row r="2901" spans="1:17" x14ac:dyDescent="0.3">
      <c r="A2901" t="s">
        <v>4446</v>
      </c>
      <c r="B2901" t="str">
        <f>"002174"</f>
        <v>002174</v>
      </c>
      <c r="C2901" t="s">
        <v>5845</v>
      </c>
      <c r="D2901" t="s">
        <v>89</v>
      </c>
      <c r="F2901">
        <v>264246493</v>
      </c>
      <c r="G2901">
        <v>601524516</v>
      </c>
      <c r="H2901">
        <v>-91176611</v>
      </c>
      <c r="I2901">
        <v>-59188201</v>
      </c>
      <c r="J2901">
        <v>564073696</v>
      </c>
      <c r="K2901">
        <v>459035254</v>
      </c>
      <c r="L2901">
        <v>-108579457</v>
      </c>
      <c r="M2901">
        <v>-193771445</v>
      </c>
      <c r="N2901">
        <v>5808805</v>
      </c>
      <c r="O2901">
        <v>137680652</v>
      </c>
      <c r="P2901">
        <v>736</v>
      </c>
      <c r="Q2901" t="s">
        <v>5846</v>
      </c>
    </row>
    <row r="2902" spans="1:17" x14ac:dyDescent="0.3">
      <c r="A2902" t="s">
        <v>4446</v>
      </c>
      <c r="B2902" t="str">
        <f>"002175"</f>
        <v>002175</v>
      </c>
      <c r="C2902" t="s">
        <v>5847</v>
      </c>
      <c r="D2902" t="s">
        <v>103</v>
      </c>
      <c r="F2902">
        <v>-23601349</v>
      </c>
      <c r="G2902">
        <v>45659621</v>
      </c>
      <c r="H2902">
        <v>-5295083</v>
      </c>
      <c r="I2902">
        <v>8624</v>
      </c>
      <c r="J2902">
        <v>195145264</v>
      </c>
      <c r="K2902">
        <v>-444257009</v>
      </c>
      <c r="L2902">
        <v>-235810954</v>
      </c>
      <c r="M2902">
        <v>-70916265</v>
      </c>
      <c r="N2902">
        <v>-14747235</v>
      </c>
      <c r="O2902">
        <v>6205730</v>
      </c>
      <c r="P2902">
        <v>79</v>
      </c>
      <c r="Q2902" t="s">
        <v>5848</v>
      </c>
    </row>
    <row r="2903" spans="1:17" x14ac:dyDescent="0.3">
      <c r="A2903" t="s">
        <v>4446</v>
      </c>
      <c r="B2903" t="str">
        <f>"002176"</f>
        <v>002176</v>
      </c>
      <c r="C2903" t="s">
        <v>5849</v>
      </c>
      <c r="D2903" t="s">
        <v>188</v>
      </c>
      <c r="F2903">
        <v>265678902</v>
      </c>
      <c r="G2903">
        <v>164373042</v>
      </c>
      <c r="H2903">
        <v>-257501434</v>
      </c>
      <c r="I2903">
        <v>-1290356758</v>
      </c>
      <c r="J2903">
        <v>-1073253706</v>
      </c>
      <c r="K2903">
        <v>-72091707</v>
      </c>
      <c r="L2903">
        <v>-311636689</v>
      </c>
      <c r="M2903">
        <v>-172159087</v>
      </c>
      <c r="N2903">
        <v>-167085015</v>
      </c>
      <c r="O2903">
        <v>-180849498</v>
      </c>
      <c r="P2903">
        <v>317</v>
      </c>
      <c r="Q2903" t="s">
        <v>5850</v>
      </c>
    </row>
    <row r="2904" spans="1:17" x14ac:dyDescent="0.3">
      <c r="A2904" t="s">
        <v>4446</v>
      </c>
      <c r="B2904" t="str">
        <f>"002177"</f>
        <v>002177</v>
      </c>
      <c r="C2904" t="s">
        <v>5851</v>
      </c>
      <c r="D2904" t="s">
        <v>212</v>
      </c>
      <c r="F2904">
        <v>-106823628</v>
      </c>
      <c r="G2904">
        <v>-32857253</v>
      </c>
      <c r="H2904">
        <v>55600505</v>
      </c>
      <c r="I2904">
        <v>98553026</v>
      </c>
      <c r="J2904">
        <v>94814879</v>
      </c>
      <c r="K2904">
        <v>226062401</v>
      </c>
      <c r="L2904">
        <v>182708469</v>
      </c>
      <c r="M2904">
        <v>47565487</v>
      </c>
      <c r="N2904">
        <v>-11444916</v>
      </c>
      <c r="O2904">
        <v>71809928</v>
      </c>
      <c r="P2904">
        <v>3025</v>
      </c>
      <c r="Q2904" t="s">
        <v>5852</v>
      </c>
    </row>
    <row r="2905" spans="1:17" x14ac:dyDescent="0.3">
      <c r="A2905" t="s">
        <v>4446</v>
      </c>
      <c r="B2905" t="str">
        <f>"002178"</f>
        <v>002178</v>
      </c>
      <c r="C2905" t="s">
        <v>5853</v>
      </c>
      <c r="D2905" t="s">
        <v>212</v>
      </c>
      <c r="F2905">
        <v>9105828</v>
      </c>
      <c r="G2905">
        <v>-7134082</v>
      </c>
      <c r="H2905">
        <v>-29459560</v>
      </c>
      <c r="I2905">
        <v>11630546</v>
      </c>
      <c r="J2905">
        <v>58332895</v>
      </c>
      <c r="K2905">
        <v>-31742537</v>
      </c>
      <c r="L2905">
        <v>67978025</v>
      </c>
      <c r="M2905">
        <v>50370187</v>
      </c>
      <c r="N2905">
        <v>-326284</v>
      </c>
      <c r="O2905">
        <v>33962018</v>
      </c>
      <c r="P2905">
        <v>89</v>
      </c>
      <c r="Q2905" t="s">
        <v>5854</v>
      </c>
    </row>
    <row r="2906" spans="1:17" x14ac:dyDescent="0.3">
      <c r="A2906" t="s">
        <v>4446</v>
      </c>
      <c r="B2906" t="str">
        <f>"002179"</f>
        <v>002179</v>
      </c>
      <c r="C2906" t="s">
        <v>5855</v>
      </c>
      <c r="D2906" t="s">
        <v>92</v>
      </c>
      <c r="F2906">
        <v>944598616</v>
      </c>
      <c r="G2906">
        <v>877619188</v>
      </c>
      <c r="H2906">
        <v>529710133</v>
      </c>
      <c r="I2906">
        <v>-256539443</v>
      </c>
      <c r="J2906">
        <v>189226588</v>
      </c>
      <c r="K2906">
        <v>-15834351</v>
      </c>
      <c r="L2906">
        <v>380453398</v>
      </c>
      <c r="M2906">
        <v>-4104542</v>
      </c>
      <c r="N2906">
        <v>-30036917</v>
      </c>
      <c r="O2906">
        <v>-99716565</v>
      </c>
      <c r="P2906">
        <v>1743</v>
      </c>
      <c r="Q2906" t="s">
        <v>5856</v>
      </c>
    </row>
    <row r="2907" spans="1:17" x14ac:dyDescent="0.3">
      <c r="A2907" t="s">
        <v>4446</v>
      </c>
      <c r="B2907" t="str">
        <f>"002180"</f>
        <v>002180</v>
      </c>
      <c r="C2907" t="s">
        <v>5857</v>
      </c>
      <c r="D2907" t="s">
        <v>150</v>
      </c>
      <c r="F2907">
        <v>2158217220</v>
      </c>
      <c r="G2907">
        <v>1481445219</v>
      </c>
      <c r="H2907">
        <v>1994456681</v>
      </c>
      <c r="I2907">
        <v>1528443916</v>
      </c>
      <c r="J2907">
        <v>39760120</v>
      </c>
      <c r="K2907">
        <v>-206888495</v>
      </c>
      <c r="L2907">
        <v>164101088</v>
      </c>
      <c r="M2907">
        <v>200005338</v>
      </c>
      <c r="N2907">
        <v>39634</v>
      </c>
      <c r="O2907">
        <v>-32971010</v>
      </c>
      <c r="P2907">
        <v>473</v>
      </c>
      <c r="Q2907" t="s">
        <v>5858</v>
      </c>
    </row>
    <row r="2908" spans="1:17" x14ac:dyDescent="0.3">
      <c r="A2908" t="s">
        <v>4446</v>
      </c>
      <c r="B2908" t="str">
        <f>"002181"</f>
        <v>002181</v>
      </c>
      <c r="C2908" t="s">
        <v>5859</v>
      </c>
      <c r="D2908" t="s">
        <v>89</v>
      </c>
      <c r="F2908">
        <v>-732936638</v>
      </c>
      <c r="G2908">
        <v>-351578</v>
      </c>
      <c r="H2908">
        <v>-123757730</v>
      </c>
      <c r="I2908">
        <v>-14674611</v>
      </c>
      <c r="J2908">
        <v>-75016197</v>
      </c>
      <c r="K2908">
        <v>456238903</v>
      </c>
      <c r="L2908">
        <v>-676528865</v>
      </c>
      <c r="M2908">
        <v>137593431</v>
      </c>
      <c r="N2908">
        <v>138059253</v>
      </c>
      <c r="O2908">
        <v>295625068</v>
      </c>
      <c r="P2908">
        <v>107</v>
      </c>
      <c r="Q2908" t="s">
        <v>5860</v>
      </c>
    </row>
    <row r="2909" spans="1:17" x14ac:dyDescent="0.3">
      <c r="A2909" t="s">
        <v>4446</v>
      </c>
      <c r="B2909" t="str">
        <f>"002182"</f>
        <v>002182</v>
      </c>
      <c r="C2909" t="s">
        <v>5861</v>
      </c>
      <c r="D2909" t="s">
        <v>234</v>
      </c>
      <c r="F2909">
        <v>-777493378</v>
      </c>
      <c r="G2909">
        <v>124193406</v>
      </c>
      <c r="H2909">
        <v>796311300</v>
      </c>
      <c r="I2909">
        <v>-10606662</v>
      </c>
      <c r="J2909">
        <v>57946820</v>
      </c>
      <c r="K2909">
        <v>-145121118</v>
      </c>
      <c r="L2909">
        <v>-65426241</v>
      </c>
      <c r="M2909">
        <v>204057640</v>
      </c>
      <c r="N2909">
        <v>-91357068</v>
      </c>
      <c r="O2909">
        <v>-63765515</v>
      </c>
      <c r="P2909">
        <v>372</v>
      </c>
      <c r="Q2909" t="s">
        <v>5862</v>
      </c>
    </row>
    <row r="2910" spans="1:17" x14ac:dyDescent="0.3">
      <c r="A2910" t="s">
        <v>4446</v>
      </c>
      <c r="B2910" t="str">
        <f>"002183"</f>
        <v>002183</v>
      </c>
      <c r="C2910" t="s">
        <v>5863</v>
      </c>
      <c r="D2910" t="s">
        <v>22</v>
      </c>
      <c r="F2910">
        <v>1135665538</v>
      </c>
      <c r="G2910">
        <v>1851879064</v>
      </c>
      <c r="H2910">
        <v>2386714399</v>
      </c>
      <c r="I2910">
        <v>1423397904</v>
      </c>
      <c r="J2910">
        <v>-440842245</v>
      </c>
      <c r="K2910">
        <v>-4831630016</v>
      </c>
      <c r="L2910">
        <v>-3327111140</v>
      </c>
      <c r="M2910">
        <v>-3461386335</v>
      </c>
      <c r="N2910">
        <v>-2864251921</v>
      </c>
      <c r="O2910">
        <v>-19343432</v>
      </c>
      <c r="P2910">
        <v>261</v>
      </c>
      <c r="Q2910" t="s">
        <v>5864</v>
      </c>
    </row>
    <row r="2911" spans="1:17" x14ac:dyDescent="0.3">
      <c r="A2911" t="s">
        <v>4446</v>
      </c>
      <c r="B2911" t="str">
        <f>"002184"</f>
        <v>002184</v>
      </c>
      <c r="C2911" t="s">
        <v>5865</v>
      </c>
      <c r="D2911" t="s">
        <v>78</v>
      </c>
      <c r="F2911">
        <v>130666467</v>
      </c>
      <c r="G2911">
        <v>245590719</v>
      </c>
      <c r="H2911">
        <v>271205641</v>
      </c>
      <c r="I2911">
        <v>124290460</v>
      </c>
      <c r="J2911">
        <v>-154875836</v>
      </c>
      <c r="K2911">
        <v>-48206448</v>
      </c>
      <c r="L2911">
        <v>-18460587</v>
      </c>
      <c r="M2911">
        <v>-3447798</v>
      </c>
      <c r="N2911">
        <v>-34357574</v>
      </c>
      <c r="O2911">
        <v>-7841003</v>
      </c>
      <c r="P2911">
        <v>186</v>
      </c>
      <c r="Q2911" t="s">
        <v>5866</v>
      </c>
    </row>
    <row r="2912" spans="1:17" x14ac:dyDescent="0.3">
      <c r="A2912" t="s">
        <v>4446</v>
      </c>
      <c r="B2912" t="str">
        <f>"002185"</f>
        <v>002185</v>
      </c>
      <c r="C2912" t="s">
        <v>5867</v>
      </c>
      <c r="D2912" t="s">
        <v>150</v>
      </c>
      <c r="F2912">
        <v>-2038415347</v>
      </c>
      <c r="G2912">
        <v>-963162649</v>
      </c>
      <c r="H2912">
        <v>-182557792</v>
      </c>
      <c r="I2912">
        <v>-498593847</v>
      </c>
      <c r="J2912">
        <v>-886730562</v>
      </c>
      <c r="K2912">
        <v>-613235345</v>
      </c>
      <c r="L2912">
        <v>-213218640</v>
      </c>
      <c r="M2912">
        <v>-44438366</v>
      </c>
      <c r="N2912">
        <v>-140539874</v>
      </c>
      <c r="O2912">
        <v>-64408436</v>
      </c>
      <c r="P2912">
        <v>1176</v>
      </c>
      <c r="Q2912" t="s">
        <v>5868</v>
      </c>
    </row>
    <row r="2913" spans="1:17" x14ac:dyDescent="0.3">
      <c r="A2913" t="s">
        <v>4446</v>
      </c>
      <c r="B2913" t="str">
        <f>"002186"</f>
        <v>002186</v>
      </c>
      <c r="C2913" t="s">
        <v>5869</v>
      </c>
      <c r="D2913" t="s">
        <v>110</v>
      </c>
      <c r="F2913">
        <v>-130129767</v>
      </c>
      <c r="G2913">
        <v>-192656429</v>
      </c>
      <c r="H2913">
        <v>23857758</v>
      </c>
      <c r="I2913">
        <v>30914847</v>
      </c>
      <c r="J2913">
        <v>184721174</v>
      </c>
      <c r="K2913">
        <v>153278063</v>
      </c>
      <c r="L2913">
        <v>183424513</v>
      </c>
      <c r="M2913">
        <v>148534570</v>
      </c>
      <c r="N2913">
        <v>57574205</v>
      </c>
      <c r="O2913">
        <v>216286732</v>
      </c>
      <c r="P2913">
        <v>179</v>
      </c>
      <c r="Q2913" t="s">
        <v>5870</v>
      </c>
    </row>
    <row r="2914" spans="1:17" x14ac:dyDescent="0.3">
      <c r="A2914" t="s">
        <v>4446</v>
      </c>
      <c r="B2914" t="str">
        <f>"002187"</f>
        <v>002187</v>
      </c>
      <c r="C2914" t="s">
        <v>5871</v>
      </c>
      <c r="D2914" t="s">
        <v>120</v>
      </c>
      <c r="F2914">
        <v>471572354</v>
      </c>
      <c r="G2914">
        <v>-48460311</v>
      </c>
      <c r="H2914">
        <v>190916828</v>
      </c>
      <c r="I2914">
        <v>150031313</v>
      </c>
      <c r="J2914">
        <v>73928391</v>
      </c>
      <c r="K2914">
        <v>39169342</v>
      </c>
      <c r="L2914">
        <v>78810434</v>
      </c>
      <c r="M2914">
        <v>52341934</v>
      </c>
      <c r="N2914">
        <v>348795246</v>
      </c>
      <c r="O2914">
        <v>375603891</v>
      </c>
      <c r="P2914">
        <v>147</v>
      </c>
      <c r="Q2914" t="s">
        <v>5872</v>
      </c>
    </row>
    <row r="2915" spans="1:17" x14ac:dyDescent="0.3">
      <c r="A2915" t="s">
        <v>4446</v>
      </c>
      <c r="B2915" t="str">
        <f>"002188"</f>
        <v>002188</v>
      </c>
      <c r="C2915" t="s">
        <v>5873</v>
      </c>
      <c r="D2915" t="s">
        <v>89</v>
      </c>
      <c r="F2915">
        <v>202717432</v>
      </c>
      <c r="G2915">
        <v>-14379797</v>
      </c>
      <c r="H2915">
        <v>-3500730</v>
      </c>
      <c r="I2915">
        <v>-109709941</v>
      </c>
      <c r="J2915">
        <v>-43081095</v>
      </c>
      <c r="K2915">
        <v>-67432660</v>
      </c>
      <c r="L2915">
        <v>-54071526</v>
      </c>
      <c r="M2915">
        <v>-22781671</v>
      </c>
      <c r="N2915">
        <v>58064472</v>
      </c>
      <c r="O2915">
        <v>39124928</v>
      </c>
      <c r="P2915">
        <v>69</v>
      </c>
      <c r="Q2915" t="s">
        <v>5874</v>
      </c>
    </row>
    <row r="2916" spans="1:17" x14ac:dyDescent="0.3">
      <c r="A2916" t="s">
        <v>4446</v>
      </c>
      <c r="B2916" t="str">
        <f>"002189"</f>
        <v>002189</v>
      </c>
      <c r="C2916" t="s">
        <v>5875</v>
      </c>
      <c r="D2916" t="s">
        <v>92</v>
      </c>
      <c r="F2916">
        <v>170554430</v>
      </c>
      <c r="G2916">
        <v>124585045</v>
      </c>
      <c r="H2916">
        <v>235673778</v>
      </c>
      <c r="I2916">
        <v>93068662</v>
      </c>
      <c r="J2916">
        <v>70650223</v>
      </c>
      <c r="K2916">
        <v>-7919651</v>
      </c>
      <c r="L2916">
        <v>-10784101</v>
      </c>
      <c r="M2916">
        <v>34633927</v>
      </c>
      <c r="N2916">
        <v>7240987</v>
      </c>
      <c r="O2916">
        <v>-33965302</v>
      </c>
      <c r="P2916">
        <v>221</v>
      </c>
      <c r="Q2916" t="s">
        <v>5876</v>
      </c>
    </row>
    <row r="2917" spans="1:17" x14ac:dyDescent="0.3">
      <c r="A2917" t="s">
        <v>4446</v>
      </c>
      <c r="B2917" t="str">
        <f>"002190"</f>
        <v>002190</v>
      </c>
      <c r="C2917" t="s">
        <v>5877</v>
      </c>
      <c r="D2917" t="s">
        <v>92</v>
      </c>
      <c r="F2917">
        <v>-38507221</v>
      </c>
      <c r="G2917">
        <v>8741181</v>
      </c>
      <c r="H2917">
        <v>-724999332</v>
      </c>
      <c r="I2917">
        <v>-777164156</v>
      </c>
      <c r="J2917">
        <v>-926884328</v>
      </c>
      <c r="K2917">
        <v>-1763662697</v>
      </c>
      <c r="L2917">
        <v>-133121350</v>
      </c>
      <c r="M2917">
        <v>-284580746</v>
      </c>
      <c r="N2917">
        <v>-138314417</v>
      </c>
      <c r="O2917">
        <v>-223771630</v>
      </c>
      <c r="P2917">
        <v>184</v>
      </c>
      <c r="Q2917" t="s">
        <v>5878</v>
      </c>
    </row>
    <row r="2918" spans="1:17" x14ac:dyDescent="0.3">
      <c r="A2918" t="s">
        <v>4446</v>
      </c>
      <c r="B2918" t="str">
        <f>"002191"</f>
        <v>002191</v>
      </c>
      <c r="C2918" t="s">
        <v>5879</v>
      </c>
      <c r="D2918" t="s">
        <v>161</v>
      </c>
      <c r="F2918">
        <v>520978241</v>
      </c>
      <c r="G2918">
        <v>907725306</v>
      </c>
      <c r="H2918">
        <v>854783145</v>
      </c>
      <c r="I2918">
        <v>522562350</v>
      </c>
      <c r="J2918">
        <v>457097431</v>
      </c>
      <c r="K2918">
        <v>575176343</v>
      </c>
      <c r="L2918">
        <v>587195980</v>
      </c>
      <c r="M2918">
        <v>577417364</v>
      </c>
      <c r="N2918">
        <v>282882490</v>
      </c>
      <c r="O2918">
        <v>314841554</v>
      </c>
      <c r="P2918">
        <v>6346</v>
      </c>
      <c r="Q2918" t="s">
        <v>5880</v>
      </c>
    </row>
    <row r="2919" spans="1:17" x14ac:dyDescent="0.3">
      <c r="A2919" t="s">
        <v>4446</v>
      </c>
      <c r="B2919" t="str">
        <f>"002192"</f>
        <v>002192</v>
      </c>
      <c r="C2919" t="s">
        <v>5881</v>
      </c>
      <c r="D2919" t="s">
        <v>188</v>
      </c>
      <c r="F2919">
        <v>29816495</v>
      </c>
      <c r="G2919">
        <v>-102975266</v>
      </c>
      <c r="H2919">
        <v>-55868914</v>
      </c>
      <c r="I2919">
        <v>-5540515</v>
      </c>
      <c r="J2919">
        <v>-10646600</v>
      </c>
      <c r="K2919">
        <v>-57747869</v>
      </c>
      <c r="L2919">
        <v>18480648</v>
      </c>
      <c r="M2919">
        <v>5667127</v>
      </c>
      <c r="N2919">
        <v>-153841429</v>
      </c>
      <c r="O2919">
        <v>-22697779</v>
      </c>
      <c r="P2919">
        <v>230</v>
      </c>
      <c r="Q2919" t="s">
        <v>5882</v>
      </c>
    </row>
    <row r="2920" spans="1:17" x14ac:dyDescent="0.3">
      <c r="A2920" t="s">
        <v>4446</v>
      </c>
      <c r="B2920" t="str">
        <f>"002193"</f>
        <v>002193</v>
      </c>
      <c r="C2920" t="s">
        <v>5883</v>
      </c>
      <c r="D2920" t="s">
        <v>227</v>
      </c>
      <c r="F2920">
        <v>-262520517</v>
      </c>
      <c r="G2920">
        <v>124135634</v>
      </c>
      <c r="H2920">
        <v>-278794155</v>
      </c>
      <c r="I2920">
        <v>-33097339</v>
      </c>
      <c r="J2920">
        <v>-58798385</v>
      </c>
      <c r="K2920">
        <v>266142609</v>
      </c>
      <c r="L2920">
        <v>119886988</v>
      </c>
      <c r="M2920">
        <v>62320132</v>
      </c>
      <c r="N2920">
        <v>29233045</v>
      </c>
      <c r="O2920">
        <v>65405747</v>
      </c>
      <c r="P2920">
        <v>93</v>
      </c>
      <c r="Q2920" t="s">
        <v>5884</v>
      </c>
    </row>
    <row r="2921" spans="1:17" x14ac:dyDescent="0.3">
      <c r="A2921" t="s">
        <v>4446</v>
      </c>
      <c r="B2921" t="str">
        <f>"002194"</f>
        <v>002194</v>
      </c>
      <c r="C2921" t="s">
        <v>5885</v>
      </c>
      <c r="D2921" t="s">
        <v>100</v>
      </c>
      <c r="F2921">
        <v>362589861</v>
      </c>
      <c r="G2921">
        <v>161821332</v>
      </c>
      <c r="H2921">
        <v>549641167</v>
      </c>
      <c r="I2921">
        <v>135295560</v>
      </c>
      <c r="J2921">
        <v>-351923058</v>
      </c>
      <c r="K2921">
        <v>295729214</v>
      </c>
      <c r="L2921">
        <v>-221021723</v>
      </c>
      <c r="M2921">
        <v>-325931249</v>
      </c>
      <c r="N2921">
        <v>220011235</v>
      </c>
      <c r="O2921">
        <v>-95265429</v>
      </c>
      <c r="P2921">
        <v>906</v>
      </c>
      <c r="Q2921" t="s">
        <v>5886</v>
      </c>
    </row>
    <row r="2922" spans="1:17" x14ac:dyDescent="0.3">
      <c r="A2922" t="s">
        <v>4446</v>
      </c>
      <c r="B2922" t="str">
        <f>"002195"</f>
        <v>002195</v>
      </c>
      <c r="C2922" t="s">
        <v>5887</v>
      </c>
      <c r="D2922" t="s">
        <v>212</v>
      </c>
      <c r="F2922">
        <v>117225642</v>
      </c>
      <c r="G2922">
        <v>795637256</v>
      </c>
      <c r="H2922">
        <v>1477543626</v>
      </c>
      <c r="I2922">
        <v>-209768936</v>
      </c>
      <c r="J2922">
        <v>112606305</v>
      </c>
      <c r="K2922">
        <v>76080675</v>
      </c>
      <c r="L2922">
        <v>474672623</v>
      </c>
      <c r="M2922">
        <v>106685528</v>
      </c>
      <c r="N2922">
        <v>39660198</v>
      </c>
      <c r="O2922">
        <v>50358004</v>
      </c>
      <c r="P2922">
        <v>558</v>
      </c>
      <c r="Q2922" t="s">
        <v>5888</v>
      </c>
    </row>
    <row r="2923" spans="1:17" x14ac:dyDescent="0.3">
      <c r="A2923" t="s">
        <v>4446</v>
      </c>
      <c r="B2923" t="str">
        <f>"002196"</f>
        <v>002196</v>
      </c>
      <c r="C2923" t="s">
        <v>5889</v>
      </c>
      <c r="D2923" t="s">
        <v>188</v>
      </c>
      <c r="F2923">
        <v>324154026</v>
      </c>
      <c r="G2923">
        <v>-38528264</v>
      </c>
      <c r="H2923">
        <v>34795683</v>
      </c>
      <c r="I2923">
        <v>-107340529</v>
      </c>
      <c r="J2923">
        <v>-90530354</v>
      </c>
      <c r="K2923">
        <v>-99015193</v>
      </c>
      <c r="L2923">
        <v>-33620634</v>
      </c>
      <c r="M2923">
        <v>35842964</v>
      </c>
      <c r="N2923">
        <v>17350612</v>
      </c>
      <c r="O2923">
        <v>-12143377</v>
      </c>
      <c r="P2923">
        <v>163</v>
      </c>
      <c r="Q2923" t="s">
        <v>5890</v>
      </c>
    </row>
    <row r="2924" spans="1:17" x14ac:dyDescent="0.3">
      <c r="A2924" t="s">
        <v>4446</v>
      </c>
      <c r="B2924" t="str">
        <f>"002197"</f>
        <v>002197</v>
      </c>
      <c r="C2924" t="s">
        <v>5891</v>
      </c>
      <c r="D2924" t="s">
        <v>212</v>
      </c>
      <c r="F2924">
        <v>110812557</v>
      </c>
      <c r="G2924">
        <v>-350481435</v>
      </c>
      <c r="H2924">
        <v>-658193164</v>
      </c>
      <c r="I2924">
        <v>-321130828</v>
      </c>
      <c r="J2924">
        <v>-1277175920</v>
      </c>
      <c r="K2924">
        <v>-283546064</v>
      </c>
      <c r="L2924">
        <v>-398393493</v>
      </c>
      <c r="M2924">
        <v>54856381</v>
      </c>
      <c r="N2924">
        <v>-147298280</v>
      </c>
      <c r="O2924">
        <v>-14824521</v>
      </c>
      <c r="P2924">
        <v>230</v>
      </c>
      <c r="Q2924" t="s">
        <v>5892</v>
      </c>
    </row>
    <row r="2925" spans="1:17" x14ac:dyDescent="0.3">
      <c r="A2925" t="s">
        <v>4446</v>
      </c>
      <c r="B2925" t="str">
        <f>"002198"</f>
        <v>002198</v>
      </c>
      <c r="C2925" t="s">
        <v>5893</v>
      </c>
      <c r="D2925" t="s">
        <v>113</v>
      </c>
      <c r="F2925">
        <v>49471125</v>
      </c>
      <c r="G2925">
        <v>85222586</v>
      </c>
      <c r="H2925">
        <v>-5843239</v>
      </c>
      <c r="I2925">
        <v>55315816</v>
      </c>
      <c r="J2925">
        <v>14669135</v>
      </c>
      <c r="K2925">
        <v>41222843</v>
      </c>
      <c r="L2925">
        <v>8892260</v>
      </c>
      <c r="M2925">
        <v>4621733</v>
      </c>
      <c r="N2925">
        <v>10744817</v>
      </c>
      <c r="O2925">
        <v>-1303538</v>
      </c>
      <c r="P2925">
        <v>120</v>
      </c>
      <c r="Q2925" t="s">
        <v>5894</v>
      </c>
    </row>
    <row r="2926" spans="1:17" x14ac:dyDescent="0.3">
      <c r="A2926" t="s">
        <v>4446</v>
      </c>
      <c r="B2926" t="str">
        <f>"002199"</f>
        <v>002199</v>
      </c>
      <c r="C2926" t="s">
        <v>5895</v>
      </c>
      <c r="D2926" t="s">
        <v>150</v>
      </c>
      <c r="F2926">
        <v>-6430067</v>
      </c>
      <c r="G2926">
        <v>-15978772</v>
      </c>
      <c r="H2926">
        <v>79727678</v>
      </c>
      <c r="I2926">
        <v>-18302046</v>
      </c>
      <c r="J2926">
        <v>12949210</v>
      </c>
      <c r="K2926">
        <v>30412936</v>
      </c>
      <c r="L2926">
        <v>-113947778</v>
      </c>
      <c r="M2926">
        <v>-279602578</v>
      </c>
      <c r="N2926">
        <v>-150437456</v>
      </c>
      <c r="O2926">
        <v>-169736688</v>
      </c>
      <c r="P2926">
        <v>111</v>
      </c>
      <c r="Q2926" t="s">
        <v>5896</v>
      </c>
    </row>
    <row r="2927" spans="1:17" x14ac:dyDescent="0.3">
      <c r="A2927" t="s">
        <v>4446</v>
      </c>
      <c r="B2927" t="str">
        <f>"002200"</f>
        <v>002200</v>
      </c>
      <c r="C2927" t="s">
        <v>5897</v>
      </c>
      <c r="D2927" t="s">
        <v>95</v>
      </c>
      <c r="F2927">
        <v>68874296</v>
      </c>
      <c r="G2927">
        <v>297196256</v>
      </c>
      <c r="H2927">
        <v>26326281</v>
      </c>
      <c r="I2927">
        <v>-190877160</v>
      </c>
      <c r="J2927">
        <v>100569103</v>
      </c>
      <c r="K2927">
        <v>-529855125</v>
      </c>
      <c r="L2927">
        <v>-126676307</v>
      </c>
      <c r="M2927">
        <v>-217476288</v>
      </c>
      <c r="N2927">
        <v>-265357697</v>
      </c>
      <c r="O2927">
        <v>-85800349</v>
      </c>
      <c r="P2927">
        <v>53</v>
      </c>
      <c r="Q2927" t="s">
        <v>5898</v>
      </c>
    </row>
    <row r="2928" spans="1:17" x14ac:dyDescent="0.3">
      <c r="A2928" t="s">
        <v>4446</v>
      </c>
      <c r="B2928" t="str">
        <f>"002201"</f>
        <v>002201</v>
      </c>
      <c r="C2928" t="s">
        <v>5899</v>
      </c>
      <c r="D2928" t="s">
        <v>350</v>
      </c>
      <c r="F2928">
        <v>78137872</v>
      </c>
      <c r="G2928">
        <v>164734991</v>
      </c>
      <c r="H2928">
        <v>169305244</v>
      </c>
      <c r="I2928">
        <v>185480985</v>
      </c>
      <c r="J2928">
        <v>37679958</v>
      </c>
      <c r="K2928">
        <v>34532826</v>
      </c>
      <c r="L2928">
        <v>-260877950</v>
      </c>
      <c r="M2928">
        <v>-230418469</v>
      </c>
      <c r="N2928">
        <v>-15755614</v>
      </c>
      <c r="O2928">
        <v>28929023</v>
      </c>
      <c r="P2928">
        <v>132</v>
      </c>
      <c r="Q2928" t="s">
        <v>5900</v>
      </c>
    </row>
    <row r="2929" spans="1:17" x14ac:dyDescent="0.3">
      <c r="A2929" t="s">
        <v>4446</v>
      </c>
      <c r="B2929" t="str">
        <f>"002202"</f>
        <v>002202</v>
      </c>
      <c r="C2929" t="s">
        <v>5901</v>
      </c>
      <c r="D2929" t="s">
        <v>188</v>
      </c>
      <c r="F2929">
        <v>-5685344283</v>
      </c>
      <c r="G2929">
        <v>-2048526352</v>
      </c>
      <c r="H2929">
        <v>-5227250462</v>
      </c>
      <c r="I2929">
        <v>-2896183084</v>
      </c>
      <c r="J2929">
        <v>-1877367659</v>
      </c>
      <c r="K2929">
        <v>-2505448966</v>
      </c>
      <c r="L2929">
        <v>-2673825874</v>
      </c>
      <c r="M2929">
        <v>84916044</v>
      </c>
      <c r="N2929">
        <v>-4276636406</v>
      </c>
      <c r="O2929">
        <v>-102289235</v>
      </c>
      <c r="P2929">
        <v>1283</v>
      </c>
      <c r="Q2929" t="s">
        <v>5902</v>
      </c>
    </row>
    <row r="2930" spans="1:17" x14ac:dyDescent="0.3">
      <c r="A2930" t="s">
        <v>4446</v>
      </c>
      <c r="B2930" t="str">
        <f>"002203"</f>
        <v>002203</v>
      </c>
      <c r="C2930" t="s">
        <v>5903</v>
      </c>
      <c r="D2930" t="s">
        <v>234</v>
      </c>
      <c r="F2930">
        <v>-4093673579</v>
      </c>
      <c r="G2930">
        <v>-92243857</v>
      </c>
      <c r="H2930">
        <v>55857969</v>
      </c>
      <c r="I2930">
        <v>1340286251</v>
      </c>
      <c r="J2930">
        <v>-3508720783</v>
      </c>
      <c r="K2930">
        <v>477609278</v>
      </c>
      <c r="L2930">
        <v>-217112787</v>
      </c>
      <c r="M2930">
        <v>1192068468</v>
      </c>
      <c r="N2930">
        <v>154221917</v>
      </c>
      <c r="O2930">
        <v>390005184</v>
      </c>
      <c r="P2930">
        <v>239</v>
      </c>
      <c r="Q2930" t="s">
        <v>5904</v>
      </c>
    </row>
    <row r="2931" spans="1:17" x14ac:dyDescent="0.3">
      <c r="A2931" t="s">
        <v>4446</v>
      </c>
      <c r="B2931" t="str">
        <f>"002204"</f>
        <v>002204</v>
      </c>
      <c r="C2931" t="s">
        <v>5905</v>
      </c>
      <c r="D2931" t="s">
        <v>78</v>
      </c>
      <c r="F2931">
        <v>1451635688</v>
      </c>
      <c r="G2931">
        <v>770650646</v>
      </c>
      <c r="H2931">
        <v>790408626</v>
      </c>
      <c r="I2931">
        <v>-29157823</v>
      </c>
      <c r="J2931">
        <v>72011964</v>
      </c>
      <c r="K2931">
        <v>-178652926</v>
      </c>
      <c r="L2931">
        <v>16305584</v>
      </c>
      <c r="M2931">
        <v>-376415749</v>
      </c>
      <c r="N2931">
        <v>1135629281</v>
      </c>
      <c r="O2931">
        <v>953034092</v>
      </c>
      <c r="P2931">
        <v>137</v>
      </c>
      <c r="Q2931" t="s">
        <v>5906</v>
      </c>
    </row>
    <row r="2932" spans="1:17" x14ac:dyDescent="0.3">
      <c r="A2932" t="s">
        <v>4446</v>
      </c>
      <c r="B2932" t="str">
        <f>"002205"</f>
        <v>002205</v>
      </c>
      <c r="C2932" t="s">
        <v>5907</v>
      </c>
      <c r="D2932" t="s">
        <v>33</v>
      </c>
      <c r="F2932">
        <v>-109453873</v>
      </c>
      <c r="G2932">
        <v>134213468</v>
      </c>
      <c r="H2932">
        <v>58789391</v>
      </c>
      <c r="I2932">
        <v>-158304485</v>
      </c>
      <c r="J2932">
        <v>16420927</v>
      </c>
      <c r="K2932">
        <v>178747701</v>
      </c>
      <c r="L2932">
        <v>-78770720</v>
      </c>
      <c r="M2932">
        <v>-166420288</v>
      </c>
      <c r="N2932">
        <v>184901223</v>
      </c>
      <c r="O2932">
        <v>-29205953</v>
      </c>
      <c r="P2932">
        <v>86</v>
      </c>
      <c r="Q2932" t="s">
        <v>5908</v>
      </c>
    </row>
    <row r="2933" spans="1:17" x14ac:dyDescent="0.3">
      <c r="A2933" t="s">
        <v>4446</v>
      </c>
      <c r="B2933" t="str">
        <f>"002206"</f>
        <v>002206</v>
      </c>
      <c r="C2933" t="s">
        <v>5909</v>
      </c>
      <c r="D2933" t="s">
        <v>133</v>
      </c>
      <c r="F2933">
        <v>-332137003</v>
      </c>
      <c r="G2933">
        <v>-308852026</v>
      </c>
      <c r="H2933">
        <v>230451347</v>
      </c>
      <c r="I2933">
        <v>-74979506</v>
      </c>
      <c r="J2933">
        <v>58983842</v>
      </c>
      <c r="K2933">
        <v>204537327</v>
      </c>
      <c r="L2933">
        <v>-171005338</v>
      </c>
      <c r="M2933">
        <v>62553768</v>
      </c>
      <c r="N2933">
        <v>-60694892</v>
      </c>
      <c r="O2933">
        <v>-158885636</v>
      </c>
      <c r="P2933">
        <v>369</v>
      </c>
      <c r="Q2933" t="s">
        <v>5910</v>
      </c>
    </row>
    <row r="2934" spans="1:17" x14ac:dyDescent="0.3">
      <c r="A2934" t="s">
        <v>4446</v>
      </c>
      <c r="B2934" t="str">
        <f>"002207"</f>
        <v>002207</v>
      </c>
      <c r="C2934" t="s">
        <v>5911</v>
      </c>
      <c r="D2934" t="s">
        <v>70</v>
      </c>
      <c r="F2934">
        <v>11891734</v>
      </c>
      <c r="G2934">
        <v>-39469354</v>
      </c>
      <c r="H2934">
        <v>24276585</v>
      </c>
      <c r="I2934">
        <v>-55320997</v>
      </c>
      <c r="J2934">
        <v>-31961588</v>
      </c>
      <c r="K2934">
        <v>25694328</v>
      </c>
      <c r="L2934">
        <v>111563219</v>
      </c>
      <c r="M2934">
        <v>-189223471</v>
      </c>
      <c r="N2934">
        <v>84955105</v>
      </c>
      <c r="O2934">
        <v>-11392030</v>
      </c>
      <c r="P2934">
        <v>73</v>
      </c>
      <c r="Q2934" t="s">
        <v>5912</v>
      </c>
    </row>
    <row r="2935" spans="1:17" x14ac:dyDescent="0.3">
      <c r="A2935" t="s">
        <v>4446</v>
      </c>
      <c r="B2935" t="str">
        <f>"002208"</f>
        <v>002208</v>
      </c>
      <c r="C2935" t="s">
        <v>5913</v>
      </c>
      <c r="D2935" t="s">
        <v>30</v>
      </c>
      <c r="F2935">
        <v>-2619358746</v>
      </c>
      <c r="G2935">
        <v>54833828</v>
      </c>
      <c r="H2935">
        <v>515618974</v>
      </c>
      <c r="I2935">
        <v>1230540098</v>
      </c>
      <c r="J2935">
        <v>-47019027</v>
      </c>
      <c r="K2935">
        <v>-377704486</v>
      </c>
      <c r="L2935">
        <v>534774941</v>
      </c>
      <c r="M2935">
        <v>-477842655</v>
      </c>
      <c r="N2935">
        <v>345910994</v>
      </c>
      <c r="O2935">
        <v>-7029349</v>
      </c>
      <c r="P2935">
        <v>198</v>
      </c>
      <c r="Q2935" t="s">
        <v>5914</v>
      </c>
    </row>
    <row r="2936" spans="1:17" x14ac:dyDescent="0.3">
      <c r="A2936" t="s">
        <v>4446</v>
      </c>
      <c r="B2936" t="str">
        <f>"002209"</f>
        <v>002209</v>
      </c>
      <c r="C2936" t="s">
        <v>5915</v>
      </c>
      <c r="D2936" t="s">
        <v>78</v>
      </c>
      <c r="F2936">
        <v>5943779</v>
      </c>
      <c r="G2936">
        <v>-5032581</v>
      </c>
      <c r="H2936">
        <v>-65197206</v>
      </c>
      <c r="I2936">
        <v>19880795</v>
      </c>
      <c r="J2936">
        <v>108858749</v>
      </c>
      <c r="K2936">
        <v>-137481133</v>
      </c>
      <c r="L2936">
        <v>126831568</v>
      </c>
      <c r="M2936">
        <v>-41494913</v>
      </c>
      <c r="N2936">
        <v>-20082286</v>
      </c>
      <c r="O2936">
        <v>-33795816</v>
      </c>
      <c r="P2936">
        <v>75</v>
      </c>
      <c r="Q2936" t="s">
        <v>5916</v>
      </c>
    </row>
    <row r="2937" spans="1:17" x14ac:dyDescent="0.3">
      <c r="A2937" t="s">
        <v>4446</v>
      </c>
      <c r="B2937" t="str">
        <f>"002210"</f>
        <v>002210</v>
      </c>
      <c r="C2937" t="s">
        <v>5917</v>
      </c>
      <c r="D2937" t="s">
        <v>22</v>
      </c>
      <c r="F2937">
        <v>-106966897</v>
      </c>
      <c r="G2937">
        <v>139299</v>
      </c>
      <c r="H2937">
        <v>-20671512</v>
      </c>
      <c r="I2937">
        <v>-4746408702</v>
      </c>
      <c r="J2937">
        <v>149903250</v>
      </c>
      <c r="K2937">
        <v>-1839949483</v>
      </c>
      <c r="L2937">
        <v>-958601492</v>
      </c>
      <c r="M2937">
        <v>312296082</v>
      </c>
      <c r="N2937">
        <v>191762754</v>
      </c>
      <c r="O2937">
        <v>1529976543</v>
      </c>
      <c r="P2937">
        <v>83</v>
      </c>
      <c r="Q2937" t="s">
        <v>5918</v>
      </c>
    </row>
    <row r="2938" spans="1:17" x14ac:dyDescent="0.3">
      <c r="A2938" t="s">
        <v>4446</v>
      </c>
      <c r="B2938" t="str">
        <f>"002211"</f>
        <v>002211</v>
      </c>
      <c r="C2938" t="s">
        <v>5919</v>
      </c>
      <c r="D2938" t="s">
        <v>133</v>
      </c>
      <c r="F2938">
        <v>-31297371</v>
      </c>
      <c r="G2938">
        <v>-339129146</v>
      </c>
      <c r="H2938">
        <v>-259232514</v>
      </c>
      <c r="I2938">
        <v>131816601</v>
      </c>
      <c r="J2938">
        <v>120165336</v>
      </c>
      <c r="K2938">
        <v>252781184</v>
      </c>
      <c r="L2938">
        <v>86569797</v>
      </c>
      <c r="M2938">
        <v>456282041</v>
      </c>
      <c r="N2938">
        <v>-13606838</v>
      </c>
      <c r="O2938">
        <v>29273860</v>
      </c>
      <c r="P2938">
        <v>85</v>
      </c>
      <c r="Q2938" t="s">
        <v>5920</v>
      </c>
    </row>
    <row r="2939" spans="1:17" x14ac:dyDescent="0.3">
      <c r="A2939" t="s">
        <v>4446</v>
      </c>
      <c r="B2939" t="str">
        <f>"002212"</f>
        <v>002212</v>
      </c>
      <c r="C2939" t="s">
        <v>5921</v>
      </c>
      <c r="D2939" t="s">
        <v>212</v>
      </c>
      <c r="F2939">
        <v>-347761470</v>
      </c>
      <c r="G2939">
        <v>-130190961</v>
      </c>
      <c r="H2939">
        <v>513465453</v>
      </c>
      <c r="I2939">
        <v>317521558</v>
      </c>
      <c r="J2939">
        <v>2329717</v>
      </c>
      <c r="K2939">
        <v>-84049356</v>
      </c>
      <c r="L2939">
        <v>164145754</v>
      </c>
      <c r="M2939">
        <v>-76436893</v>
      </c>
      <c r="N2939">
        <v>160183503</v>
      </c>
      <c r="O2939">
        <v>-127691334</v>
      </c>
      <c r="P2939">
        <v>249</v>
      </c>
      <c r="Q2939" t="s">
        <v>5922</v>
      </c>
    </row>
    <row r="2940" spans="1:17" x14ac:dyDescent="0.3">
      <c r="A2940" t="s">
        <v>4446</v>
      </c>
      <c r="B2940" t="str">
        <f>"002213"</f>
        <v>002213</v>
      </c>
      <c r="C2940" t="s">
        <v>5923</v>
      </c>
      <c r="D2940" t="s">
        <v>27</v>
      </c>
      <c r="F2940">
        <v>-2023569</v>
      </c>
      <c r="G2940">
        <v>-38966727</v>
      </c>
      <c r="H2940">
        <v>-19891391</v>
      </c>
      <c r="I2940">
        <v>51112980</v>
      </c>
      <c r="J2940">
        <v>43104296</v>
      </c>
      <c r="K2940">
        <v>35895691</v>
      </c>
      <c r="L2940">
        <v>28200812</v>
      </c>
      <c r="M2940">
        <v>10190715</v>
      </c>
      <c r="N2940">
        <v>31588669</v>
      </c>
      <c r="O2940">
        <v>-37204769</v>
      </c>
      <c r="P2940">
        <v>90</v>
      </c>
      <c r="Q2940" t="s">
        <v>5924</v>
      </c>
    </row>
    <row r="2941" spans="1:17" x14ac:dyDescent="0.3">
      <c r="A2941" t="s">
        <v>4446</v>
      </c>
      <c r="B2941" t="str">
        <f>"002214"</f>
        <v>002214</v>
      </c>
      <c r="C2941" t="s">
        <v>5925</v>
      </c>
      <c r="D2941" t="s">
        <v>92</v>
      </c>
      <c r="F2941">
        <v>-176505296</v>
      </c>
      <c r="G2941">
        <v>221715117</v>
      </c>
      <c r="H2941">
        <v>22738066</v>
      </c>
      <c r="I2941">
        <v>14540014</v>
      </c>
      <c r="J2941">
        <v>-21973669</v>
      </c>
      <c r="K2941">
        <v>-40636188</v>
      </c>
      <c r="L2941">
        <v>-124775774</v>
      </c>
      <c r="M2941">
        <v>-107983750</v>
      </c>
      <c r="N2941">
        <v>18137382</v>
      </c>
      <c r="O2941">
        <v>3612022</v>
      </c>
      <c r="P2941">
        <v>511</v>
      </c>
      <c r="Q2941" t="s">
        <v>5926</v>
      </c>
    </row>
    <row r="2942" spans="1:17" x14ac:dyDescent="0.3">
      <c r="A2942" t="s">
        <v>4446</v>
      </c>
      <c r="B2942" t="str">
        <f>"002215"</f>
        <v>002215</v>
      </c>
      <c r="C2942" t="s">
        <v>5927</v>
      </c>
      <c r="D2942" t="s">
        <v>133</v>
      </c>
      <c r="F2942">
        <v>-84457223</v>
      </c>
      <c r="G2942">
        <v>286668372</v>
      </c>
      <c r="H2942">
        <v>-89140135</v>
      </c>
      <c r="I2942">
        <v>-11877627</v>
      </c>
      <c r="J2942">
        <v>-521837103</v>
      </c>
      <c r="K2942">
        <v>-417457449</v>
      </c>
      <c r="L2942">
        <v>773862786</v>
      </c>
      <c r="M2942">
        <v>274272983</v>
      </c>
      <c r="N2942">
        <v>172100536</v>
      </c>
      <c r="O2942">
        <v>352131831</v>
      </c>
      <c r="P2942">
        <v>175</v>
      </c>
      <c r="Q2942" t="s">
        <v>5928</v>
      </c>
    </row>
    <row r="2943" spans="1:17" x14ac:dyDescent="0.3">
      <c r="A2943" t="s">
        <v>4446</v>
      </c>
      <c r="B2943" t="str">
        <f>"002216"</f>
        <v>002216</v>
      </c>
      <c r="C2943" t="s">
        <v>5929</v>
      </c>
      <c r="D2943" t="s">
        <v>123</v>
      </c>
      <c r="F2943">
        <v>711153137</v>
      </c>
      <c r="G2943">
        <v>1038968298</v>
      </c>
      <c r="H2943">
        <v>175065129</v>
      </c>
      <c r="I2943">
        <v>115196506</v>
      </c>
      <c r="J2943">
        <v>145035177</v>
      </c>
      <c r="K2943">
        <v>200950047</v>
      </c>
      <c r="L2943">
        <v>-234514429</v>
      </c>
      <c r="M2943">
        <v>-108036124</v>
      </c>
      <c r="N2943">
        <v>-110858841</v>
      </c>
      <c r="O2943">
        <v>59948056</v>
      </c>
      <c r="P2943">
        <v>1276</v>
      </c>
      <c r="Q2943" t="s">
        <v>5930</v>
      </c>
    </row>
    <row r="2944" spans="1:17" x14ac:dyDescent="0.3">
      <c r="A2944" t="s">
        <v>4446</v>
      </c>
      <c r="B2944" t="str">
        <f>"002217"</f>
        <v>002217</v>
      </c>
      <c r="C2944" t="s">
        <v>5931</v>
      </c>
      <c r="D2944" t="s">
        <v>150</v>
      </c>
      <c r="F2944">
        <v>423989795</v>
      </c>
      <c r="G2944">
        <v>-1515058667</v>
      </c>
      <c r="H2944">
        <v>-313664345</v>
      </c>
      <c r="I2944">
        <v>-2471857382</v>
      </c>
      <c r="J2944">
        <v>-1716785919</v>
      </c>
      <c r="K2944">
        <v>-325173971</v>
      </c>
      <c r="L2944">
        <v>37753850</v>
      </c>
      <c r="M2944">
        <v>-398313494</v>
      </c>
      <c r="N2944">
        <v>27906781</v>
      </c>
      <c r="O2944">
        <v>-74606009</v>
      </c>
      <c r="P2944">
        <v>490</v>
      </c>
      <c r="Q2944" t="s">
        <v>5932</v>
      </c>
    </row>
    <row r="2945" spans="1:17" x14ac:dyDescent="0.3">
      <c r="A2945" t="s">
        <v>4446</v>
      </c>
      <c r="B2945" t="str">
        <f>"002218"</f>
        <v>002218</v>
      </c>
      <c r="C2945" t="s">
        <v>5933</v>
      </c>
      <c r="D2945" t="s">
        <v>188</v>
      </c>
      <c r="F2945">
        <v>-42015958</v>
      </c>
      <c r="G2945">
        <v>197576432</v>
      </c>
      <c r="H2945">
        <v>151567976</v>
      </c>
      <c r="I2945">
        <v>-312057104</v>
      </c>
      <c r="J2945">
        <v>-212415275</v>
      </c>
      <c r="K2945">
        <v>-254328852</v>
      </c>
      <c r="L2945">
        <v>-652450120</v>
      </c>
      <c r="M2945">
        <v>32360601</v>
      </c>
      <c r="N2945">
        <v>-143106803</v>
      </c>
      <c r="O2945">
        <v>-158435117</v>
      </c>
      <c r="P2945">
        <v>218</v>
      </c>
      <c r="Q2945" t="s">
        <v>5934</v>
      </c>
    </row>
    <row r="2946" spans="1:17" x14ac:dyDescent="0.3">
      <c r="A2946" t="s">
        <v>4446</v>
      </c>
      <c r="B2946" t="str">
        <f>"002219"</f>
        <v>002219</v>
      </c>
      <c r="C2946" t="s">
        <v>5935</v>
      </c>
      <c r="D2946" t="s">
        <v>113</v>
      </c>
      <c r="F2946">
        <v>79914467</v>
      </c>
      <c r="G2946">
        <v>89399696</v>
      </c>
      <c r="H2946">
        <v>336280259</v>
      </c>
      <c r="I2946">
        <v>305635191</v>
      </c>
      <c r="J2946">
        <v>-777191776</v>
      </c>
      <c r="K2946">
        <v>-976857745</v>
      </c>
      <c r="L2946">
        <v>-226459325</v>
      </c>
      <c r="M2946">
        <v>167634340</v>
      </c>
      <c r="N2946">
        <v>21384139</v>
      </c>
      <c r="O2946">
        <v>73763512</v>
      </c>
      <c r="P2946">
        <v>94</v>
      </c>
      <c r="Q2946" t="s">
        <v>5936</v>
      </c>
    </row>
    <row r="2947" spans="1:17" x14ac:dyDescent="0.3">
      <c r="A2947" t="s">
        <v>4446</v>
      </c>
      <c r="B2947" t="str">
        <f>"002220"</f>
        <v>002220</v>
      </c>
      <c r="C2947" t="s">
        <v>5937</v>
      </c>
      <c r="H2947">
        <v>4926227</v>
      </c>
      <c r="I2947">
        <v>72907520</v>
      </c>
      <c r="J2947">
        <v>-321686291</v>
      </c>
      <c r="K2947">
        <v>150904213</v>
      </c>
      <c r="L2947">
        <v>109787748</v>
      </c>
      <c r="M2947">
        <v>-470914765</v>
      </c>
      <c r="N2947">
        <v>-518520027</v>
      </c>
      <c r="O2947">
        <v>-15253932</v>
      </c>
      <c r="P2947">
        <v>51</v>
      </c>
      <c r="Q2947" t="s">
        <v>5938</v>
      </c>
    </row>
    <row r="2948" spans="1:17" x14ac:dyDescent="0.3">
      <c r="A2948" t="s">
        <v>4446</v>
      </c>
      <c r="B2948" t="str">
        <f>"002221"</f>
        <v>002221</v>
      </c>
      <c r="C2948" t="s">
        <v>5939</v>
      </c>
      <c r="D2948" t="s">
        <v>70</v>
      </c>
      <c r="F2948">
        <v>-1890689187</v>
      </c>
      <c r="G2948">
        <v>-805704279</v>
      </c>
      <c r="H2948">
        <v>-432056772</v>
      </c>
      <c r="I2948">
        <v>1484575088</v>
      </c>
      <c r="J2948">
        <v>1332300136</v>
      </c>
      <c r="K2948">
        <v>-1022301004</v>
      </c>
      <c r="L2948">
        <v>-2097713795</v>
      </c>
      <c r="M2948">
        <v>-2548560715</v>
      </c>
      <c r="N2948">
        <v>-413164597</v>
      </c>
      <c r="O2948">
        <v>142868858</v>
      </c>
      <c r="P2948">
        <v>391</v>
      </c>
      <c r="Q2948" t="s">
        <v>5940</v>
      </c>
    </row>
    <row r="2949" spans="1:17" x14ac:dyDescent="0.3">
      <c r="A2949" t="s">
        <v>4446</v>
      </c>
      <c r="B2949" t="str">
        <f>"002222"</f>
        <v>002222</v>
      </c>
      <c r="C2949" t="s">
        <v>5941</v>
      </c>
      <c r="D2949" t="s">
        <v>150</v>
      </c>
      <c r="F2949">
        <v>78603043</v>
      </c>
      <c r="G2949">
        <v>118719280</v>
      </c>
      <c r="H2949">
        <v>68543966</v>
      </c>
      <c r="I2949">
        <v>55344431</v>
      </c>
      <c r="J2949">
        <v>52807565</v>
      </c>
      <c r="K2949">
        <v>69027290</v>
      </c>
      <c r="L2949">
        <v>38801702</v>
      </c>
      <c r="M2949">
        <v>36296926</v>
      </c>
      <c r="N2949">
        <v>35498995</v>
      </c>
      <c r="O2949">
        <v>16148237</v>
      </c>
      <c r="P2949">
        <v>517</v>
      </c>
      <c r="Q2949" t="s">
        <v>5942</v>
      </c>
    </row>
    <row r="2950" spans="1:17" x14ac:dyDescent="0.3">
      <c r="A2950" t="s">
        <v>4446</v>
      </c>
      <c r="B2950" t="str">
        <f>"002223"</f>
        <v>002223</v>
      </c>
      <c r="C2950" t="s">
        <v>5943</v>
      </c>
      <c r="D2950" t="s">
        <v>113</v>
      </c>
      <c r="F2950">
        <v>917600043</v>
      </c>
      <c r="G2950">
        <v>2153111965</v>
      </c>
      <c r="H2950">
        <v>174303792</v>
      </c>
      <c r="I2950">
        <v>411273440</v>
      </c>
      <c r="J2950">
        <v>-247261086</v>
      </c>
      <c r="K2950">
        <v>601348625</v>
      </c>
      <c r="L2950">
        <v>378741123</v>
      </c>
      <c r="M2950">
        <v>59840370</v>
      </c>
      <c r="N2950">
        <v>36230081</v>
      </c>
      <c r="O2950">
        <v>11840379</v>
      </c>
      <c r="P2950">
        <v>17494</v>
      </c>
      <c r="Q2950" t="s">
        <v>5944</v>
      </c>
    </row>
    <row r="2951" spans="1:17" x14ac:dyDescent="0.3">
      <c r="A2951" t="s">
        <v>4446</v>
      </c>
      <c r="B2951" t="str">
        <f>"002224"</f>
        <v>002224</v>
      </c>
      <c r="C2951" t="s">
        <v>5945</v>
      </c>
      <c r="D2951" t="s">
        <v>133</v>
      </c>
      <c r="F2951">
        <v>161644066</v>
      </c>
      <c r="G2951">
        <v>-8314302</v>
      </c>
      <c r="H2951">
        <v>112654043</v>
      </c>
      <c r="I2951">
        <v>-22273014</v>
      </c>
      <c r="J2951">
        <v>55063273</v>
      </c>
      <c r="K2951">
        <v>49551506</v>
      </c>
      <c r="L2951">
        <v>320708900</v>
      </c>
      <c r="M2951">
        <v>236516250</v>
      </c>
      <c r="N2951">
        <v>-12988534</v>
      </c>
      <c r="O2951">
        <v>94564583</v>
      </c>
      <c r="P2951">
        <v>186</v>
      </c>
      <c r="Q2951" t="s">
        <v>5946</v>
      </c>
    </row>
    <row r="2952" spans="1:17" x14ac:dyDescent="0.3">
      <c r="A2952" t="s">
        <v>4446</v>
      </c>
      <c r="B2952" t="str">
        <f>"002225"</f>
        <v>002225</v>
      </c>
      <c r="C2952" t="s">
        <v>5947</v>
      </c>
      <c r="D2952" t="s">
        <v>350</v>
      </c>
      <c r="F2952">
        <v>-444030622</v>
      </c>
      <c r="G2952">
        <v>128226873</v>
      </c>
      <c r="H2952">
        <v>220762362</v>
      </c>
      <c r="I2952">
        <v>362052808</v>
      </c>
      <c r="J2952">
        <v>105187085</v>
      </c>
      <c r="K2952">
        <v>171103032</v>
      </c>
      <c r="L2952">
        <v>-92403375</v>
      </c>
      <c r="M2952">
        <v>136661112</v>
      </c>
      <c r="N2952">
        <v>117755183</v>
      </c>
      <c r="O2952">
        <v>43886838</v>
      </c>
      <c r="P2952">
        <v>142</v>
      </c>
      <c r="Q2952" t="s">
        <v>5948</v>
      </c>
    </row>
    <row r="2953" spans="1:17" x14ac:dyDescent="0.3">
      <c r="A2953" t="s">
        <v>4446</v>
      </c>
      <c r="B2953" t="str">
        <f>"002226"</f>
        <v>002226</v>
      </c>
      <c r="C2953" t="s">
        <v>5949</v>
      </c>
      <c r="D2953" t="s">
        <v>133</v>
      </c>
      <c r="F2953">
        <v>790531647</v>
      </c>
      <c r="G2953">
        <v>638366162</v>
      </c>
      <c r="H2953">
        <v>450592306</v>
      </c>
      <c r="I2953">
        <v>61992633</v>
      </c>
      <c r="J2953">
        <v>217117891</v>
      </c>
      <c r="K2953">
        <v>108731384</v>
      </c>
      <c r="L2953">
        <v>141171311</v>
      </c>
      <c r="M2953">
        <v>166261786</v>
      </c>
      <c r="N2953">
        <v>8063099</v>
      </c>
      <c r="O2953">
        <v>202414805</v>
      </c>
      <c r="P2953">
        <v>172</v>
      </c>
      <c r="Q2953" t="s">
        <v>5950</v>
      </c>
    </row>
    <row r="2954" spans="1:17" x14ac:dyDescent="0.3">
      <c r="A2954" t="s">
        <v>4446</v>
      </c>
      <c r="B2954" t="str">
        <f>"002227"</f>
        <v>002227</v>
      </c>
      <c r="C2954" t="s">
        <v>5951</v>
      </c>
      <c r="D2954" t="s">
        <v>188</v>
      </c>
      <c r="F2954">
        <v>-51468095</v>
      </c>
      <c r="G2954">
        <v>-22271271</v>
      </c>
      <c r="H2954">
        <v>-116028840</v>
      </c>
      <c r="I2954">
        <v>-167769657</v>
      </c>
      <c r="J2954">
        <v>-34144381</v>
      </c>
      <c r="K2954">
        <v>-58361488</v>
      </c>
      <c r="L2954">
        <v>3249339</v>
      </c>
      <c r="M2954">
        <v>-50659332</v>
      </c>
      <c r="N2954">
        <v>13611889</v>
      </c>
      <c r="O2954">
        <v>-35233795</v>
      </c>
      <c r="P2954">
        <v>162</v>
      </c>
      <c r="Q2954" t="s">
        <v>5952</v>
      </c>
    </row>
    <row r="2955" spans="1:17" x14ac:dyDescent="0.3">
      <c r="A2955" t="s">
        <v>4446</v>
      </c>
      <c r="B2955" t="str">
        <f>"002228"</f>
        <v>002228</v>
      </c>
      <c r="C2955" t="s">
        <v>5953</v>
      </c>
      <c r="D2955" t="s">
        <v>161</v>
      </c>
      <c r="F2955">
        <v>-256820593</v>
      </c>
      <c r="G2955">
        <v>-248599553</v>
      </c>
      <c r="H2955">
        <v>142721227</v>
      </c>
      <c r="I2955">
        <v>295544441</v>
      </c>
      <c r="J2955">
        <v>-408125426</v>
      </c>
      <c r="K2955">
        <v>306129067</v>
      </c>
      <c r="L2955">
        <v>-80061966</v>
      </c>
      <c r="M2955">
        <v>153184675</v>
      </c>
      <c r="N2955">
        <v>1838109</v>
      </c>
      <c r="O2955">
        <v>-109382982</v>
      </c>
      <c r="P2955">
        <v>291</v>
      </c>
      <c r="Q2955" t="s">
        <v>5954</v>
      </c>
    </row>
    <row r="2956" spans="1:17" x14ac:dyDescent="0.3">
      <c r="A2956" t="s">
        <v>4446</v>
      </c>
      <c r="B2956" t="str">
        <f>"002229"</f>
        <v>002229</v>
      </c>
      <c r="C2956" t="s">
        <v>5955</v>
      </c>
      <c r="D2956" t="s">
        <v>161</v>
      </c>
      <c r="F2956">
        <v>3331977</v>
      </c>
      <c r="G2956">
        <v>88090384</v>
      </c>
      <c r="H2956">
        <v>31852915</v>
      </c>
      <c r="I2956">
        <v>111340668</v>
      </c>
      <c r="J2956">
        <v>13557625</v>
      </c>
      <c r="K2956">
        <v>96295986</v>
      </c>
      <c r="L2956">
        <v>66261433</v>
      </c>
      <c r="M2956">
        <v>-47172462</v>
      </c>
      <c r="N2956">
        <v>25583624</v>
      </c>
      <c r="O2956">
        <v>-251400566</v>
      </c>
      <c r="P2956">
        <v>118</v>
      </c>
      <c r="Q2956" t="s">
        <v>5956</v>
      </c>
    </row>
    <row r="2957" spans="1:17" x14ac:dyDescent="0.3">
      <c r="A2957" t="s">
        <v>4446</v>
      </c>
      <c r="B2957" t="str">
        <f>"002230"</f>
        <v>002230</v>
      </c>
      <c r="C2957" t="s">
        <v>5957</v>
      </c>
      <c r="D2957" t="s">
        <v>212</v>
      </c>
      <c r="F2957">
        <v>-1186819840</v>
      </c>
      <c r="G2957">
        <v>1239309886</v>
      </c>
      <c r="H2957">
        <v>-350718144</v>
      </c>
      <c r="I2957">
        <v>-663688156</v>
      </c>
      <c r="J2957">
        <v>-669037938</v>
      </c>
      <c r="K2957">
        <v>-761724919</v>
      </c>
      <c r="L2957">
        <v>-373978137</v>
      </c>
      <c r="M2957">
        <v>-160044577</v>
      </c>
      <c r="N2957">
        <v>-46510643</v>
      </c>
      <c r="O2957">
        <v>-116147336</v>
      </c>
      <c r="P2957">
        <v>3021</v>
      </c>
      <c r="Q2957" t="s">
        <v>5958</v>
      </c>
    </row>
    <row r="2958" spans="1:17" x14ac:dyDescent="0.3">
      <c r="A2958" t="s">
        <v>4446</v>
      </c>
      <c r="B2958" t="str">
        <f>"002231"</f>
        <v>002231</v>
      </c>
      <c r="C2958" t="s">
        <v>5959</v>
      </c>
      <c r="D2958" t="s">
        <v>92</v>
      </c>
      <c r="F2958">
        <v>82241075</v>
      </c>
      <c r="G2958">
        <v>-109551807</v>
      </c>
      <c r="H2958">
        <v>133947505</v>
      </c>
      <c r="I2958">
        <v>55155257</v>
      </c>
      <c r="J2958">
        <v>-77907658</v>
      </c>
      <c r="K2958">
        <v>29384742</v>
      </c>
      <c r="L2958">
        <v>49868824</v>
      </c>
      <c r="M2958">
        <v>-4142753</v>
      </c>
      <c r="N2958">
        <v>-122485070</v>
      </c>
      <c r="O2958">
        <v>-126703954</v>
      </c>
      <c r="P2958">
        <v>155</v>
      </c>
      <c r="Q2958" t="s">
        <v>5960</v>
      </c>
    </row>
    <row r="2959" spans="1:17" x14ac:dyDescent="0.3">
      <c r="A2959" t="s">
        <v>4446</v>
      </c>
      <c r="B2959" t="str">
        <f>"002232"</f>
        <v>002232</v>
      </c>
      <c r="C2959" t="s">
        <v>5961</v>
      </c>
      <c r="D2959" t="s">
        <v>212</v>
      </c>
      <c r="F2959">
        <v>-173010971</v>
      </c>
      <c r="G2959">
        <v>68580655</v>
      </c>
      <c r="H2959">
        <v>175718350</v>
      </c>
      <c r="I2959">
        <v>7631202</v>
      </c>
      <c r="J2959">
        <v>5826984</v>
      </c>
      <c r="K2959">
        <v>134638215</v>
      </c>
      <c r="L2959">
        <v>228021903</v>
      </c>
      <c r="M2959">
        <v>84023395</v>
      </c>
      <c r="N2959">
        <v>21808038</v>
      </c>
      <c r="O2959">
        <v>49711086</v>
      </c>
      <c r="P2959">
        <v>247</v>
      </c>
      <c r="Q2959" t="s">
        <v>5962</v>
      </c>
    </row>
    <row r="2960" spans="1:17" x14ac:dyDescent="0.3">
      <c r="A2960" t="s">
        <v>4446</v>
      </c>
      <c r="B2960" t="str">
        <f>"002233"</f>
        <v>002233</v>
      </c>
      <c r="C2960" t="s">
        <v>5963</v>
      </c>
      <c r="D2960" t="s">
        <v>350</v>
      </c>
      <c r="F2960">
        <v>1395294979</v>
      </c>
      <c r="G2960">
        <v>1631972581</v>
      </c>
      <c r="H2960">
        <v>715866601</v>
      </c>
      <c r="I2960">
        <v>1866495134</v>
      </c>
      <c r="J2960">
        <v>359711501</v>
      </c>
      <c r="K2960">
        <v>314699542</v>
      </c>
      <c r="L2960">
        <v>648257502</v>
      </c>
      <c r="M2960">
        <v>870924507</v>
      </c>
      <c r="N2960">
        <v>260276294</v>
      </c>
      <c r="O2960">
        <v>265340744</v>
      </c>
      <c r="P2960">
        <v>1388</v>
      </c>
      <c r="Q2960" t="s">
        <v>5964</v>
      </c>
    </row>
    <row r="2961" spans="1:17" x14ac:dyDescent="0.3">
      <c r="A2961" t="s">
        <v>4446</v>
      </c>
      <c r="B2961" t="str">
        <f>"002234"</f>
        <v>002234</v>
      </c>
      <c r="C2961" t="s">
        <v>5965</v>
      </c>
      <c r="D2961" t="s">
        <v>205</v>
      </c>
      <c r="F2961">
        <v>-235474399</v>
      </c>
      <c r="G2961">
        <v>-105625593</v>
      </c>
      <c r="H2961">
        <v>1570511350</v>
      </c>
      <c r="I2961">
        <v>282815135</v>
      </c>
      <c r="J2961">
        <v>-395569419</v>
      </c>
      <c r="K2961">
        <v>-11406348</v>
      </c>
      <c r="L2961">
        <v>-22164486</v>
      </c>
      <c r="M2961">
        <v>-339332487</v>
      </c>
      <c r="N2961">
        <v>-162127311</v>
      </c>
      <c r="O2961">
        <v>-156778726</v>
      </c>
      <c r="P2961">
        <v>577</v>
      </c>
      <c r="Q2961" t="s">
        <v>5966</v>
      </c>
    </row>
    <row r="2962" spans="1:17" x14ac:dyDescent="0.3">
      <c r="A2962" t="s">
        <v>4446</v>
      </c>
      <c r="B2962" t="str">
        <f>"002235"</f>
        <v>002235</v>
      </c>
      <c r="C2962" t="s">
        <v>5967</v>
      </c>
      <c r="D2962" t="s">
        <v>161</v>
      </c>
      <c r="F2962">
        <v>-39480827</v>
      </c>
      <c r="G2962">
        <v>-45348067</v>
      </c>
      <c r="H2962">
        <v>77269268</v>
      </c>
      <c r="I2962">
        <v>-151984109</v>
      </c>
      <c r="J2962">
        <v>-45318152</v>
      </c>
      <c r="K2962">
        <v>65143148</v>
      </c>
      <c r="L2962">
        <v>100452628</v>
      </c>
      <c r="M2962">
        <v>39724291</v>
      </c>
      <c r="N2962">
        <v>16075897</v>
      </c>
      <c r="O2962">
        <v>37016053</v>
      </c>
      <c r="P2962">
        <v>142</v>
      </c>
      <c r="Q2962" t="s">
        <v>5968</v>
      </c>
    </row>
    <row r="2963" spans="1:17" x14ac:dyDescent="0.3">
      <c r="A2963" t="s">
        <v>4446</v>
      </c>
      <c r="B2963" t="str">
        <f>"002236"</f>
        <v>002236</v>
      </c>
      <c r="C2963" t="s">
        <v>5969</v>
      </c>
      <c r="D2963" t="s">
        <v>212</v>
      </c>
      <c r="F2963">
        <v>548141789</v>
      </c>
      <c r="G2963">
        <v>3762028708</v>
      </c>
      <c r="H2963">
        <v>1075465562</v>
      </c>
      <c r="I2963">
        <v>409903006</v>
      </c>
      <c r="J2963">
        <v>628969231</v>
      </c>
      <c r="K2963">
        <v>-92860611</v>
      </c>
      <c r="L2963">
        <v>-166633925</v>
      </c>
      <c r="M2963">
        <v>-143354717</v>
      </c>
      <c r="N2963">
        <v>192253878</v>
      </c>
      <c r="O2963">
        <v>301536498</v>
      </c>
      <c r="P2963">
        <v>32898</v>
      </c>
      <c r="Q2963" t="s">
        <v>5970</v>
      </c>
    </row>
    <row r="2964" spans="1:17" x14ac:dyDescent="0.3">
      <c r="A2964" t="s">
        <v>4446</v>
      </c>
      <c r="B2964" t="str">
        <f>"002237"</f>
        <v>002237</v>
      </c>
      <c r="C2964" t="s">
        <v>5971</v>
      </c>
      <c r="D2964" t="s">
        <v>234</v>
      </c>
      <c r="F2964">
        <v>162641849</v>
      </c>
      <c r="G2964">
        <v>-390094883</v>
      </c>
      <c r="H2964">
        <v>-53215792</v>
      </c>
      <c r="I2964">
        <v>315612744</v>
      </c>
      <c r="J2964">
        <v>304776076</v>
      </c>
      <c r="K2964">
        <v>-314348033</v>
      </c>
      <c r="L2964">
        <v>258050016</v>
      </c>
      <c r="M2964">
        <v>1229169708</v>
      </c>
      <c r="N2964">
        <v>-1086559861</v>
      </c>
      <c r="O2964">
        <v>-1385120830</v>
      </c>
      <c r="P2964">
        <v>193</v>
      </c>
      <c r="Q2964" t="s">
        <v>5972</v>
      </c>
    </row>
    <row r="2965" spans="1:17" x14ac:dyDescent="0.3">
      <c r="A2965" t="s">
        <v>4446</v>
      </c>
      <c r="B2965" t="str">
        <f>"002238"</f>
        <v>002238</v>
      </c>
      <c r="C2965" t="s">
        <v>5973</v>
      </c>
      <c r="D2965" t="s">
        <v>89</v>
      </c>
      <c r="F2965">
        <v>166009401</v>
      </c>
      <c r="G2965">
        <v>256037103</v>
      </c>
      <c r="H2965">
        <v>212404550</v>
      </c>
      <c r="I2965">
        <v>140974191</v>
      </c>
      <c r="J2965">
        <v>112718625</v>
      </c>
      <c r="K2965">
        <v>178996447</v>
      </c>
      <c r="L2965">
        <v>398039165</v>
      </c>
      <c r="M2965">
        <v>359432497</v>
      </c>
      <c r="N2965">
        <v>113047040</v>
      </c>
      <c r="O2965">
        <v>146246817</v>
      </c>
      <c r="P2965">
        <v>205</v>
      </c>
      <c r="Q2965" t="s">
        <v>5974</v>
      </c>
    </row>
    <row r="2966" spans="1:17" x14ac:dyDescent="0.3">
      <c r="A2966" t="s">
        <v>4446</v>
      </c>
      <c r="B2966" t="str">
        <f>"002239"</f>
        <v>002239</v>
      </c>
      <c r="C2966" t="s">
        <v>5975</v>
      </c>
      <c r="D2966" t="s">
        <v>27</v>
      </c>
      <c r="F2966">
        <v>-92938373</v>
      </c>
      <c r="G2966">
        <v>77866208</v>
      </c>
      <c r="H2966">
        <v>-149016820</v>
      </c>
      <c r="I2966">
        <v>-105580598</v>
      </c>
      <c r="J2966">
        <v>226423068</v>
      </c>
      <c r="K2966">
        <v>211952593</v>
      </c>
      <c r="L2966">
        <v>104091869</v>
      </c>
      <c r="M2966">
        <v>38985120</v>
      </c>
      <c r="N2966">
        <v>-15126697</v>
      </c>
      <c r="O2966">
        <v>-7941231</v>
      </c>
      <c r="P2966">
        <v>242</v>
      </c>
      <c r="Q2966" t="s">
        <v>5976</v>
      </c>
    </row>
    <row r="2967" spans="1:17" x14ac:dyDescent="0.3">
      <c r="A2967" t="s">
        <v>4446</v>
      </c>
      <c r="B2967" t="str">
        <f>"002240"</f>
        <v>002240</v>
      </c>
      <c r="C2967" t="s">
        <v>5977</v>
      </c>
      <c r="D2967" t="s">
        <v>234</v>
      </c>
      <c r="F2967">
        <v>-158210959</v>
      </c>
      <c r="G2967">
        <v>-556443757</v>
      </c>
      <c r="H2967">
        <v>-376281777</v>
      </c>
      <c r="I2967">
        <v>-326964086</v>
      </c>
      <c r="J2967">
        <v>-154853380</v>
      </c>
      <c r="K2967">
        <v>9928034</v>
      </c>
      <c r="L2967">
        <v>104709521</v>
      </c>
      <c r="M2967">
        <v>230251821</v>
      </c>
      <c r="N2967">
        <v>144085129</v>
      </c>
      <c r="O2967">
        <v>320142480</v>
      </c>
      <c r="P2967">
        <v>390</v>
      </c>
      <c r="Q2967" t="s">
        <v>5978</v>
      </c>
    </row>
    <row r="2968" spans="1:17" x14ac:dyDescent="0.3">
      <c r="A2968" t="s">
        <v>4446</v>
      </c>
      <c r="B2968" t="str">
        <f>"002241"</f>
        <v>002241</v>
      </c>
      <c r="C2968" t="s">
        <v>5979</v>
      </c>
      <c r="D2968" t="s">
        <v>150</v>
      </c>
      <c r="F2968">
        <v>1758728033</v>
      </c>
      <c r="G2968">
        <v>2133145293</v>
      </c>
      <c r="H2968">
        <v>2464647809</v>
      </c>
      <c r="I2968">
        <v>-1913382096</v>
      </c>
      <c r="J2968">
        <v>22914568</v>
      </c>
      <c r="K2968">
        <v>-1044237929</v>
      </c>
      <c r="L2968">
        <v>379680728</v>
      </c>
      <c r="M2968">
        <v>-173181596</v>
      </c>
      <c r="N2968">
        <v>-122042184</v>
      </c>
      <c r="O2968">
        <v>-1473054813</v>
      </c>
      <c r="P2968">
        <v>3529</v>
      </c>
      <c r="Q2968" t="s">
        <v>5980</v>
      </c>
    </row>
    <row r="2969" spans="1:17" x14ac:dyDescent="0.3">
      <c r="A2969" t="s">
        <v>4446</v>
      </c>
      <c r="B2969" t="str">
        <f>"002242"</f>
        <v>002242</v>
      </c>
      <c r="C2969" t="s">
        <v>5981</v>
      </c>
      <c r="D2969" t="s">
        <v>126</v>
      </c>
      <c r="F2969">
        <v>6715227</v>
      </c>
      <c r="G2969">
        <v>2053807789</v>
      </c>
      <c r="H2969">
        <v>1165055303</v>
      </c>
      <c r="I2969">
        <v>480394975</v>
      </c>
      <c r="J2969">
        <v>14661174</v>
      </c>
      <c r="K2969">
        <v>989483005</v>
      </c>
      <c r="L2969">
        <v>918969159</v>
      </c>
      <c r="M2969">
        <v>454886278</v>
      </c>
      <c r="N2969">
        <v>11988542</v>
      </c>
      <c r="O2969">
        <v>103677135</v>
      </c>
      <c r="P2969">
        <v>54901</v>
      </c>
      <c r="Q2969" t="s">
        <v>5982</v>
      </c>
    </row>
    <row r="2970" spans="1:17" x14ac:dyDescent="0.3">
      <c r="A2970" t="s">
        <v>4446</v>
      </c>
      <c r="B2970" t="str">
        <f>"002243"</f>
        <v>002243</v>
      </c>
      <c r="C2970" t="s">
        <v>5983</v>
      </c>
      <c r="D2970" t="s">
        <v>481</v>
      </c>
      <c r="F2970">
        <v>-1297219008</v>
      </c>
      <c r="G2970">
        <v>-648594838</v>
      </c>
      <c r="H2970">
        <v>441431959</v>
      </c>
      <c r="I2970">
        <v>-48519327</v>
      </c>
      <c r="J2970">
        <v>-29754259</v>
      </c>
      <c r="K2970">
        <v>114089907</v>
      </c>
      <c r="L2970">
        <v>23908348</v>
      </c>
      <c r="M2970">
        <v>-133060592</v>
      </c>
      <c r="N2970">
        <v>-193161385</v>
      </c>
      <c r="O2970">
        <v>-101955095</v>
      </c>
      <c r="P2970">
        <v>155</v>
      </c>
      <c r="Q2970" t="s">
        <v>5984</v>
      </c>
    </row>
    <row r="2971" spans="1:17" x14ac:dyDescent="0.3">
      <c r="A2971" t="s">
        <v>4446</v>
      </c>
      <c r="B2971" t="str">
        <f>"002244"</f>
        <v>002244</v>
      </c>
      <c r="C2971" t="s">
        <v>5985</v>
      </c>
      <c r="D2971" t="s">
        <v>30</v>
      </c>
      <c r="F2971">
        <v>798802867</v>
      </c>
      <c r="G2971">
        <v>-3237108054</v>
      </c>
      <c r="H2971">
        <v>2594070759</v>
      </c>
      <c r="I2971">
        <v>-13966969373</v>
      </c>
      <c r="J2971">
        <v>3372330397</v>
      </c>
      <c r="K2971">
        <v>13094326921</v>
      </c>
      <c r="L2971">
        <v>8032489263</v>
      </c>
      <c r="M2971">
        <v>-1341162011</v>
      </c>
      <c r="N2971">
        <v>355674781</v>
      </c>
      <c r="O2971">
        <v>4450975256</v>
      </c>
      <c r="P2971">
        <v>403</v>
      </c>
      <c r="Q2971" t="s">
        <v>5986</v>
      </c>
    </row>
    <row r="2972" spans="1:17" x14ac:dyDescent="0.3">
      <c r="A2972" t="s">
        <v>4446</v>
      </c>
      <c r="B2972" t="str">
        <f>"002245"</f>
        <v>002245</v>
      </c>
      <c r="C2972" t="s">
        <v>5987</v>
      </c>
      <c r="D2972" t="s">
        <v>188</v>
      </c>
      <c r="F2972">
        <v>-64424598</v>
      </c>
      <c r="G2972">
        <v>198353607</v>
      </c>
      <c r="H2972">
        <v>589567584</v>
      </c>
      <c r="I2972">
        <v>-283576958</v>
      </c>
      <c r="J2972">
        <v>-966245398</v>
      </c>
      <c r="K2972">
        <v>-503905171</v>
      </c>
      <c r="L2972">
        <v>266823606</v>
      </c>
      <c r="M2972">
        <v>-228296456</v>
      </c>
      <c r="N2972">
        <v>-30364152</v>
      </c>
      <c r="O2972">
        <v>222051119</v>
      </c>
      <c r="P2972">
        <v>378</v>
      </c>
      <c r="Q2972" t="s">
        <v>5988</v>
      </c>
    </row>
    <row r="2973" spans="1:17" x14ac:dyDescent="0.3">
      <c r="A2973" t="s">
        <v>4446</v>
      </c>
      <c r="B2973" t="str">
        <f>"002246"</f>
        <v>002246</v>
      </c>
      <c r="C2973" t="s">
        <v>5989</v>
      </c>
      <c r="D2973" t="s">
        <v>133</v>
      </c>
      <c r="F2973">
        <v>61783910</v>
      </c>
      <c r="G2973">
        <v>336931036</v>
      </c>
      <c r="H2973">
        <v>319987896</v>
      </c>
      <c r="I2973">
        <v>59968455</v>
      </c>
      <c r="J2973">
        <v>-19524232</v>
      </c>
      <c r="K2973">
        <v>-37600072</v>
      </c>
      <c r="L2973">
        <v>47867400</v>
      </c>
      <c r="M2973">
        <v>104295941</v>
      </c>
      <c r="N2973">
        <v>-54458738</v>
      </c>
      <c r="O2973">
        <v>-15166781</v>
      </c>
      <c r="P2973">
        <v>117</v>
      </c>
      <c r="Q2973" t="s">
        <v>5990</v>
      </c>
    </row>
    <row r="2974" spans="1:17" x14ac:dyDescent="0.3">
      <c r="A2974" t="s">
        <v>4446</v>
      </c>
      <c r="B2974" t="str">
        <f>"002247"</f>
        <v>002247</v>
      </c>
      <c r="C2974" t="s">
        <v>5991</v>
      </c>
      <c r="D2974" t="s">
        <v>89</v>
      </c>
      <c r="F2974">
        <v>73614549</v>
      </c>
      <c r="G2974">
        <v>186947830</v>
      </c>
      <c r="H2974">
        <v>141966190</v>
      </c>
      <c r="I2974">
        <v>-669192316</v>
      </c>
      <c r="J2974">
        <v>232948237</v>
      </c>
      <c r="K2974">
        <v>271413676</v>
      </c>
      <c r="L2974">
        <v>103315809</v>
      </c>
      <c r="M2974">
        <v>21946859</v>
      </c>
      <c r="N2974">
        <v>21909642</v>
      </c>
      <c r="O2974">
        <v>15510509</v>
      </c>
      <c r="P2974">
        <v>90</v>
      </c>
      <c r="Q2974" t="s">
        <v>5992</v>
      </c>
    </row>
    <row r="2975" spans="1:17" x14ac:dyDescent="0.3">
      <c r="A2975" t="s">
        <v>4446</v>
      </c>
      <c r="B2975" t="str">
        <f>"002248"</f>
        <v>002248</v>
      </c>
      <c r="C2975" t="s">
        <v>5993</v>
      </c>
      <c r="D2975" t="s">
        <v>78</v>
      </c>
      <c r="F2975">
        <v>19414729</v>
      </c>
      <c r="G2975">
        <v>25307617</v>
      </c>
      <c r="H2975">
        <v>250752548</v>
      </c>
      <c r="I2975">
        <v>-30794223</v>
      </c>
      <c r="J2975">
        <v>289595021</v>
      </c>
      <c r="K2975">
        <v>-20738610</v>
      </c>
      <c r="L2975">
        <v>-44440347</v>
      </c>
      <c r="M2975">
        <v>-66900388</v>
      </c>
      <c r="N2975">
        <v>171461510</v>
      </c>
      <c r="O2975">
        <v>-202152761</v>
      </c>
      <c r="P2975">
        <v>109</v>
      </c>
      <c r="Q2975" t="s">
        <v>5994</v>
      </c>
    </row>
    <row r="2976" spans="1:17" x14ac:dyDescent="0.3">
      <c r="A2976" t="s">
        <v>4446</v>
      </c>
      <c r="B2976" t="str">
        <f>"002249"</f>
        <v>002249</v>
      </c>
      <c r="C2976" t="s">
        <v>5995</v>
      </c>
      <c r="D2976" t="s">
        <v>188</v>
      </c>
      <c r="F2976">
        <v>524026919</v>
      </c>
      <c r="G2976">
        <v>438599303</v>
      </c>
      <c r="H2976">
        <v>315159912</v>
      </c>
      <c r="I2976">
        <v>280051262</v>
      </c>
      <c r="J2976">
        <v>-501812278</v>
      </c>
      <c r="K2976">
        <v>-274821268</v>
      </c>
      <c r="L2976">
        <v>-152559796</v>
      </c>
      <c r="M2976">
        <v>247530793</v>
      </c>
      <c r="N2976">
        <v>287602812</v>
      </c>
      <c r="O2976">
        <v>51922712</v>
      </c>
      <c r="P2976">
        <v>338</v>
      </c>
      <c r="Q2976" t="s">
        <v>5996</v>
      </c>
    </row>
    <row r="2977" spans="1:17" x14ac:dyDescent="0.3">
      <c r="A2977" t="s">
        <v>4446</v>
      </c>
      <c r="B2977" t="str">
        <f>"002250"</f>
        <v>002250</v>
      </c>
      <c r="C2977" t="s">
        <v>5997</v>
      </c>
      <c r="D2977" t="s">
        <v>133</v>
      </c>
      <c r="F2977">
        <v>-905121711</v>
      </c>
      <c r="G2977">
        <v>31825500</v>
      </c>
      <c r="H2977">
        <v>-3639032</v>
      </c>
      <c r="I2977">
        <v>-131344271</v>
      </c>
      <c r="J2977">
        <v>104196639</v>
      </c>
      <c r="K2977">
        <v>355480029</v>
      </c>
      <c r="L2977">
        <v>166945618</v>
      </c>
      <c r="M2977">
        <v>-177311384</v>
      </c>
      <c r="N2977">
        <v>-331107818</v>
      </c>
      <c r="O2977">
        <v>-206468212</v>
      </c>
      <c r="P2977">
        <v>348</v>
      </c>
      <c r="Q2977" t="s">
        <v>5998</v>
      </c>
    </row>
    <row r="2978" spans="1:17" x14ac:dyDescent="0.3">
      <c r="A2978" t="s">
        <v>4446</v>
      </c>
      <c r="B2978" t="str">
        <f>"002251"</f>
        <v>002251</v>
      </c>
      <c r="C2978" t="s">
        <v>5999</v>
      </c>
      <c r="D2978" t="s">
        <v>120</v>
      </c>
      <c r="F2978">
        <v>700951535</v>
      </c>
      <c r="G2978">
        <v>-361876886</v>
      </c>
      <c r="H2978">
        <v>-795493735</v>
      </c>
      <c r="I2978">
        <v>-1248051250</v>
      </c>
      <c r="J2978">
        <v>-388980869</v>
      </c>
      <c r="K2978">
        <v>-377442252</v>
      </c>
      <c r="L2978">
        <v>-408231558</v>
      </c>
      <c r="M2978">
        <v>-570687950</v>
      </c>
      <c r="N2978">
        <v>-578818843</v>
      </c>
      <c r="O2978">
        <v>-82479294</v>
      </c>
      <c r="P2978">
        <v>196</v>
      </c>
      <c r="Q2978" t="s">
        <v>6000</v>
      </c>
    </row>
    <row r="2979" spans="1:17" x14ac:dyDescent="0.3">
      <c r="A2979" t="s">
        <v>4446</v>
      </c>
      <c r="B2979" t="str">
        <f>"002252"</f>
        <v>002252</v>
      </c>
      <c r="C2979" t="s">
        <v>6001</v>
      </c>
      <c r="D2979" t="s">
        <v>113</v>
      </c>
      <c r="F2979">
        <v>1092598723</v>
      </c>
      <c r="G2979">
        <v>926114573</v>
      </c>
      <c r="H2979">
        <v>725178226</v>
      </c>
      <c r="I2979">
        <v>106893872</v>
      </c>
      <c r="J2979">
        <v>107387231</v>
      </c>
      <c r="K2979">
        <v>491459615</v>
      </c>
      <c r="L2979">
        <v>635576603</v>
      </c>
      <c r="M2979">
        <v>400966548</v>
      </c>
      <c r="N2979">
        <v>-219787425</v>
      </c>
      <c r="O2979">
        <v>113770185</v>
      </c>
      <c r="P2979">
        <v>602</v>
      </c>
      <c r="Q2979" t="s">
        <v>6002</v>
      </c>
    </row>
    <row r="2980" spans="1:17" x14ac:dyDescent="0.3">
      <c r="A2980" t="s">
        <v>4446</v>
      </c>
      <c r="B2980" t="str">
        <f>"002253"</f>
        <v>002253</v>
      </c>
      <c r="C2980" t="s">
        <v>6003</v>
      </c>
      <c r="D2980" t="s">
        <v>212</v>
      </c>
      <c r="F2980">
        <v>-76759723</v>
      </c>
      <c r="G2980">
        <v>-64926256</v>
      </c>
      <c r="H2980">
        <v>22930340</v>
      </c>
      <c r="I2980">
        <v>49979536</v>
      </c>
      <c r="J2980">
        <v>-16307934</v>
      </c>
      <c r="K2980">
        <v>-95171579</v>
      </c>
      <c r="L2980">
        <v>-77806276</v>
      </c>
      <c r="M2980">
        <v>-79852436</v>
      </c>
      <c r="N2980">
        <v>-113337061</v>
      </c>
      <c r="O2980">
        <v>-39577446</v>
      </c>
      <c r="P2980">
        <v>151</v>
      </c>
      <c r="Q2980" t="s">
        <v>6004</v>
      </c>
    </row>
    <row r="2981" spans="1:17" x14ac:dyDescent="0.3">
      <c r="A2981" t="s">
        <v>4446</v>
      </c>
      <c r="B2981" t="str">
        <f>"002254"</f>
        <v>002254</v>
      </c>
      <c r="C2981" t="s">
        <v>6005</v>
      </c>
      <c r="D2981" t="s">
        <v>133</v>
      </c>
      <c r="F2981">
        <v>249705968</v>
      </c>
      <c r="G2981">
        <v>281168857</v>
      </c>
      <c r="H2981">
        <v>-360300445</v>
      </c>
      <c r="I2981">
        <v>-222901885</v>
      </c>
      <c r="J2981">
        <v>299277110</v>
      </c>
      <c r="K2981">
        <v>313755655</v>
      </c>
      <c r="L2981">
        <v>67300121</v>
      </c>
      <c r="M2981">
        <v>244794420</v>
      </c>
      <c r="N2981">
        <v>117511023</v>
      </c>
      <c r="O2981">
        <v>55918244</v>
      </c>
      <c r="P2981">
        <v>215</v>
      </c>
      <c r="Q2981" t="s">
        <v>6006</v>
      </c>
    </row>
    <row r="2982" spans="1:17" x14ac:dyDescent="0.3">
      <c r="A2982" t="s">
        <v>4446</v>
      </c>
      <c r="B2982" t="str">
        <f>"002255"</f>
        <v>002255</v>
      </c>
      <c r="C2982" t="s">
        <v>6007</v>
      </c>
      <c r="D2982" t="s">
        <v>188</v>
      </c>
      <c r="F2982">
        <v>123049929</v>
      </c>
      <c r="G2982">
        <v>404710395</v>
      </c>
      <c r="H2982">
        <v>-179835191</v>
      </c>
      <c r="I2982">
        <v>59118995</v>
      </c>
      <c r="J2982">
        <v>160785401</v>
      </c>
      <c r="K2982">
        <v>-12388691</v>
      </c>
      <c r="L2982">
        <v>61588714</v>
      </c>
      <c r="M2982">
        <v>-102978437</v>
      </c>
      <c r="N2982">
        <v>-65166117</v>
      </c>
      <c r="O2982">
        <v>-62114064</v>
      </c>
      <c r="P2982">
        <v>107</v>
      </c>
      <c r="Q2982" t="s">
        <v>6008</v>
      </c>
    </row>
    <row r="2983" spans="1:17" x14ac:dyDescent="0.3">
      <c r="A2983" t="s">
        <v>4446</v>
      </c>
      <c r="B2983" t="str">
        <f>"002256"</f>
        <v>002256</v>
      </c>
      <c r="C2983" t="s">
        <v>6009</v>
      </c>
      <c r="D2983" t="s">
        <v>41</v>
      </c>
      <c r="F2983">
        <v>-91399698</v>
      </c>
      <c r="G2983">
        <v>167996403</v>
      </c>
      <c r="H2983">
        <v>61726636</v>
      </c>
      <c r="I2983">
        <v>-20534889</v>
      </c>
      <c r="J2983">
        <v>-279070076</v>
      </c>
      <c r="K2983">
        <v>-484974279</v>
      </c>
      <c r="L2983">
        <v>-581062206</v>
      </c>
      <c r="M2983">
        <v>-89981696</v>
      </c>
      <c r="N2983">
        <v>59996438</v>
      </c>
      <c r="O2983">
        <v>-6593573</v>
      </c>
      <c r="P2983">
        <v>151</v>
      </c>
      <c r="Q2983" t="s">
        <v>6010</v>
      </c>
    </row>
    <row r="2984" spans="1:17" x14ac:dyDescent="0.3">
      <c r="A2984" t="s">
        <v>4446</v>
      </c>
      <c r="B2984" t="str">
        <f>"002258"</f>
        <v>002258</v>
      </c>
      <c r="C2984" t="s">
        <v>6011</v>
      </c>
      <c r="D2984" t="s">
        <v>133</v>
      </c>
      <c r="F2984">
        <v>517351552</v>
      </c>
      <c r="G2984">
        <v>445388156</v>
      </c>
      <c r="H2984">
        <v>-143161061</v>
      </c>
      <c r="I2984">
        <v>-493458289</v>
      </c>
      <c r="J2984">
        <v>-209121625</v>
      </c>
      <c r="K2984">
        <v>-157815321</v>
      </c>
      <c r="L2984">
        <v>-144354530</v>
      </c>
      <c r="M2984">
        <v>-153333913</v>
      </c>
      <c r="N2984">
        <v>-190092269</v>
      </c>
      <c r="O2984">
        <v>-60633738</v>
      </c>
      <c r="P2984">
        <v>646</v>
      </c>
      <c r="Q2984" t="s">
        <v>6012</v>
      </c>
    </row>
    <row r="2985" spans="1:17" x14ac:dyDescent="0.3">
      <c r="A2985" t="s">
        <v>4446</v>
      </c>
      <c r="B2985" t="str">
        <f>"002259"</f>
        <v>002259</v>
      </c>
      <c r="C2985" t="s">
        <v>6013</v>
      </c>
      <c r="D2985" t="s">
        <v>41</v>
      </c>
      <c r="F2985">
        <v>109836446</v>
      </c>
      <c r="G2985">
        <v>145266891</v>
      </c>
      <c r="H2985">
        <v>3195572</v>
      </c>
      <c r="I2985">
        <v>-46474906</v>
      </c>
      <c r="J2985">
        <v>-15587690</v>
      </c>
      <c r="K2985">
        <v>220789121</v>
      </c>
      <c r="L2985">
        <v>166247350</v>
      </c>
      <c r="M2985">
        <v>-31046854</v>
      </c>
      <c r="N2985">
        <v>54977847</v>
      </c>
      <c r="O2985">
        <v>-11379033</v>
      </c>
      <c r="P2985">
        <v>59</v>
      </c>
      <c r="Q2985" t="s">
        <v>6014</v>
      </c>
    </row>
    <row r="2986" spans="1:17" x14ac:dyDescent="0.3">
      <c r="A2986" t="s">
        <v>4446</v>
      </c>
      <c r="B2986" t="str">
        <f>"002260"</f>
        <v>002260</v>
      </c>
      <c r="C2986" t="s">
        <v>6015</v>
      </c>
      <c r="D2986" t="s">
        <v>126</v>
      </c>
      <c r="F2986">
        <v>-102890234</v>
      </c>
      <c r="G2986">
        <v>-77352775</v>
      </c>
      <c r="H2986">
        <v>-23955066</v>
      </c>
      <c r="I2986">
        <v>43147014</v>
      </c>
      <c r="J2986">
        <v>-147516230</v>
      </c>
      <c r="K2986">
        <v>-117130260</v>
      </c>
      <c r="L2986">
        <v>-122010411</v>
      </c>
      <c r="M2986">
        <v>-67305830</v>
      </c>
      <c r="N2986">
        <v>19049941</v>
      </c>
      <c r="O2986">
        <v>-54296783</v>
      </c>
      <c r="P2986">
        <v>57</v>
      </c>
      <c r="Q2986" t="s">
        <v>6016</v>
      </c>
    </row>
    <row r="2987" spans="1:17" x14ac:dyDescent="0.3">
      <c r="A2987" t="s">
        <v>4446</v>
      </c>
      <c r="B2987" t="str">
        <f>"002261"</f>
        <v>002261</v>
      </c>
      <c r="C2987" t="s">
        <v>6017</v>
      </c>
      <c r="D2987" t="s">
        <v>110</v>
      </c>
      <c r="F2987">
        <v>8009324</v>
      </c>
      <c r="G2987">
        <v>-32959710</v>
      </c>
      <c r="H2987">
        <v>58127567</v>
      </c>
      <c r="I2987">
        <v>-61170956</v>
      </c>
      <c r="J2987">
        <v>43949350</v>
      </c>
      <c r="K2987">
        <v>79903589</v>
      </c>
      <c r="L2987">
        <v>81518563</v>
      </c>
      <c r="M2987">
        <v>102061733</v>
      </c>
      <c r="N2987">
        <v>48325323</v>
      </c>
      <c r="O2987">
        <v>-20981354</v>
      </c>
      <c r="P2987">
        <v>299</v>
      </c>
      <c r="Q2987" t="s">
        <v>6018</v>
      </c>
    </row>
    <row r="2988" spans="1:17" x14ac:dyDescent="0.3">
      <c r="A2988" t="s">
        <v>4446</v>
      </c>
      <c r="B2988" t="str">
        <f>"002262"</f>
        <v>002262</v>
      </c>
      <c r="C2988" t="s">
        <v>6019</v>
      </c>
      <c r="D2988" t="s">
        <v>113</v>
      </c>
      <c r="F2988">
        <v>495354302</v>
      </c>
      <c r="G2988">
        <v>979875128</v>
      </c>
      <c r="H2988">
        <v>145962994</v>
      </c>
      <c r="I2988">
        <v>234465075</v>
      </c>
      <c r="J2988">
        <v>310463509</v>
      </c>
      <c r="K2988">
        <v>176298362</v>
      </c>
      <c r="L2988">
        <v>-12207978</v>
      </c>
      <c r="M2988">
        <v>-100995950</v>
      </c>
      <c r="N2988">
        <v>90898760</v>
      </c>
      <c r="O2988">
        <v>76240967</v>
      </c>
      <c r="P2988">
        <v>51369</v>
      </c>
      <c r="Q2988" t="s">
        <v>6020</v>
      </c>
    </row>
    <row r="2989" spans="1:17" x14ac:dyDescent="0.3">
      <c r="A2989" t="s">
        <v>4446</v>
      </c>
      <c r="B2989" t="str">
        <f>"002263"</f>
        <v>002263</v>
      </c>
      <c r="C2989" t="s">
        <v>6021</v>
      </c>
      <c r="D2989" t="s">
        <v>133</v>
      </c>
      <c r="F2989">
        <v>168547334</v>
      </c>
      <c r="G2989">
        <v>309865561</v>
      </c>
      <c r="H2989">
        <v>215185914</v>
      </c>
      <c r="I2989">
        <v>292239007</v>
      </c>
      <c r="J2989">
        <v>119162896</v>
      </c>
      <c r="K2989">
        <v>-45622882</v>
      </c>
      <c r="L2989">
        <v>104924648</v>
      </c>
      <c r="M2989">
        <v>-80347468</v>
      </c>
      <c r="N2989">
        <v>-345028013</v>
      </c>
      <c r="O2989">
        <v>-249142776</v>
      </c>
      <c r="P2989">
        <v>126</v>
      </c>
      <c r="Q2989" t="s">
        <v>6022</v>
      </c>
    </row>
    <row r="2990" spans="1:17" x14ac:dyDescent="0.3">
      <c r="A2990" t="s">
        <v>4446</v>
      </c>
      <c r="B2990" t="str">
        <f>"002264"</f>
        <v>002264</v>
      </c>
      <c r="C2990" t="s">
        <v>6023</v>
      </c>
      <c r="D2990" t="s">
        <v>120</v>
      </c>
      <c r="F2990">
        <v>214898217</v>
      </c>
      <c r="G2990">
        <v>113848362</v>
      </c>
      <c r="H2990">
        <v>-166704729</v>
      </c>
      <c r="I2990">
        <v>-143549230</v>
      </c>
      <c r="J2990">
        <v>-103286674</v>
      </c>
      <c r="K2990">
        <v>-255118725</v>
      </c>
      <c r="L2990">
        <v>-240365525</v>
      </c>
      <c r="M2990">
        <v>-545038752</v>
      </c>
      <c r="N2990">
        <v>-163332082</v>
      </c>
      <c r="O2990">
        <v>204874401</v>
      </c>
      <c r="P2990">
        <v>96</v>
      </c>
      <c r="Q2990" t="s">
        <v>6024</v>
      </c>
    </row>
    <row r="2991" spans="1:17" x14ac:dyDescent="0.3">
      <c r="A2991" t="s">
        <v>4446</v>
      </c>
      <c r="B2991" t="str">
        <f>"002265"</f>
        <v>002265</v>
      </c>
      <c r="C2991" t="s">
        <v>6025</v>
      </c>
      <c r="D2991" t="s">
        <v>27</v>
      </c>
      <c r="F2991">
        <v>49809275</v>
      </c>
      <c r="G2991">
        <v>-3888706</v>
      </c>
      <c r="H2991">
        <v>-53482753</v>
      </c>
      <c r="I2991">
        <v>-22121938</v>
      </c>
      <c r="J2991">
        <v>12265168</v>
      </c>
      <c r="K2991">
        <v>12724801</v>
      </c>
      <c r="L2991">
        <v>-740437</v>
      </c>
      <c r="M2991">
        <v>1244329</v>
      </c>
      <c r="N2991">
        <v>-4811743</v>
      </c>
      <c r="O2991">
        <v>-61061065</v>
      </c>
      <c r="P2991">
        <v>86</v>
      </c>
      <c r="Q2991" t="s">
        <v>6026</v>
      </c>
    </row>
    <row r="2992" spans="1:17" x14ac:dyDescent="0.3">
      <c r="A2992" t="s">
        <v>4446</v>
      </c>
      <c r="B2992" t="str">
        <f>"002266"</f>
        <v>002266</v>
      </c>
      <c r="C2992" t="s">
        <v>6027</v>
      </c>
      <c r="D2992" t="s">
        <v>33</v>
      </c>
      <c r="F2992">
        <v>-1089518174</v>
      </c>
      <c r="G2992">
        <v>-1528396465</v>
      </c>
      <c r="H2992">
        <v>-183062342</v>
      </c>
      <c r="I2992">
        <v>-154819817</v>
      </c>
      <c r="J2992">
        <v>-280469208</v>
      </c>
      <c r="K2992">
        <v>528022375</v>
      </c>
      <c r="L2992">
        <v>-26532978</v>
      </c>
      <c r="M2992">
        <v>-225176618</v>
      </c>
      <c r="N2992">
        <v>-384335537</v>
      </c>
      <c r="O2992">
        <v>-161138687</v>
      </c>
      <c r="P2992">
        <v>297</v>
      </c>
      <c r="Q2992" t="s">
        <v>6028</v>
      </c>
    </row>
    <row r="2993" spans="1:17" x14ac:dyDescent="0.3">
      <c r="A2993" t="s">
        <v>4446</v>
      </c>
      <c r="B2993" t="str">
        <f>"002267"</f>
        <v>002267</v>
      </c>
      <c r="C2993" t="s">
        <v>6029</v>
      </c>
      <c r="D2993" t="s">
        <v>41</v>
      </c>
      <c r="F2993">
        <v>270991263</v>
      </c>
      <c r="G2993">
        <v>473111769</v>
      </c>
      <c r="H2993">
        <v>1269543903</v>
      </c>
      <c r="I2993">
        <v>-130026741</v>
      </c>
      <c r="J2993">
        <v>484047381</v>
      </c>
      <c r="K2993">
        <v>155361105</v>
      </c>
      <c r="L2993">
        <v>931396269</v>
      </c>
      <c r="M2993">
        <v>424018401</v>
      </c>
      <c r="N2993">
        <v>-524315222</v>
      </c>
      <c r="O2993">
        <v>-187009983</v>
      </c>
      <c r="P2993">
        <v>202</v>
      </c>
      <c r="Q2993" t="s">
        <v>6030</v>
      </c>
    </row>
    <row r="2994" spans="1:17" x14ac:dyDescent="0.3">
      <c r="A2994" t="s">
        <v>4446</v>
      </c>
      <c r="B2994" t="str">
        <f>"002268"</f>
        <v>002268</v>
      </c>
      <c r="C2994" t="s">
        <v>6031</v>
      </c>
      <c r="D2994" t="s">
        <v>212</v>
      </c>
      <c r="F2994">
        <v>589130216</v>
      </c>
      <c r="G2994">
        <v>543166395</v>
      </c>
      <c r="H2994">
        <v>-181651327</v>
      </c>
      <c r="I2994">
        <v>-120333519</v>
      </c>
      <c r="J2994">
        <v>-232024180</v>
      </c>
      <c r="K2994">
        <v>-771406431</v>
      </c>
      <c r="L2994">
        <v>-365821197</v>
      </c>
      <c r="M2994">
        <v>34221492</v>
      </c>
      <c r="N2994">
        <v>36339030</v>
      </c>
      <c r="O2994">
        <v>43548193</v>
      </c>
      <c r="P2994">
        <v>525</v>
      </c>
      <c r="Q2994" t="s">
        <v>6032</v>
      </c>
    </row>
    <row r="2995" spans="1:17" x14ac:dyDescent="0.3">
      <c r="A2995" t="s">
        <v>4446</v>
      </c>
      <c r="B2995" t="str">
        <f>"002269"</f>
        <v>002269</v>
      </c>
      <c r="C2995" t="s">
        <v>6033</v>
      </c>
      <c r="D2995" t="s">
        <v>227</v>
      </c>
      <c r="F2995">
        <v>215785226</v>
      </c>
      <c r="G2995">
        <v>203070922</v>
      </c>
      <c r="H2995">
        <v>-12815275</v>
      </c>
      <c r="I2995">
        <v>338042872</v>
      </c>
      <c r="J2995">
        <v>-582385908</v>
      </c>
      <c r="K2995">
        <v>60497511</v>
      </c>
      <c r="L2995">
        <v>-356847651</v>
      </c>
      <c r="M2995">
        <v>1211233477</v>
      </c>
      <c r="N2995">
        <v>808692637</v>
      </c>
      <c r="O2995">
        <v>2503122829</v>
      </c>
      <c r="P2995">
        <v>143</v>
      </c>
      <c r="Q2995" t="s">
        <v>6034</v>
      </c>
    </row>
    <row r="2996" spans="1:17" x14ac:dyDescent="0.3">
      <c r="A2996" t="s">
        <v>4446</v>
      </c>
      <c r="B2996" t="str">
        <f>"002270"</f>
        <v>002270</v>
      </c>
      <c r="C2996" t="s">
        <v>6035</v>
      </c>
      <c r="D2996" t="s">
        <v>188</v>
      </c>
      <c r="F2996">
        <v>174548858</v>
      </c>
      <c r="G2996">
        <v>438297515</v>
      </c>
      <c r="H2996">
        <v>98878287</v>
      </c>
      <c r="I2996">
        <v>370463142</v>
      </c>
      <c r="J2996">
        <v>-290657620</v>
      </c>
      <c r="K2996">
        <v>-150459483</v>
      </c>
      <c r="L2996">
        <v>100407393</v>
      </c>
      <c r="M2996">
        <v>11256680</v>
      </c>
      <c r="N2996">
        <v>33799538</v>
      </c>
      <c r="O2996">
        <v>37231088</v>
      </c>
      <c r="P2996">
        <v>160</v>
      </c>
      <c r="Q2996" t="s">
        <v>6036</v>
      </c>
    </row>
    <row r="2997" spans="1:17" x14ac:dyDescent="0.3">
      <c r="A2997" t="s">
        <v>4446</v>
      </c>
      <c r="B2997" t="str">
        <f>"002271"</f>
        <v>002271</v>
      </c>
      <c r="C2997" t="s">
        <v>6037</v>
      </c>
      <c r="D2997" t="s">
        <v>350</v>
      </c>
      <c r="F2997">
        <v>-387211497</v>
      </c>
      <c r="G2997">
        <v>2431930203</v>
      </c>
      <c r="H2997">
        <v>287825761</v>
      </c>
      <c r="I2997">
        <v>-709841040</v>
      </c>
      <c r="J2997">
        <v>-1081654645</v>
      </c>
      <c r="K2997">
        <v>-111859449</v>
      </c>
      <c r="L2997">
        <v>-204670561</v>
      </c>
      <c r="M2997">
        <v>-183739045</v>
      </c>
      <c r="N2997">
        <v>-100667450</v>
      </c>
      <c r="O2997">
        <v>123154172</v>
      </c>
      <c r="P2997">
        <v>22869</v>
      </c>
      <c r="Q2997" t="s">
        <v>6038</v>
      </c>
    </row>
    <row r="2998" spans="1:17" x14ac:dyDescent="0.3">
      <c r="A2998" t="s">
        <v>4446</v>
      </c>
      <c r="B2998" t="str">
        <f>"002272"</f>
        <v>002272</v>
      </c>
      <c r="C2998" t="s">
        <v>6039</v>
      </c>
      <c r="D2998" t="s">
        <v>78</v>
      </c>
      <c r="F2998">
        <v>-50663522</v>
      </c>
      <c r="G2998">
        <v>-40496445</v>
      </c>
      <c r="H2998">
        <v>61631536</v>
      </c>
      <c r="I2998">
        <v>-25127807</v>
      </c>
      <c r="J2998">
        <v>-655597</v>
      </c>
      <c r="K2998">
        <v>2434032</v>
      </c>
      <c r="L2998">
        <v>-18461624</v>
      </c>
      <c r="M2998">
        <v>-59635217</v>
      </c>
      <c r="N2998">
        <v>-125753302</v>
      </c>
      <c r="O2998">
        <v>-110306752</v>
      </c>
      <c r="P2998">
        <v>107</v>
      </c>
      <c r="Q2998" t="s">
        <v>6040</v>
      </c>
    </row>
    <row r="2999" spans="1:17" x14ac:dyDescent="0.3">
      <c r="A2999" t="s">
        <v>4446</v>
      </c>
      <c r="B2999" t="str">
        <f>"002273"</f>
        <v>002273</v>
      </c>
      <c r="C2999" t="s">
        <v>6041</v>
      </c>
      <c r="D2999" t="s">
        <v>150</v>
      </c>
      <c r="F2999">
        <v>-71126292</v>
      </c>
      <c r="G2999">
        <v>894813</v>
      </c>
      <c r="H2999">
        <v>-269670635</v>
      </c>
      <c r="I2999">
        <v>-149808768</v>
      </c>
      <c r="J2999">
        <v>-284022199</v>
      </c>
      <c r="K2999">
        <v>-121041284</v>
      </c>
      <c r="L2999">
        <v>-59354743</v>
      </c>
      <c r="M2999">
        <v>-137050684</v>
      </c>
      <c r="N2999">
        <v>-81836039</v>
      </c>
      <c r="O2999">
        <v>-65092605</v>
      </c>
      <c r="P2999">
        <v>949</v>
      </c>
      <c r="Q2999" t="s">
        <v>6042</v>
      </c>
    </row>
    <row r="3000" spans="1:17" x14ac:dyDescent="0.3">
      <c r="A3000" t="s">
        <v>4446</v>
      </c>
      <c r="B3000" t="str">
        <f>"002274"</f>
        <v>002274</v>
      </c>
      <c r="C3000" t="s">
        <v>6043</v>
      </c>
      <c r="D3000" t="s">
        <v>133</v>
      </c>
      <c r="F3000">
        <v>1602384864</v>
      </c>
      <c r="G3000">
        <v>456328801</v>
      </c>
      <c r="H3000">
        <v>307541554</v>
      </c>
      <c r="I3000">
        <v>-22780079</v>
      </c>
      <c r="J3000">
        <v>-166116199</v>
      </c>
      <c r="K3000">
        <v>-48244793</v>
      </c>
      <c r="L3000">
        <v>-253670336</v>
      </c>
      <c r="M3000">
        <v>-763364291</v>
      </c>
      <c r="N3000">
        <v>-415240650</v>
      </c>
      <c r="O3000">
        <v>-258528352</v>
      </c>
      <c r="P3000">
        <v>217</v>
      </c>
      <c r="Q3000" t="s">
        <v>6044</v>
      </c>
    </row>
    <row r="3001" spans="1:17" x14ac:dyDescent="0.3">
      <c r="A3001" t="s">
        <v>4446</v>
      </c>
      <c r="B3001" t="str">
        <f>"002275"</f>
        <v>002275</v>
      </c>
      <c r="C3001" t="s">
        <v>6045</v>
      </c>
      <c r="D3001" t="s">
        <v>113</v>
      </c>
      <c r="F3001">
        <v>293878109</v>
      </c>
      <c r="G3001">
        <v>399722473</v>
      </c>
      <c r="H3001">
        <v>243588944</v>
      </c>
      <c r="I3001">
        <v>464286046</v>
      </c>
      <c r="J3001">
        <v>327857719</v>
      </c>
      <c r="K3001">
        <v>471791237</v>
      </c>
      <c r="L3001">
        <v>273550814</v>
      </c>
      <c r="M3001">
        <v>185299718</v>
      </c>
      <c r="N3001">
        <v>104279696</v>
      </c>
      <c r="O3001">
        <v>97059727</v>
      </c>
      <c r="P3001">
        <v>11978</v>
      </c>
      <c r="Q3001" t="s">
        <v>6046</v>
      </c>
    </row>
    <row r="3002" spans="1:17" x14ac:dyDescent="0.3">
      <c r="A3002" t="s">
        <v>4446</v>
      </c>
      <c r="B3002" t="str">
        <f>"002276"</f>
        <v>002276</v>
      </c>
      <c r="C3002" t="s">
        <v>6047</v>
      </c>
      <c r="D3002" t="s">
        <v>188</v>
      </c>
      <c r="F3002">
        <v>543192646</v>
      </c>
      <c r="G3002">
        <v>438888474</v>
      </c>
      <c r="H3002">
        <v>665348595</v>
      </c>
      <c r="I3002">
        <v>361349531</v>
      </c>
      <c r="J3002">
        <v>-1179547399</v>
      </c>
      <c r="K3002">
        <v>109937607</v>
      </c>
      <c r="L3002">
        <v>207155442</v>
      </c>
      <c r="M3002">
        <v>130782388</v>
      </c>
      <c r="N3002">
        <v>101877415</v>
      </c>
      <c r="O3002">
        <v>-91400461</v>
      </c>
      <c r="P3002">
        <v>255</v>
      </c>
      <c r="Q3002" t="s">
        <v>6048</v>
      </c>
    </row>
    <row r="3003" spans="1:17" x14ac:dyDescent="0.3">
      <c r="A3003" t="s">
        <v>4446</v>
      </c>
      <c r="B3003" t="str">
        <f>"002277"</f>
        <v>002277</v>
      </c>
      <c r="C3003" t="s">
        <v>6049</v>
      </c>
      <c r="D3003" t="s">
        <v>120</v>
      </c>
      <c r="F3003">
        <v>410915340</v>
      </c>
      <c r="G3003">
        <v>-59310994</v>
      </c>
      <c r="H3003">
        <v>-575954745</v>
      </c>
      <c r="I3003">
        <v>-433716193</v>
      </c>
      <c r="J3003">
        <v>-416918331</v>
      </c>
      <c r="K3003">
        <v>-135847762</v>
      </c>
      <c r="L3003">
        <v>-2533502373</v>
      </c>
      <c r="M3003">
        <v>-1489914458</v>
      </c>
      <c r="N3003">
        <v>-77527220</v>
      </c>
      <c r="O3003">
        <v>348159833</v>
      </c>
      <c r="P3003">
        <v>145</v>
      </c>
      <c r="Q3003" t="s">
        <v>6050</v>
      </c>
    </row>
    <row r="3004" spans="1:17" x14ac:dyDescent="0.3">
      <c r="A3004" t="s">
        <v>4446</v>
      </c>
      <c r="B3004" t="str">
        <f>"002278"</f>
        <v>002278</v>
      </c>
      <c r="C3004" t="s">
        <v>6051</v>
      </c>
      <c r="D3004" t="s">
        <v>78</v>
      </c>
      <c r="F3004">
        <v>23344523</v>
      </c>
      <c r="G3004">
        <v>32681541</v>
      </c>
      <c r="H3004">
        <v>14087184</v>
      </c>
      <c r="I3004">
        <v>-30860130</v>
      </c>
      <c r="J3004">
        <v>13608624</v>
      </c>
      <c r="K3004">
        <v>-76440137</v>
      </c>
      <c r="L3004">
        <v>-91261642</v>
      </c>
      <c r="M3004">
        <v>-20797276</v>
      </c>
      <c r="N3004">
        <v>36312603</v>
      </c>
      <c r="O3004">
        <v>50523578</v>
      </c>
      <c r="P3004">
        <v>57</v>
      </c>
      <c r="Q3004" t="s">
        <v>6052</v>
      </c>
    </row>
    <row r="3005" spans="1:17" x14ac:dyDescent="0.3">
      <c r="A3005" t="s">
        <v>4446</v>
      </c>
      <c r="B3005" t="str">
        <f>"002279"</f>
        <v>002279</v>
      </c>
      <c r="C3005" t="s">
        <v>6053</v>
      </c>
      <c r="D3005" t="s">
        <v>212</v>
      </c>
      <c r="F3005">
        <v>176635876</v>
      </c>
      <c r="G3005">
        <v>174188779</v>
      </c>
      <c r="H3005">
        <v>110775774</v>
      </c>
      <c r="I3005">
        <v>373041178</v>
      </c>
      <c r="J3005">
        <v>76496915</v>
      </c>
      <c r="K3005">
        <v>36464075</v>
      </c>
      <c r="L3005">
        <v>159750975</v>
      </c>
      <c r="M3005">
        <v>50590948</v>
      </c>
      <c r="N3005">
        <v>59628648</v>
      </c>
      <c r="O3005">
        <v>15115621</v>
      </c>
      <c r="P3005">
        <v>323</v>
      </c>
      <c r="Q3005" t="s">
        <v>6054</v>
      </c>
    </row>
    <row r="3006" spans="1:17" x14ac:dyDescent="0.3">
      <c r="A3006" t="s">
        <v>4446</v>
      </c>
      <c r="B3006" t="str">
        <f>"002280"</f>
        <v>002280</v>
      </c>
      <c r="C3006" t="s">
        <v>6055</v>
      </c>
      <c r="D3006" t="s">
        <v>120</v>
      </c>
      <c r="F3006">
        <v>-221036601</v>
      </c>
      <c r="G3006">
        <v>806715829</v>
      </c>
      <c r="H3006">
        <v>10583656</v>
      </c>
      <c r="I3006">
        <v>-551731039</v>
      </c>
      <c r="J3006">
        <v>-999961420</v>
      </c>
      <c r="K3006">
        <v>-1274779848</v>
      </c>
      <c r="L3006">
        <v>-113904099</v>
      </c>
      <c r="M3006">
        <v>74450950</v>
      </c>
      <c r="N3006">
        <v>-25380130</v>
      </c>
      <c r="O3006">
        <v>543488</v>
      </c>
      <c r="P3006">
        <v>179</v>
      </c>
      <c r="Q3006" t="s">
        <v>6056</v>
      </c>
    </row>
    <row r="3007" spans="1:17" x14ac:dyDescent="0.3">
      <c r="A3007" t="s">
        <v>4446</v>
      </c>
      <c r="B3007" t="str">
        <f>"002281"</f>
        <v>002281</v>
      </c>
      <c r="C3007" t="s">
        <v>6057</v>
      </c>
      <c r="D3007" t="s">
        <v>100</v>
      </c>
      <c r="F3007">
        <v>326819500</v>
      </c>
      <c r="G3007">
        <v>683458962</v>
      </c>
      <c r="H3007">
        <v>-48659639</v>
      </c>
      <c r="I3007">
        <v>-44604668</v>
      </c>
      <c r="J3007">
        <v>-48147729</v>
      </c>
      <c r="K3007">
        <v>-69251877</v>
      </c>
      <c r="L3007">
        <v>17422746</v>
      </c>
      <c r="M3007">
        <v>24927856</v>
      </c>
      <c r="N3007">
        <v>60121157</v>
      </c>
      <c r="O3007">
        <v>58443835</v>
      </c>
      <c r="P3007">
        <v>893</v>
      </c>
      <c r="Q3007" t="s">
        <v>6058</v>
      </c>
    </row>
    <row r="3008" spans="1:17" x14ac:dyDescent="0.3">
      <c r="A3008" t="s">
        <v>4446</v>
      </c>
      <c r="B3008" t="str">
        <f>"002282"</f>
        <v>002282</v>
      </c>
      <c r="C3008" t="s">
        <v>6059</v>
      </c>
      <c r="D3008" t="s">
        <v>78</v>
      </c>
      <c r="F3008">
        <v>94741786</v>
      </c>
      <c r="G3008">
        <v>177146329</v>
      </c>
      <c r="H3008">
        <v>105627444</v>
      </c>
      <c r="I3008">
        <v>-160584258</v>
      </c>
      <c r="J3008">
        <v>-8863251</v>
      </c>
      <c r="K3008">
        <v>66116145</v>
      </c>
      <c r="L3008">
        <v>61587544</v>
      </c>
      <c r="M3008">
        <v>103933613</v>
      </c>
      <c r="N3008">
        <v>9755415</v>
      </c>
      <c r="O3008">
        <v>-166696113</v>
      </c>
      <c r="P3008">
        <v>97</v>
      </c>
      <c r="Q3008" t="s">
        <v>6060</v>
      </c>
    </row>
    <row r="3009" spans="1:17" x14ac:dyDescent="0.3">
      <c r="A3009" t="s">
        <v>4446</v>
      </c>
      <c r="B3009" t="str">
        <f>"002283"</f>
        <v>002283</v>
      </c>
      <c r="C3009" t="s">
        <v>6061</v>
      </c>
      <c r="D3009" t="s">
        <v>27</v>
      </c>
      <c r="F3009">
        <v>428048927</v>
      </c>
      <c r="G3009">
        <v>231408155</v>
      </c>
      <c r="H3009">
        <v>20672223</v>
      </c>
      <c r="I3009">
        <v>471026678</v>
      </c>
      <c r="J3009">
        <v>-302924395</v>
      </c>
      <c r="K3009">
        <v>80045213</v>
      </c>
      <c r="L3009">
        <v>156679978</v>
      </c>
      <c r="M3009">
        <v>11843878</v>
      </c>
      <c r="N3009">
        <v>-253256002</v>
      </c>
      <c r="O3009">
        <v>-659721342</v>
      </c>
      <c r="P3009">
        <v>202</v>
      </c>
      <c r="Q3009" t="s">
        <v>6062</v>
      </c>
    </row>
    <row r="3010" spans="1:17" x14ac:dyDescent="0.3">
      <c r="A3010" t="s">
        <v>4446</v>
      </c>
      <c r="B3010" t="str">
        <f>"002284"</f>
        <v>002284</v>
      </c>
      <c r="C3010" t="s">
        <v>6063</v>
      </c>
      <c r="D3010" t="s">
        <v>27</v>
      </c>
      <c r="F3010">
        <v>336127379</v>
      </c>
      <c r="G3010">
        <v>427791794</v>
      </c>
      <c r="H3010">
        <v>155823397</v>
      </c>
      <c r="I3010">
        <v>234780643</v>
      </c>
      <c r="J3010">
        <v>-235048681</v>
      </c>
      <c r="K3010">
        <v>-269090194</v>
      </c>
      <c r="L3010">
        <v>-247854260</v>
      </c>
      <c r="M3010">
        <v>-128788963</v>
      </c>
      <c r="N3010">
        <v>35527828</v>
      </c>
      <c r="O3010">
        <v>-15604943</v>
      </c>
      <c r="P3010">
        <v>197</v>
      </c>
      <c r="Q3010" t="s">
        <v>6064</v>
      </c>
    </row>
    <row r="3011" spans="1:17" x14ac:dyDescent="0.3">
      <c r="A3011" t="s">
        <v>4446</v>
      </c>
      <c r="B3011" t="str">
        <f>"002285"</f>
        <v>002285</v>
      </c>
      <c r="C3011" t="s">
        <v>6065</v>
      </c>
      <c r="D3011" t="s">
        <v>30</v>
      </c>
      <c r="F3011">
        <v>1066515865</v>
      </c>
      <c r="G3011">
        <v>730437155</v>
      </c>
      <c r="H3011">
        <v>1353448868</v>
      </c>
      <c r="I3011">
        <v>528503454</v>
      </c>
      <c r="J3011">
        <v>-3417985165</v>
      </c>
      <c r="K3011">
        <v>2155668320</v>
      </c>
      <c r="L3011">
        <v>420729734</v>
      </c>
      <c r="M3011">
        <v>-952281254</v>
      </c>
      <c r="N3011">
        <v>432505564</v>
      </c>
      <c r="O3011">
        <v>189097211</v>
      </c>
      <c r="P3011">
        <v>477</v>
      </c>
      <c r="Q3011" t="s">
        <v>6066</v>
      </c>
    </row>
    <row r="3012" spans="1:17" x14ac:dyDescent="0.3">
      <c r="A3012" t="s">
        <v>4446</v>
      </c>
      <c r="B3012" t="str">
        <f>"002286"</f>
        <v>002286</v>
      </c>
      <c r="C3012" t="s">
        <v>6067</v>
      </c>
      <c r="D3012" t="s">
        <v>205</v>
      </c>
      <c r="F3012">
        <v>114252554</v>
      </c>
      <c r="G3012">
        <v>267135399</v>
      </c>
      <c r="H3012">
        <v>60076171</v>
      </c>
      <c r="I3012">
        <v>-40425011</v>
      </c>
      <c r="J3012">
        <v>-135609209</v>
      </c>
      <c r="K3012">
        <v>12457550</v>
      </c>
      <c r="L3012">
        <v>-121912859</v>
      </c>
      <c r="M3012">
        <v>-171144584</v>
      </c>
      <c r="N3012">
        <v>-61869392</v>
      </c>
      <c r="O3012">
        <v>26655727</v>
      </c>
      <c r="P3012">
        <v>179</v>
      </c>
      <c r="Q3012" t="s">
        <v>6068</v>
      </c>
    </row>
    <row r="3013" spans="1:17" x14ac:dyDescent="0.3">
      <c r="A3013" t="s">
        <v>4446</v>
      </c>
      <c r="B3013" t="str">
        <f>"002287"</f>
        <v>002287</v>
      </c>
      <c r="C3013" t="s">
        <v>6069</v>
      </c>
      <c r="D3013" t="s">
        <v>113</v>
      </c>
      <c r="F3013">
        <v>909346914</v>
      </c>
      <c r="G3013">
        <v>-100013398</v>
      </c>
      <c r="H3013">
        <v>355586881</v>
      </c>
      <c r="I3013">
        <v>370458681</v>
      </c>
      <c r="J3013">
        <v>163854640</v>
      </c>
      <c r="K3013">
        <v>209353281</v>
      </c>
      <c r="L3013">
        <v>192918496</v>
      </c>
      <c r="M3013">
        <v>229472769</v>
      </c>
      <c r="N3013">
        <v>124121566</v>
      </c>
      <c r="O3013">
        <v>108023755</v>
      </c>
      <c r="P3013">
        <v>13300</v>
      </c>
      <c r="Q3013" t="s">
        <v>6070</v>
      </c>
    </row>
    <row r="3014" spans="1:17" x14ac:dyDescent="0.3">
      <c r="A3014" t="s">
        <v>4446</v>
      </c>
      <c r="B3014" t="str">
        <f>"002288"</f>
        <v>002288</v>
      </c>
      <c r="C3014" t="s">
        <v>6071</v>
      </c>
      <c r="D3014" t="s">
        <v>150</v>
      </c>
      <c r="F3014">
        <v>29921139</v>
      </c>
      <c r="G3014">
        <v>-63109076</v>
      </c>
      <c r="H3014">
        <v>-270899903</v>
      </c>
      <c r="I3014">
        <v>98969416</v>
      </c>
      <c r="J3014">
        <v>-143671570</v>
      </c>
      <c r="K3014">
        <v>63029858</v>
      </c>
      <c r="L3014">
        <v>-52338939</v>
      </c>
      <c r="M3014">
        <v>-38835880</v>
      </c>
      <c r="N3014">
        <v>-129358794</v>
      </c>
      <c r="O3014">
        <v>-221656020</v>
      </c>
      <c r="P3014">
        <v>176</v>
      </c>
      <c r="Q3014" t="s">
        <v>6072</v>
      </c>
    </row>
    <row r="3015" spans="1:17" x14ac:dyDescent="0.3">
      <c r="A3015" t="s">
        <v>4446</v>
      </c>
      <c r="B3015" t="str">
        <f>"002289"</f>
        <v>002289</v>
      </c>
      <c r="C3015" t="s">
        <v>6073</v>
      </c>
      <c r="D3015" t="s">
        <v>150</v>
      </c>
      <c r="F3015">
        <v>-33913044</v>
      </c>
      <c r="G3015">
        <v>160445270</v>
      </c>
      <c r="H3015">
        <v>78419845</v>
      </c>
      <c r="I3015">
        <v>-26022158</v>
      </c>
      <c r="J3015">
        <v>319133637</v>
      </c>
      <c r="K3015">
        <v>-271377910</v>
      </c>
      <c r="L3015">
        <v>-84655203</v>
      </c>
      <c r="M3015">
        <v>-288418352</v>
      </c>
      <c r="N3015">
        <v>104573574</v>
      </c>
      <c r="O3015">
        <v>-377475853</v>
      </c>
      <c r="P3015">
        <v>70</v>
      </c>
      <c r="Q3015" t="s">
        <v>6074</v>
      </c>
    </row>
    <row r="3016" spans="1:17" x14ac:dyDescent="0.3">
      <c r="A3016" t="s">
        <v>4446</v>
      </c>
      <c r="B3016" t="str">
        <f>"002290"</f>
        <v>002290</v>
      </c>
      <c r="C3016" t="s">
        <v>6075</v>
      </c>
      <c r="D3016" t="s">
        <v>126</v>
      </c>
      <c r="F3016">
        <v>89153478</v>
      </c>
      <c r="G3016">
        <v>74911230</v>
      </c>
      <c r="H3016">
        <v>57073924</v>
      </c>
      <c r="I3016">
        <v>-95483846</v>
      </c>
      <c r="J3016">
        <v>-1047547378</v>
      </c>
      <c r="K3016">
        <v>-26919299</v>
      </c>
      <c r="L3016">
        <v>-83441011</v>
      </c>
      <c r="M3016">
        <v>53650373</v>
      </c>
      <c r="N3016">
        <v>45840235</v>
      </c>
      <c r="O3016">
        <v>175967075</v>
      </c>
      <c r="P3016">
        <v>80</v>
      </c>
      <c r="Q3016" t="s">
        <v>6076</v>
      </c>
    </row>
    <row r="3017" spans="1:17" x14ac:dyDescent="0.3">
      <c r="A3017" t="s">
        <v>4446</v>
      </c>
      <c r="B3017" t="str">
        <f>"002291"</f>
        <v>002291</v>
      </c>
      <c r="C3017" t="s">
        <v>6077</v>
      </c>
      <c r="D3017" t="s">
        <v>89</v>
      </c>
      <c r="F3017">
        <v>4555504</v>
      </c>
      <c r="G3017">
        <v>-347376739</v>
      </c>
      <c r="H3017">
        <v>109621855</v>
      </c>
      <c r="I3017">
        <v>139701328</v>
      </c>
      <c r="J3017">
        <v>70346819</v>
      </c>
      <c r="K3017">
        <v>51210895</v>
      </c>
      <c r="L3017">
        <v>-12282879</v>
      </c>
      <c r="M3017">
        <v>3014664</v>
      </c>
      <c r="N3017">
        <v>-155556064</v>
      </c>
      <c r="O3017">
        <v>-190630501</v>
      </c>
      <c r="P3017">
        <v>172</v>
      </c>
      <c r="Q3017" t="s">
        <v>6078</v>
      </c>
    </row>
    <row r="3018" spans="1:17" x14ac:dyDescent="0.3">
      <c r="A3018" t="s">
        <v>4446</v>
      </c>
      <c r="B3018" t="str">
        <f>"002292"</f>
        <v>002292</v>
      </c>
      <c r="C3018" t="s">
        <v>6079</v>
      </c>
      <c r="D3018" t="s">
        <v>89</v>
      </c>
      <c r="F3018">
        <v>-128328562</v>
      </c>
      <c r="G3018">
        <v>45746199</v>
      </c>
      <c r="H3018">
        <v>208766429</v>
      </c>
      <c r="I3018">
        <v>68078934</v>
      </c>
      <c r="J3018">
        <v>92078854</v>
      </c>
      <c r="K3018">
        <v>-131553162</v>
      </c>
      <c r="L3018">
        <v>-147611027</v>
      </c>
      <c r="M3018">
        <v>466114206</v>
      </c>
      <c r="N3018">
        <v>93701714</v>
      </c>
      <c r="O3018">
        <v>174601239</v>
      </c>
      <c r="P3018">
        <v>291</v>
      </c>
      <c r="Q3018" t="s">
        <v>6080</v>
      </c>
    </row>
    <row r="3019" spans="1:17" x14ac:dyDescent="0.3">
      <c r="A3019" t="s">
        <v>4446</v>
      </c>
      <c r="B3019" t="str">
        <f>"002293"</f>
        <v>002293</v>
      </c>
      <c r="C3019" t="s">
        <v>6081</v>
      </c>
      <c r="D3019" t="s">
        <v>227</v>
      </c>
      <c r="F3019">
        <v>582494313</v>
      </c>
      <c r="G3019">
        <v>489906157</v>
      </c>
      <c r="H3019">
        <v>423021617</v>
      </c>
      <c r="I3019">
        <v>64500291</v>
      </c>
      <c r="J3019">
        <v>374464495</v>
      </c>
      <c r="K3019">
        <v>443755057</v>
      </c>
      <c r="L3019">
        <v>278602118</v>
      </c>
      <c r="M3019">
        <v>461390619</v>
      </c>
      <c r="N3019">
        <v>238871721</v>
      </c>
      <c r="O3019">
        <v>71450421</v>
      </c>
      <c r="P3019">
        <v>4959</v>
      </c>
      <c r="Q3019" t="s">
        <v>6082</v>
      </c>
    </row>
    <row r="3020" spans="1:17" x14ac:dyDescent="0.3">
      <c r="A3020" t="s">
        <v>4446</v>
      </c>
      <c r="B3020" t="str">
        <f>"002294"</f>
        <v>002294</v>
      </c>
      <c r="C3020" t="s">
        <v>6083</v>
      </c>
      <c r="D3020" t="s">
        <v>113</v>
      </c>
      <c r="F3020">
        <v>704070359</v>
      </c>
      <c r="G3020">
        <v>732757941</v>
      </c>
      <c r="H3020">
        <v>1049604036</v>
      </c>
      <c r="I3020">
        <v>1008523820</v>
      </c>
      <c r="J3020">
        <v>1126389797</v>
      </c>
      <c r="K3020">
        <v>1190511086</v>
      </c>
      <c r="L3020">
        <v>820467683</v>
      </c>
      <c r="M3020">
        <v>781618362</v>
      </c>
      <c r="N3020">
        <v>241330125</v>
      </c>
      <c r="O3020">
        <v>234481520</v>
      </c>
      <c r="P3020">
        <v>25590</v>
      </c>
      <c r="Q3020" t="s">
        <v>6084</v>
      </c>
    </row>
    <row r="3021" spans="1:17" x14ac:dyDescent="0.3">
      <c r="A3021" t="s">
        <v>4446</v>
      </c>
      <c r="B3021" t="str">
        <f>"002295"</f>
        <v>002295</v>
      </c>
      <c r="C3021" t="s">
        <v>6085</v>
      </c>
      <c r="D3021" t="s">
        <v>234</v>
      </c>
      <c r="F3021">
        <v>-7066896</v>
      </c>
      <c r="G3021">
        <v>-11073225</v>
      </c>
      <c r="H3021">
        <v>-1207394</v>
      </c>
      <c r="I3021">
        <v>-130528169</v>
      </c>
      <c r="J3021">
        <v>-321033669</v>
      </c>
      <c r="K3021">
        <v>348644</v>
      </c>
      <c r="L3021">
        <v>173270106</v>
      </c>
      <c r="M3021">
        <v>59704322</v>
      </c>
      <c r="N3021">
        <v>-208247670</v>
      </c>
      <c r="O3021">
        <v>282804052</v>
      </c>
      <c r="P3021">
        <v>56</v>
      </c>
      <c r="Q3021" t="s">
        <v>6086</v>
      </c>
    </row>
    <row r="3022" spans="1:17" x14ac:dyDescent="0.3">
      <c r="A3022" t="s">
        <v>4446</v>
      </c>
      <c r="B3022" t="str">
        <f>"002296"</f>
        <v>002296</v>
      </c>
      <c r="C3022" t="s">
        <v>6087</v>
      </c>
      <c r="D3022" t="s">
        <v>100</v>
      </c>
      <c r="F3022">
        <v>193316631</v>
      </c>
      <c r="G3022">
        <v>39260670</v>
      </c>
      <c r="H3022">
        <v>116419557</v>
      </c>
      <c r="I3022">
        <v>-45457578</v>
      </c>
      <c r="J3022">
        <v>22918761</v>
      </c>
      <c r="K3022">
        <v>109224588</v>
      </c>
      <c r="L3022">
        <v>33398012</v>
      </c>
      <c r="M3022">
        <v>22031032</v>
      </c>
      <c r="N3022">
        <v>60255964</v>
      </c>
      <c r="O3022">
        <v>-20322758</v>
      </c>
      <c r="P3022">
        <v>160</v>
      </c>
      <c r="Q3022" t="s">
        <v>6088</v>
      </c>
    </row>
    <row r="3023" spans="1:17" x14ac:dyDescent="0.3">
      <c r="A3023" t="s">
        <v>4446</v>
      </c>
      <c r="B3023" t="str">
        <f>"002297"</f>
        <v>002297</v>
      </c>
      <c r="C3023" t="s">
        <v>6089</v>
      </c>
      <c r="D3023" t="s">
        <v>92</v>
      </c>
      <c r="F3023">
        <v>-101576021</v>
      </c>
      <c r="G3023">
        <v>-123849036</v>
      </c>
      <c r="H3023">
        <v>-110792600</v>
      </c>
      <c r="I3023">
        <v>-31707843</v>
      </c>
      <c r="J3023">
        <v>-94151020</v>
      </c>
      <c r="K3023">
        <v>-45215378</v>
      </c>
      <c r="L3023">
        <v>-63252156</v>
      </c>
      <c r="M3023">
        <v>-93652353</v>
      </c>
      <c r="N3023">
        <v>-32992237</v>
      </c>
      <c r="O3023">
        <v>-73965558</v>
      </c>
      <c r="P3023">
        <v>100</v>
      </c>
      <c r="Q3023" t="s">
        <v>6090</v>
      </c>
    </row>
    <row r="3024" spans="1:17" x14ac:dyDescent="0.3">
      <c r="A3024" t="s">
        <v>4446</v>
      </c>
      <c r="B3024" t="str">
        <f>"002298"</f>
        <v>002298</v>
      </c>
      <c r="C3024" t="s">
        <v>6091</v>
      </c>
      <c r="D3024" t="s">
        <v>212</v>
      </c>
      <c r="F3024">
        <v>-239776682</v>
      </c>
      <c r="G3024">
        <v>62003610</v>
      </c>
      <c r="H3024">
        <v>-361892362</v>
      </c>
      <c r="I3024">
        <v>-216401384</v>
      </c>
      <c r="J3024">
        <v>125273779</v>
      </c>
      <c r="K3024">
        <v>246405258</v>
      </c>
      <c r="L3024">
        <v>222825097</v>
      </c>
      <c r="M3024">
        <v>-36298048</v>
      </c>
      <c r="N3024">
        <v>-233875979</v>
      </c>
      <c r="O3024">
        <v>5580278</v>
      </c>
      <c r="P3024">
        <v>182</v>
      </c>
      <c r="Q3024" t="s">
        <v>6092</v>
      </c>
    </row>
    <row r="3025" spans="1:17" x14ac:dyDescent="0.3">
      <c r="A3025" t="s">
        <v>4446</v>
      </c>
      <c r="B3025" t="str">
        <f>"002299"</f>
        <v>002299</v>
      </c>
      <c r="C3025" t="s">
        <v>6093</v>
      </c>
      <c r="D3025" t="s">
        <v>205</v>
      </c>
      <c r="F3025">
        <v>91577106</v>
      </c>
      <c r="G3025">
        <v>2017448073</v>
      </c>
      <c r="H3025">
        <v>3455586003</v>
      </c>
      <c r="I3025">
        <v>1210655818</v>
      </c>
      <c r="J3025">
        <v>194716405</v>
      </c>
      <c r="K3025">
        <v>256747199</v>
      </c>
      <c r="L3025">
        <v>-1165362611</v>
      </c>
      <c r="M3025">
        <v>-1072690142</v>
      </c>
      <c r="N3025">
        <v>-1699897288</v>
      </c>
      <c r="O3025">
        <v>-1091786723</v>
      </c>
      <c r="P3025">
        <v>1371</v>
      </c>
      <c r="Q3025" t="s">
        <v>6094</v>
      </c>
    </row>
    <row r="3026" spans="1:17" x14ac:dyDescent="0.3">
      <c r="A3026" t="s">
        <v>4446</v>
      </c>
      <c r="B3026" t="str">
        <f>"002300"</f>
        <v>002300</v>
      </c>
      <c r="C3026" t="s">
        <v>6095</v>
      </c>
      <c r="D3026" t="s">
        <v>188</v>
      </c>
      <c r="F3026">
        <v>54857430</v>
      </c>
      <c r="G3026">
        <v>265930105</v>
      </c>
      <c r="H3026">
        <v>514763246</v>
      </c>
      <c r="I3026">
        <v>-284404767</v>
      </c>
      <c r="J3026">
        <v>18314719</v>
      </c>
      <c r="K3026">
        <v>241797185</v>
      </c>
      <c r="L3026">
        <v>-21193691</v>
      </c>
      <c r="M3026">
        <v>116289661</v>
      </c>
      <c r="N3026">
        <v>219535082</v>
      </c>
      <c r="O3026">
        <v>72769141</v>
      </c>
      <c r="P3026">
        <v>125</v>
      </c>
      <c r="Q3026" t="s">
        <v>6096</v>
      </c>
    </row>
    <row r="3027" spans="1:17" x14ac:dyDescent="0.3">
      <c r="A3027" t="s">
        <v>4446</v>
      </c>
      <c r="B3027" t="str">
        <f>"002301"</f>
        <v>002301</v>
      </c>
      <c r="C3027" t="s">
        <v>6097</v>
      </c>
      <c r="D3027" t="s">
        <v>161</v>
      </c>
      <c r="F3027">
        <v>146407962</v>
      </c>
      <c r="G3027">
        <v>436887570</v>
      </c>
      <c r="H3027">
        <v>442577227</v>
      </c>
      <c r="I3027">
        <v>358485310</v>
      </c>
      <c r="J3027">
        <v>-201082702</v>
      </c>
      <c r="K3027">
        <v>346773851</v>
      </c>
      <c r="L3027">
        <v>-92361921</v>
      </c>
      <c r="M3027">
        <v>22558079</v>
      </c>
      <c r="N3027">
        <v>-129664115</v>
      </c>
      <c r="O3027">
        <v>-251725271</v>
      </c>
      <c r="P3027">
        <v>202</v>
      </c>
      <c r="Q3027" t="s">
        <v>6098</v>
      </c>
    </row>
    <row r="3028" spans="1:17" x14ac:dyDescent="0.3">
      <c r="A3028" t="s">
        <v>4446</v>
      </c>
      <c r="B3028" t="str">
        <f>"002302"</f>
        <v>002302</v>
      </c>
      <c r="C3028" t="s">
        <v>6099</v>
      </c>
      <c r="D3028" t="s">
        <v>350</v>
      </c>
      <c r="F3028">
        <v>208224762</v>
      </c>
      <c r="G3028">
        <v>356095590</v>
      </c>
      <c r="H3028">
        <v>1745611329</v>
      </c>
      <c r="I3028">
        <v>-1195185991</v>
      </c>
      <c r="J3028">
        <v>406348419</v>
      </c>
      <c r="K3028">
        <v>789693000</v>
      </c>
      <c r="L3028">
        <v>569020941</v>
      </c>
      <c r="M3028">
        <v>-300209139</v>
      </c>
      <c r="N3028">
        <v>-714674876</v>
      </c>
      <c r="O3028">
        <v>-358956128</v>
      </c>
      <c r="P3028">
        <v>201</v>
      </c>
      <c r="Q3028" t="s">
        <v>6100</v>
      </c>
    </row>
    <row r="3029" spans="1:17" x14ac:dyDescent="0.3">
      <c r="A3029" t="s">
        <v>4446</v>
      </c>
      <c r="B3029" t="str">
        <f>"002303"</f>
        <v>002303</v>
      </c>
      <c r="C3029" t="s">
        <v>6101</v>
      </c>
      <c r="D3029" t="s">
        <v>161</v>
      </c>
      <c r="F3029">
        <v>-52332833</v>
      </c>
      <c r="G3029">
        <v>8398491</v>
      </c>
      <c r="H3029">
        <v>63038687</v>
      </c>
      <c r="I3029">
        <v>-303591841</v>
      </c>
      <c r="J3029">
        <v>-296597861</v>
      </c>
      <c r="K3029">
        <v>-69502350</v>
      </c>
      <c r="L3029">
        <v>-71927064</v>
      </c>
      <c r="M3029">
        <v>263607159</v>
      </c>
      <c r="N3029">
        <v>237550689</v>
      </c>
      <c r="O3029">
        <v>55106908</v>
      </c>
      <c r="P3029">
        <v>224</v>
      </c>
      <c r="Q3029" t="s">
        <v>6102</v>
      </c>
    </row>
    <row r="3030" spans="1:17" x14ac:dyDescent="0.3">
      <c r="A3030" t="s">
        <v>4446</v>
      </c>
      <c r="B3030" t="str">
        <f>"002304"</f>
        <v>002304</v>
      </c>
      <c r="C3030" t="s">
        <v>6103</v>
      </c>
      <c r="D3030" t="s">
        <v>123</v>
      </c>
      <c r="F3030">
        <v>14900714135</v>
      </c>
      <c r="G3030">
        <v>3625896705</v>
      </c>
      <c r="H3030">
        <v>6504807588</v>
      </c>
      <c r="I3030">
        <v>8630829541</v>
      </c>
      <c r="J3030">
        <v>6558433203</v>
      </c>
      <c r="K3030">
        <v>6932559581</v>
      </c>
      <c r="L3030">
        <v>5121255766</v>
      </c>
      <c r="M3030">
        <v>928005294</v>
      </c>
      <c r="N3030">
        <v>513262817</v>
      </c>
      <c r="O3030">
        <v>2128093866</v>
      </c>
      <c r="P3030">
        <v>52727</v>
      </c>
      <c r="Q3030" t="s">
        <v>6104</v>
      </c>
    </row>
    <row r="3031" spans="1:17" x14ac:dyDescent="0.3">
      <c r="A3031" t="s">
        <v>4446</v>
      </c>
      <c r="B3031" t="str">
        <f>"002305"</f>
        <v>002305</v>
      </c>
      <c r="C3031" t="s">
        <v>6105</v>
      </c>
      <c r="D3031" t="s">
        <v>30</v>
      </c>
      <c r="F3031">
        <v>2157977385</v>
      </c>
      <c r="G3031">
        <v>3628627617</v>
      </c>
      <c r="H3031">
        <v>-2069371995</v>
      </c>
      <c r="I3031">
        <v>2332060367</v>
      </c>
      <c r="J3031">
        <v>1643857247</v>
      </c>
      <c r="K3031">
        <v>469325797</v>
      </c>
      <c r="L3031">
        <v>-4925513503</v>
      </c>
      <c r="M3031">
        <v>-683681582</v>
      </c>
      <c r="N3031">
        <v>-958055216</v>
      </c>
      <c r="O3031">
        <v>439917590</v>
      </c>
      <c r="P3031">
        <v>107</v>
      </c>
      <c r="Q3031" t="s">
        <v>6106</v>
      </c>
    </row>
    <row r="3032" spans="1:17" x14ac:dyDescent="0.3">
      <c r="A3032" t="s">
        <v>4446</v>
      </c>
      <c r="B3032" t="str">
        <f>"002306"</f>
        <v>002306</v>
      </c>
      <c r="C3032" t="s">
        <v>6107</v>
      </c>
      <c r="D3032" t="s">
        <v>110</v>
      </c>
      <c r="F3032">
        <v>-39881384</v>
      </c>
      <c r="G3032">
        <v>15765446</v>
      </c>
      <c r="H3032">
        <v>-20784018</v>
      </c>
      <c r="I3032">
        <v>14670711</v>
      </c>
      <c r="J3032">
        <v>-10459523</v>
      </c>
      <c r="K3032">
        <v>20071733</v>
      </c>
      <c r="L3032">
        <v>-31948413</v>
      </c>
      <c r="M3032">
        <v>26525682</v>
      </c>
      <c r="N3032">
        <v>-314800339</v>
      </c>
      <c r="O3032">
        <v>-179706267</v>
      </c>
      <c r="P3032">
        <v>68</v>
      </c>
      <c r="Q3032" t="s">
        <v>6108</v>
      </c>
    </row>
    <row r="3033" spans="1:17" x14ac:dyDescent="0.3">
      <c r="A3033" t="s">
        <v>4446</v>
      </c>
      <c r="B3033" t="str">
        <f>"002307"</f>
        <v>002307</v>
      </c>
      <c r="C3033" t="s">
        <v>6109</v>
      </c>
      <c r="D3033" t="s">
        <v>95</v>
      </c>
      <c r="F3033">
        <v>-4490865581</v>
      </c>
      <c r="G3033">
        <v>-6721527641</v>
      </c>
      <c r="H3033">
        <v>-2963406291</v>
      </c>
      <c r="I3033">
        <v>-1916241787</v>
      </c>
      <c r="J3033">
        <v>-1153061213</v>
      </c>
      <c r="K3033">
        <v>-717111761</v>
      </c>
      <c r="L3033">
        <v>-332911809</v>
      </c>
      <c r="M3033">
        <v>136098828</v>
      </c>
      <c r="N3033">
        <v>-466368609</v>
      </c>
      <c r="O3033">
        <v>-655296630</v>
      </c>
      <c r="P3033">
        <v>90</v>
      </c>
      <c r="Q3033" t="s">
        <v>6110</v>
      </c>
    </row>
    <row r="3034" spans="1:17" x14ac:dyDescent="0.3">
      <c r="A3034" t="s">
        <v>4446</v>
      </c>
      <c r="B3034" t="str">
        <f>"002308"</f>
        <v>002308</v>
      </c>
      <c r="C3034" t="s">
        <v>6111</v>
      </c>
      <c r="D3034" t="s">
        <v>212</v>
      </c>
      <c r="F3034">
        <v>96773208</v>
      </c>
      <c r="G3034">
        <v>592171925</v>
      </c>
      <c r="H3034">
        <v>207741912</v>
      </c>
      <c r="I3034">
        <v>114491502</v>
      </c>
      <c r="J3034">
        <v>214862577</v>
      </c>
      <c r="K3034">
        <v>287755231</v>
      </c>
      <c r="L3034">
        <v>272448177</v>
      </c>
      <c r="M3034">
        <v>26530855</v>
      </c>
      <c r="N3034">
        <v>129091145</v>
      </c>
      <c r="O3034">
        <v>110466736</v>
      </c>
      <c r="P3034">
        <v>218</v>
      </c>
      <c r="Q3034" t="s">
        <v>6112</v>
      </c>
    </row>
    <row r="3035" spans="1:17" x14ac:dyDescent="0.3">
      <c r="A3035" t="s">
        <v>4446</v>
      </c>
      <c r="B3035" t="str">
        <f>"002309"</f>
        <v>002309</v>
      </c>
      <c r="C3035" t="s">
        <v>6113</v>
      </c>
      <c r="D3035" t="s">
        <v>188</v>
      </c>
      <c r="F3035">
        <v>120784387</v>
      </c>
      <c r="G3035">
        <v>-236312606</v>
      </c>
      <c r="H3035">
        <v>3533918545</v>
      </c>
      <c r="I3035">
        <v>2210635130</v>
      </c>
      <c r="J3035">
        <v>-941943191</v>
      </c>
      <c r="K3035">
        <v>-2237558934</v>
      </c>
      <c r="L3035">
        <v>-1332857508</v>
      </c>
      <c r="M3035">
        <v>-1623741796</v>
      </c>
      <c r="N3035">
        <v>-228580482</v>
      </c>
      <c r="O3035">
        <v>-1320247695</v>
      </c>
      <c r="P3035">
        <v>284</v>
      </c>
      <c r="Q3035" t="s">
        <v>6114</v>
      </c>
    </row>
    <row r="3036" spans="1:17" x14ac:dyDescent="0.3">
      <c r="A3036" t="s">
        <v>4446</v>
      </c>
      <c r="B3036" t="str">
        <f>"002310"</f>
        <v>002310</v>
      </c>
      <c r="C3036" t="s">
        <v>6115</v>
      </c>
      <c r="D3036" t="s">
        <v>95</v>
      </c>
      <c r="F3036">
        <v>-54147819</v>
      </c>
      <c r="G3036">
        <v>-1396341386</v>
      </c>
      <c r="H3036">
        <v>-1822309386</v>
      </c>
      <c r="I3036">
        <v>-945279909</v>
      </c>
      <c r="J3036">
        <v>2493568713</v>
      </c>
      <c r="K3036">
        <v>1223910950</v>
      </c>
      <c r="L3036">
        <v>247781878</v>
      </c>
      <c r="M3036">
        <v>-386249603</v>
      </c>
      <c r="N3036">
        <v>-514474153</v>
      </c>
      <c r="O3036">
        <v>-371443237</v>
      </c>
      <c r="P3036">
        <v>1194</v>
      </c>
      <c r="Q3036" t="s">
        <v>6116</v>
      </c>
    </row>
    <row r="3037" spans="1:17" x14ac:dyDescent="0.3">
      <c r="A3037" t="s">
        <v>4446</v>
      </c>
      <c r="B3037" t="str">
        <f>"002311"</f>
        <v>002311</v>
      </c>
      <c r="C3037" t="s">
        <v>6117</v>
      </c>
      <c r="D3037" t="s">
        <v>205</v>
      </c>
      <c r="F3037">
        <v>-1505918585</v>
      </c>
      <c r="G3037">
        <v>-2836077315</v>
      </c>
      <c r="H3037">
        <v>946704394</v>
      </c>
      <c r="I3037">
        <v>-823299467</v>
      </c>
      <c r="J3037">
        <v>-709703415</v>
      </c>
      <c r="K3037">
        <v>485129205</v>
      </c>
      <c r="L3037">
        <v>982280836</v>
      </c>
      <c r="M3037">
        <v>538881776</v>
      </c>
      <c r="N3037">
        <v>-39919648</v>
      </c>
      <c r="O3037">
        <v>-1068863401</v>
      </c>
      <c r="P3037">
        <v>1933</v>
      </c>
      <c r="Q3037" t="s">
        <v>6118</v>
      </c>
    </row>
    <row r="3038" spans="1:17" x14ac:dyDescent="0.3">
      <c r="A3038" t="s">
        <v>4446</v>
      </c>
      <c r="B3038" t="str">
        <f>"002312"</f>
        <v>002312</v>
      </c>
      <c r="C3038" t="s">
        <v>6119</v>
      </c>
      <c r="D3038" t="s">
        <v>133</v>
      </c>
      <c r="F3038">
        <v>-194281343</v>
      </c>
      <c r="G3038">
        <v>540583904</v>
      </c>
      <c r="H3038">
        <v>25328756</v>
      </c>
      <c r="I3038">
        <v>-33060799</v>
      </c>
      <c r="J3038">
        <v>-92915634</v>
      </c>
      <c r="K3038">
        <v>-927990303</v>
      </c>
      <c r="L3038">
        <v>-955792051</v>
      </c>
      <c r="M3038">
        <v>-486846678</v>
      </c>
      <c r="N3038">
        <v>-120664054</v>
      </c>
      <c r="O3038">
        <v>-162907270</v>
      </c>
      <c r="P3038">
        <v>249</v>
      </c>
      <c r="Q3038" t="s">
        <v>6120</v>
      </c>
    </row>
    <row r="3039" spans="1:17" x14ac:dyDescent="0.3">
      <c r="A3039" t="s">
        <v>4446</v>
      </c>
      <c r="B3039" t="str">
        <f>"002313"</f>
        <v>002313</v>
      </c>
      <c r="C3039" t="s">
        <v>6121</v>
      </c>
      <c r="D3039" t="s">
        <v>100</v>
      </c>
      <c r="F3039">
        <v>25244654</v>
      </c>
      <c r="G3039">
        <v>-89045939</v>
      </c>
      <c r="H3039">
        <v>-705724014</v>
      </c>
      <c r="I3039">
        <v>-871967324</v>
      </c>
      <c r="J3039">
        <v>48610639</v>
      </c>
      <c r="K3039">
        <v>278758726</v>
      </c>
      <c r="L3039">
        <v>317710122</v>
      </c>
      <c r="M3039">
        <v>207432221</v>
      </c>
      <c r="N3039">
        <v>-546400826</v>
      </c>
      <c r="O3039">
        <v>-362306706</v>
      </c>
      <c r="P3039">
        <v>243</v>
      </c>
      <c r="Q3039" t="s">
        <v>6122</v>
      </c>
    </row>
    <row r="3040" spans="1:17" x14ac:dyDescent="0.3">
      <c r="A3040" t="s">
        <v>4446</v>
      </c>
      <c r="B3040" t="str">
        <f>"002314"</f>
        <v>002314</v>
      </c>
      <c r="C3040" t="s">
        <v>6123</v>
      </c>
      <c r="D3040" t="s">
        <v>30</v>
      </c>
      <c r="F3040">
        <v>-770322680</v>
      </c>
      <c r="G3040">
        <v>-5929935334</v>
      </c>
      <c r="H3040">
        <v>-4592902932</v>
      </c>
      <c r="I3040">
        <v>-655861728</v>
      </c>
      <c r="J3040">
        <v>-473744987</v>
      </c>
      <c r="K3040">
        <v>1026027161</v>
      </c>
      <c r="L3040">
        <v>2085038683</v>
      </c>
      <c r="M3040">
        <v>-90694615</v>
      </c>
      <c r="N3040">
        <v>-28358782</v>
      </c>
      <c r="O3040">
        <v>-89127835</v>
      </c>
      <c r="P3040">
        <v>206</v>
      </c>
      <c r="Q3040" t="s">
        <v>6124</v>
      </c>
    </row>
    <row r="3041" spans="1:17" x14ac:dyDescent="0.3">
      <c r="A3041" t="s">
        <v>4446</v>
      </c>
      <c r="B3041" t="str">
        <f>"002315"</f>
        <v>002315</v>
      </c>
      <c r="C3041" t="s">
        <v>6125</v>
      </c>
      <c r="D3041" t="s">
        <v>120</v>
      </c>
      <c r="F3041">
        <v>431422977</v>
      </c>
      <c r="G3041">
        <v>421648534</v>
      </c>
      <c r="H3041">
        <v>679143</v>
      </c>
      <c r="I3041">
        <v>190404942</v>
      </c>
      <c r="J3041">
        <v>-252572028</v>
      </c>
      <c r="K3041">
        <v>23257932</v>
      </c>
      <c r="L3041">
        <v>32633431</v>
      </c>
      <c r="M3041">
        <v>81257765</v>
      </c>
      <c r="N3041">
        <v>174600211</v>
      </c>
      <c r="O3041">
        <v>51846138</v>
      </c>
      <c r="P3041">
        <v>221</v>
      </c>
      <c r="Q3041" t="s">
        <v>6126</v>
      </c>
    </row>
    <row r="3042" spans="1:17" x14ac:dyDescent="0.3">
      <c r="A3042" t="s">
        <v>4446</v>
      </c>
      <c r="B3042" t="str">
        <f>"002316"</f>
        <v>002316</v>
      </c>
      <c r="C3042" t="s">
        <v>6127</v>
      </c>
      <c r="D3042" t="s">
        <v>75</v>
      </c>
      <c r="F3042">
        <v>-178123510</v>
      </c>
      <c r="G3042">
        <v>80335299</v>
      </c>
      <c r="H3042">
        <v>86057991</v>
      </c>
      <c r="I3042">
        <v>563673429</v>
      </c>
      <c r="J3042">
        <v>12280850</v>
      </c>
      <c r="K3042">
        <v>-2624956</v>
      </c>
      <c r="L3042">
        <v>348072800</v>
      </c>
      <c r="M3042">
        <v>221713647</v>
      </c>
      <c r="N3042">
        <v>-399066463</v>
      </c>
      <c r="O3042">
        <v>-7708870</v>
      </c>
      <c r="P3042">
        <v>229</v>
      </c>
      <c r="Q3042" t="s">
        <v>6128</v>
      </c>
    </row>
    <row r="3043" spans="1:17" x14ac:dyDescent="0.3">
      <c r="A3043" t="s">
        <v>4446</v>
      </c>
      <c r="B3043" t="str">
        <f>"002317"</f>
        <v>002317</v>
      </c>
      <c r="C3043" t="s">
        <v>6129</v>
      </c>
      <c r="D3043" t="s">
        <v>113</v>
      </c>
      <c r="F3043">
        <v>410551222</v>
      </c>
      <c r="G3043">
        <v>4736029</v>
      </c>
      <c r="H3043">
        <v>126512438</v>
      </c>
      <c r="I3043">
        <v>186417607</v>
      </c>
      <c r="J3043">
        <v>362304176</v>
      </c>
      <c r="K3043">
        <v>221232159</v>
      </c>
      <c r="L3043">
        <v>115865099</v>
      </c>
      <c r="M3043">
        <v>-98922002</v>
      </c>
      <c r="N3043">
        <v>-751941</v>
      </c>
      <c r="O3043">
        <v>65369382</v>
      </c>
      <c r="P3043">
        <v>344</v>
      </c>
      <c r="Q3043" t="s">
        <v>6130</v>
      </c>
    </row>
    <row r="3044" spans="1:17" x14ac:dyDescent="0.3">
      <c r="A3044" t="s">
        <v>4446</v>
      </c>
      <c r="B3044" t="str">
        <f>"002318"</f>
        <v>002318</v>
      </c>
      <c r="C3044" t="s">
        <v>6131</v>
      </c>
      <c r="D3044" t="s">
        <v>38</v>
      </c>
      <c r="F3044">
        <v>22030294</v>
      </c>
      <c r="G3044">
        <v>897672786</v>
      </c>
      <c r="H3044">
        <v>242029778</v>
      </c>
      <c r="I3044">
        <v>465130695</v>
      </c>
      <c r="J3044">
        <v>-266087352</v>
      </c>
      <c r="K3044">
        <v>137415661</v>
      </c>
      <c r="L3044">
        <v>22219284</v>
      </c>
      <c r="M3044">
        <v>-189837157</v>
      </c>
      <c r="N3044">
        <v>26618525</v>
      </c>
      <c r="O3044">
        <v>61261741</v>
      </c>
      <c r="P3044">
        <v>452</v>
      </c>
      <c r="Q3044" t="s">
        <v>6132</v>
      </c>
    </row>
    <row r="3045" spans="1:17" x14ac:dyDescent="0.3">
      <c r="A3045" t="s">
        <v>4446</v>
      </c>
      <c r="B3045" t="str">
        <f>"002319"</f>
        <v>002319</v>
      </c>
      <c r="C3045" t="s">
        <v>6133</v>
      </c>
      <c r="D3045" t="s">
        <v>133</v>
      </c>
      <c r="F3045">
        <v>9652132</v>
      </c>
      <c r="G3045">
        <v>20198880</v>
      </c>
      <c r="H3045">
        <v>16187401</v>
      </c>
      <c r="I3045">
        <v>76080777</v>
      </c>
      <c r="J3045">
        <v>77350374</v>
      </c>
      <c r="K3045">
        <v>73896978</v>
      </c>
      <c r="L3045">
        <v>81321733</v>
      </c>
      <c r="M3045">
        <v>-57319829</v>
      </c>
      <c r="N3045">
        <v>-105003709</v>
      </c>
      <c r="O3045">
        <v>-20494928</v>
      </c>
      <c r="P3045">
        <v>55</v>
      </c>
      <c r="Q3045" t="s">
        <v>6134</v>
      </c>
    </row>
    <row r="3046" spans="1:17" x14ac:dyDescent="0.3">
      <c r="A3046" t="s">
        <v>4446</v>
      </c>
      <c r="B3046" t="str">
        <f>"002320"</f>
        <v>002320</v>
      </c>
      <c r="C3046" t="s">
        <v>6135</v>
      </c>
      <c r="D3046" t="s">
        <v>22</v>
      </c>
      <c r="F3046">
        <v>-1075239887</v>
      </c>
      <c r="G3046">
        <v>401272071</v>
      </c>
      <c r="H3046">
        <v>371289091</v>
      </c>
      <c r="I3046">
        <v>212974460</v>
      </c>
      <c r="J3046">
        <v>462024572</v>
      </c>
      <c r="K3046">
        <v>258699947</v>
      </c>
      <c r="L3046">
        <v>105765440</v>
      </c>
      <c r="M3046">
        <v>-283185583</v>
      </c>
      <c r="N3046">
        <v>-445924293</v>
      </c>
      <c r="O3046">
        <v>-57845090</v>
      </c>
      <c r="P3046">
        <v>174</v>
      </c>
      <c r="Q3046" t="s">
        <v>6136</v>
      </c>
    </row>
    <row r="3047" spans="1:17" x14ac:dyDescent="0.3">
      <c r="A3047" t="s">
        <v>4446</v>
      </c>
      <c r="B3047" t="str">
        <f>"002321"</f>
        <v>002321</v>
      </c>
      <c r="C3047" t="s">
        <v>6137</v>
      </c>
      <c r="D3047" t="s">
        <v>205</v>
      </c>
      <c r="F3047">
        <v>-291432977</v>
      </c>
      <c r="G3047">
        <v>-354492093</v>
      </c>
      <c r="H3047">
        <v>-1074608079</v>
      </c>
      <c r="I3047">
        <v>1119876511</v>
      </c>
      <c r="J3047">
        <v>-895743875</v>
      </c>
      <c r="K3047">
        <v>-121259825</v>
      </c>
      <c r="L3047">
        <v>452438767</v>
      </c>
      <c r="M3047">
        <v>385800385</v>
      </c>
      <c r="N3047">
        <v>-114848309</v>
      </c>
      <c r="O3047">
        <v>19640721</v>
      </c>
      <c r="P3047">
        <v>111</v>
      </c>
      <c r="Q3047" t="s">
        <v>6138</v>
      </c>
    </row>
    <row r="3048" spans="1:17" x14ac:dyDescent="0.3">
      <c r="A3048" t="s">
        <v>4446</v>
      </c>
      <c r="B3048" t="str">
        <f>"002322"</f>
        <v>002322</v>
      </c>
      <c r="C3048" t="s">
        <v>6139</v>
      </c>
      <c r="D3048" t="s">
        <v>212</v>
      </c>
      <c r="F3048">
        <v>298280276</v>
      </c>
      <c r="G3048">
        <v>313493610</v>
      </c>
      <c r="H3048">
        <v>230598729</v>
      </c>
      <c r="I3048">
        <v>140147999</v>
      </c>
      <c r="J3048">
        <v>134618126</v>
      </c>
      <c r="K3048">
        <v>-16971829</v>
      </c>
      <c r="L3048">
        <v>151583332</v>
      </c>
      <c r="M3048">
        <v>157673002</v>
      </c>
      <c r="N3048">
        <v>107560664</v>
      </c>
      <c r="O3048">
        <v>-12437539</v>
      </c>
      <c r="P3048">
        <v>180</v>
      </c>
      <c r="Q3048" t="s">
        <v>6140</v>
      </c>
    </row>
    <row r="3049" spans="1:17" x14ac:dyDescent="0.3">
      <c r="A3049" t="s">
        <v>4446</v>
      </c>
      <c r="B3049" t="str">
        <f>"002323"</f>
        <v>002323</v>
      </c>
      <c r="C3049" t="s">
        <v>6141</v>
      </c>
      <c r="D3049" t="s">
        <v>350</v>
      </c>
      <c r="F3049">
        <v>-106045287</v>
      </c>
      <c r="G3049">
        <v>-940294</v>
      </c>
      <c r="H3049">
        <v>4381027</v>
      </c>
      <c r="I3049">
        <v>222218604</v>
      </c>
      <c r="J3049">
        <v>-526942539</v>
      </c>
      <c r="K3049">
        <v>-224880922</v>
      </c>
      <c r="L3049">
        <v>-25759797</v>
      </c>
      <c r="M3049">
        <v>-3846678</v>
      </c>
      <c r="N3049">
        <v>-30831014</v>
      </c>
      <c r="O3049">
        <v>-36027523</v>
      </c>
      <c r="P3049">
        <v>78</v>
      </c>
      <c r="Q3049" t="s">
        <v>6142</v>
      </c>
    </row>
    <row r="3050" spans="1:17" x14ac:dyDescent="0.3">
      <c r="A3050" t="s">
        <v>4446</v>
      </c>
      <c r="B3050" t="str">
        <f>"002324"</f>
        <v>002324</v>
      </c>
      <c r="C3050" t="s">
        <v>6143</v>
      </c>
      <c r="D3050" t="s">
        <v>133</v>
      </c>
      <c r="F3050">
        <v>-210921120</v>
      </c>
      <c r="G3050">
        <v>302134218</v>
      </c>
      <c r="H3050">
        <v>304090702</v>
      </c>
      <c r="I3050">
        <v>131053775</v>
      </c>
      <c r="J3050">
        <v>-238939064</v>
      </c>
      <c r="K3050">
        <v>-21436020</v>
      </c>
      <c r="L3050">
        <v>190028540</v>
      </c>
      <c r="M3050">
        <v>166916316</v>
      </c>
      <c r="N3050">
        <v>-95385796</v>
      </c>
      <c r="O3050">
        <v>-207104292</v>
      </c>
      <c r="P3050">
        <v>212</v>
      </c>
      <c r="Q3050" t="s">
        <v>6144</v>
      </c>
    </row>
    <row r="3051" spans="1:17" x14ac:dyDescent="0.3">
      <c r="A3051" t="s">
        <v>4446</v>
      </c>
      <c r="B3051" t="str">
        <f>"002325"</f>
        <v>002325</v>
      </c>
      <c r="C3051" t="s">
        <v>6145</v>
      </c>
      <c r="D3051" t="s">
        <v>95</v>
      </c>
      <c r="F3051">
        <v>60295517</v>
      </c>
      <c r="G3051">
        <v>-340665412</v>
      </c>
      <c r="H3051">
        <v>-144656355</v>
      </c>
      <c r="I3051">
        <v>-101420136</v>
      </c>
      <c r="J3051">
        <v>-639934595</v>
      </c>
      <c r="K3051">
        <v>-1216450611</v>
      </c>
      <c r="L3051">
        <v>-237181804</v>
      </c>
      <c r="M3051">
        <v>82163221</v>
      </c>
      <c r="N3051">
        <v>-302164009</v>
      </c>
      <c r="O3051">
        <v>-247969458</v>
      </c>
      <c r="P3051">
        <v>171</v>
      </c>
      <c r="Q3051" t="s">
        <v>6146</v>
      </c>
    </row>
    <row r="3052" spans="1:17" x14ac:dyDescent="0.3">
      <c r="A3052" t="s">
        <v>4446</v>
      </c>
      <c r="B3052" t="str">
        <f>"002326"</f>
        <v>002326</v>
      </c>
      <c r="C3052" t="s">
        <v>6147</v>
      </c>
      <c r="D3052" t="s">
        <v>133</v>
      </c>
      <c r="F3052">
        <v>-187310422</v>
      </c>
      <c r="G3052">
        <v>-759983726</v>
      </c>
      <c r="H3052">
        <v>155805518</v>
      </c>
      <c r="I3052">
        <v>296170924</v>
      </c>
      <c r="J3052">
        <v>-578922700</v>
      </c>
      <c r="K3052">
        <v>-364653009</v>
      </c>
      <c r="L3052">
        <v>-215172501</v>
      </c>
      <c r="M3052">
        <v>17875826</v>
      </c>
      <c r="N3052">
        <v>-194048391</v>
      </c>
      <c r="O3052">
        <v>-65623785</v>
      </c>
      <c r="P3052">
        <v>299</v>
      </c>
      <c r="Q3052" t="s">
        <v>6148</v>
      </c>
    </row>
    <row r="3053" spans="1:17" x14ac:dyDescent="0.3">
      <c r="A3053" t="s">
        <v>4446</v>
      </c>
      <c r="B3053" t="str">
        <f>"002327"</f>
        <v>002327</v>
      </c>
      <c r="C3053" t="s">
        <v>6149</v>
      </c>
      <c r="D3053" t="s">
        <v>227</v>
      </c>
      <c r="F3053">
        <v>723291497</v>
      </c>
      <c r="G3053">
        <v>524584323</v>
      </c>
      <c r="H3053">
        <v>680252830</v>
      </c>
      <c r="I3053">
        <v>192104719</v>
      </c>
      <c r="J3053">
        <v>138778946</v>
      </c>
      <c r="K3053">
        <v>98666541</v>
      </c>
      <c r="L3053">
        <v>101679019</v>
      </c>
      <c r="M3053">
        <v>265179890</v>
      </c>
      <c r="N3053">
        <v>136317765</v>
      </c>
      <c r="O3053">
        <v>361501118</v>
      </c>
      <c r="P3053">
        <v>1305</v>
      </c>
      <c r="Q3053" t="s">
        <v>6150</v>
      </c>
    </row>
    <row r="3054" spans="1:17" x14ac:dyDescent="0.3">
      <c r="A3054" t="s">
        <v>4446</v>
      </c>
      <c r="B3054" t="str">
        <f>"002328"</f>
        <v>002328</v>
      </c>
      <c r="C3054" t="s">
        <v>6151</v>
      </c>
      <c r="D3054" t="s">
        <v>27</v>
      </c>
      <c r="F3054">
        <v>68296843</v>
      </c>
      <c r="G3054">
        <v>154338294</v>
      </c>
      <c r="H3054">
        <v>197538972</v>
      </c>
      <c r="I3054">
        <v>43395719</v>
      </c>
      <c r="J3054">
        <v>200417408</v>
      </c>
      <c r="K3054">
        <v>236688626</v>
      </c>
      <c r="L3054">
        <v>-28713230</v>
      </c>
      <c r="M3054">
        <v>262071030</v>
      </c>
      <c r="N3054">
        <v>-162152965</v>
      </c>
      <c r="O3054">
        <v>-446604318</v>
      </c>
      <c r="P3054">
        <v>110</v>
      </c>
      <c r="Q3054" t="s">
        <v>6152</v>
      </c>
    </row>
    <row r="3055" spans="1:17" x14ac:dyDescent="0.3">
      <c r="A3055" t="s">
        <v>4446</v>
      </c>
      <c r="B3055" t="str">
        <f>"002329"</f>
        <v>002329</v>
      </c>
      <c r="C3055" t="s">
        <v>6153</v>
      </c>
      <c r="D3055" t="s">
        <v>123</v>
      </c>
      <c r="F3055">
        <v>-308554142</v>
      </c>
      <c r="G3055">
        <v>-577787697</v>
      </c>
      <c r="H3055">
        <v>-35389555</v>
      </c>
      <c r="I3055">
        <v>-106544838</v>
      </c>
      <c r="J3055">
        <v>145523145</v>
      </c>
      <c r="K3055">
        <v>-231974864</v>
      </c>
      <c r="L3055">
        <v>30691080</v>
      </c>
      <c r="M3055">
        <v>53008039</v>
      </c>
      <c r="N3055">
        <v>24281774</v>
      </c>
      <c r="O3055">
        <v>-113299021</v>
      </c>
      <c r="P3055">
        <v>186</v>
      </c>
      <c r="Q3055" t="s">
        <v>6154</v>
      </c>
    </row>
    <row r="3056" spans="1:17" x14ac:dyDescent="0.3">
      <c r="A3056" t="s">
        <v>4446</v>
      </c>
      <c r="B3056" t="str">
        <f>"002330"</f>
        <v>002330</v>
      </c>
      <c r="C3056" t="s">
        <v>6155</v>
      </c>
      <c r="D3056" t="s">
        <v>123</v>
      </c>
      <c r="F3056">
        <v>-133732261</v>
      </c>
      <c r="G3056">
        <v>-44232380</v>
      </c>
      <c r="H3056">
        <v>-51798094</v>
      </c>
      <c r="I3056">
        <v>-95937787</v>
      </c>
      <c r="J3056">
        <v>27584521</v>
      </c>
      <c r="K3056">
        <v>53794715</v>
      </c>
      <c r="L3056">
        <v>25176056</v>
      </c>
      <c r="M3056">
        <v>-5168231</v>
      </c>
      <c r="N3056">
        <v>20134978</v>
      </c>
      <c r="O3056">
        <v>-67837162</v>
      </c>
      <c r="P3056">
        <v>540</v>
      </c>
      <c r="Q3056" t="s">
        <v>6156</v>
      </c>
    </row>
    <row r="3057" spans="1:17" x14ac:dyDescent="0.3">
      <c r="A3057" t="s">
        <v>4446</v>
      </c>
      <c r="B3057" t="str">
        <f>"002331"</f>
        <v>002331</v>
      </c>
      <c r="C3057" t="s">
        <v>6157</v>
      </c>
      <c r="D3057" t="s">
        <v>212</v>
      </c>
      <c r="F3057">
        <v>-86895222</v>
      </c>
      <c r="G3057">
        <v>67938307</v>
      </c>
      <c r="H3057">
        <v>76902520</v>
      </c>
      <c r="I3057">
        <v>-6342908</v>
      </c>
      <c r="J3057">
        <v>-51565389</v>
      </c>
      <c r="K3057">
        <v>-5482572</v>
      </c>
      <c r="L3057">
        <v>53853752</v>
      </c>
      <c r="M3057">
        <v>-35724296</v>
      </c>
      <c r="N3057">
        <v>17650692</v>
      </c>
      <c r="O3057">
        <v>749488</v>
      </c>
      <c r="P3057">
        <v>121</v>
      </c>
      <c r="Q3057" t="s">
        <v>6158</v>
      </c>
    </row>
    <row r="3058" spans="1:17" x14ac:dyDescent="0.3">
      <c r="A3058" t="s">
        <v>4446</v>
      </c>
      <c r="B3058" t="str">
        <f>"002332"</f>
        <v>002332</v>
      </c>
      <c r="C3058" t="s">
        <v>6159</v>
      </c>
      <c r="D3058" t="s">
        <v>113</v>
      </c>
      <c r="F3058">
        <v>447051833</v>
      </c>
      <c r="G3058">
        <v>672466843</v>
      </c>
      <c r="H3058">
        <v>265023647</v>
      </c>
      <c r="I3058">
        <v>25494059</v>
      </c>
      <c r="J3058">
        <v>58268414</v>
      </c>
      <c r="K3058">
        <v>59363449</v>
      </c>
      <c r="L3058">
        <v>84573437</v>
      </c>
      <c r="M3058">
        <v>33851882</v>
      </c>
      <c r="N3058">
        <v>-124618502</v>
      </c>
      <c r="O3058">
        <v>-258840333</v>
      </c>
      <c r="P3058">
        <v>388</v>
      </c>
      <c r="Q3058" t="s">
        <v>6160</v>
      </c>
    </row>
    <row r="3059" spans="1:17" x14ac:dyDescent="0.3">
      <c r="A3059" t="s">
        <v>4446</v>
      </c>
      <c r="B3059" t="str">
        <f>"002333"</f>
        <v>002333</v>
      </c>
      <c r="C3059" t="s">
        <v>6161</v>
      </c>
      <c r="D3059" t="s">
        <v>350</v>
      </c>
      <c r="F3059">
        <v>-448898369</v>
      </c>
      <c r="G3059">
        <v>-148236665</v>
      </c>
      <c r="H3059">
        <v>65864903</v>
      </c>
      <c r="I3059">
        <v>-49959254</v>
      </c>
      <c r="J3059">
        <v>-150615605</v>
      </c>
      <c r="K3059">
        <v>-157827535</v>
      </c>
      <c r="L3059">
        <v>-278878053</v>
      </c>
      <c r="M3059">
        <v>-72869396</v>
      </c>
      <c r="N3059">
        <v>-101717399</v>
      </c>
      <c r="O3059">
        <v>-178691777</v>
      </c>
      <c r="P3059">
        <v>59</v>
      </c>
      <c r="Q3059" t="s">
        <v>6162</v>
      </c>
    </row>
    <row r="3060" spans="1:17" x14ac:dyDescent="0.3">
      <c r="A3060" t="s">
        <v>4446</v>
      </c>
      <c r="B3060" t="str">
        <f>"002334"</f>
        <v>002334</v>
      </c>
      <c r="C3060" t="s">
        <v>6163</v>
      </c>
      <c r="D3060" t="s">
        <v>78</v>
      </c>
      <c r="F3060">
        <v>-11745987</v>
      </c>
      <c r="G3060">
        <v>231459086</v>
      </c>
      <c r="H3060">
        <v>314474917</v>
      </c>
      <c r="I3060">
        <v>-236486682</v>
      </c>
      <c r="J3060">
        <v>-198025657</v>
      </c>
      <c r="K3060">
        <v>-108453705</v>
      </c>
      <c r="L3060">
        <v>-28685955</v>
      </c>
      <c r="M3060">
        <v>36093361</v>
      </c>
      <c r="N3060">
        <v>154307019</v>
      </c>
      <c r="O3060">
        <v>26493678</v>
      </c>
      <c r="P3060">
        <v>222</v>
      </c>
      <c r="Q3060" t="s">
        <v>6164</v>
      </c>
    </row>
    <row r="3061" spans="1:17" x14ac:dyDescent="0.3">
      <c r="A3061" t="s">
        <v>4446</v>
      </c>
      <c r="B3061" t="str">
        <f>"002335"</f>
        <v>002335</v>
      </c>
      <c r="C3061" t="s">
        <v>6165</v>
      </c>
      <c r="D3061" t="s">
        <v>188</v>
      </c>
      <c r="F3061">
        <v>252450281</v>
      </c>
      <c r="G3061">
        <v>-11881986</v>
      </c>
      <c r="H3061">
        <v>49965747</v>
      </c>
      <c r="I3061">
        <v>-327728214</v>
      </c>
      <c r="J3061">
        <v>-414411689</v>
      </c>
      <c r="K3061">
        <v>-554681480</v>
      </c>
      <c r="L3061">
        <v>-396626950</v>
      </c>
      <c r="M3061">
        <v>-100875931</v>
      </c>
      <c r="N3061">
        <v>-78626480</v>
      </c>
      <c r="O3061">
        <v>70686388</v>
      </c>
      <c r="P3061">
        <v>431</v>
      </c>
      <c r="Q3061" t="s">
        <v>6166</v>
      </c>
    </row>
    <row r="3062" spans="1:17" x14ac:dyDescent="0.3">
      <c r="A3062" t="s">
        <v>4446</v>
      </c>
      <c r="B3062" t="str">
        <f>"002336"</f>
        <v>002336</v>
      </c>
      <c r="C3062" t="s">
        <v>6167</v>
      </c>
      <c r="D3062" t="s">
        <v>120</v>
      </c>
      <c r="F3062">
        <v>80578486</v>
      </c>
      <c r="G3062">
        <v>-62045871</v>
      </c>
      <c r="H3062">
        <v>-250862411</v>
      </c>
      <c r="I3062">
        <v>-451373657</v>
      </c>
      <c r="J3062">
        <v>-76377989</v>
      </c>
      <c r="K3062">
        <v>131009880</v>
      </c>
      <c r="L3062">
        <v>-443806026</v>
      </c>
      <c r="M3062">
        <v>-641021089</v>
      </c>
      <c r="N3062">
        <v>178417121</v>
      </c>
      <c r="O3062">
        <v>34235752</v>
      </c>
      <c r="P3062">
        <v>69</v>
      </c>
      <c r="Q3062" t="s">
        <v>6168</v>
      </c>
    </row>
    <row r="3063" spans="1:17" x14ac:dyDescent="0.3">
      <c r="A3063" t="s">
        <v>4446</v>
      </c>
      <c r="B3063" t="str">
        <f>"002337"</f>
        <v>002337</v>
      </c>
      <c r="C3063" t="s">
        <v>6169</v>
      </c>
      <c r="D3063" t="s">
        <v>78</v>
      </c>
      <c r="F3063">
        <v>-56645730</v>
      </c>
      <c r="G3063">
        <v>-23413493</v>
      </c>
      <c r="H3063">
        <v>82417550</v>
      </c>
      <c r="I3063">
        <v>21622314</v>
      </c>
      <c r="J3063">
        <v>107593050</v>
      </c>
      <c r="K3063">
        <v>33974124</v>
      </c>
      <c r="L3063">
        <v>-230444156</v>
      </c>
      <c r="M3063">
        <v>-65258935</v>
      </c>
      <c r="N3063">
        <v>162740204</v>
      </c>
      <c r="O3063">
        <v>8221462</v>
      </c>
      <c r="P3063">
        <v>92</v>
      </c>
      <c r="Q3063" t="s">
        <v>6170</v>
      </c>
    </row>
    <row r="3064" spans="1:17" x14ac:dyDescent="0.3">
      <c r="A3064" t="s">
        <v>4446</v>
      </c>
      <c r="B3064" t="str">
        <f>"002338"</f>
        <v>002338</v>
      </c>
      <c r="C3064" t="s">
        <v>6171</v>
      </c>
      <c r="D3064" t="s">
        <v>92</v>
      </c>
      <c r="F3064">
        <v>19783223</v>
      </c>
      <c r="G3064">
        <v>38885207</v>
      </c>
      <c r="H3064">
        <v>57851586</v>
      </c>
      <c r="I3064">
        <v>-8613038</v>
      </c>
      <c r="J3064">
        <v>-24826284</v>
      </c>
      <c r="K3064">
        <v>-26122408</v>
      </c>
      <c r="L3064">
        <v>43698871</v>
      </c>
      <c r="M3064">
        <v>-10738848</v>
      </c>
      <c r="N3064">
        <v>9765279</v>
      </c>
      <c r="O3064">
        <v>-64730190</v>
      </c>
      <c r="P3064">
        <v>147</v>
      </c>
      <c r="Q3064" t="s">
        <v>6172</v>
      </c>
    </row>
    <row r="3065" spans="1:17" x14ac:dyDescent="0.3">
      <c r="A3065" t="s">
        <v>4446</v>
      </c>
      <c r="B3065" t="str">
        <f>"002339"</f>
        <v>002339</v>
      </c>
      <c r="C3065" t="s">
        <v>6173</v>
      </c>
      <c r="D3065" t="s">
        <v>188</v>
      </c>
      <c r="F3065">
        <v>-33492085</v>
      </c>
      <c r="G3065">
        <v>250067848</v>
      </c>
      <c r="H3065">
        <v>244087002</v>
      </c>
      <c r="I3065">
        <v>219667001</v>
      </c>
      <c r="J3065">
        <v>-272656</v>
      </c>
      <c r="K3065">
        <v>-204209451</v>
      </c>
      <c r="L3065">
        <v>-95603410</v>
      </c>
      <c r="M3065">
        <v>-19440154</v>
      </c>
      <c r="N3065">
        <v>-74695653</v>
      </c>
      <c r="O3065">
        <v>-56499323</v>
      </c>
      <c r="P3065">
        <v>120</v>
      </c>
      <c r="Q3065" t="s">
        <v>6174</v>
      </c>
    </row>
    <row r="3066" spans="1:17" x14ac:dyDescent="0.3">
      <c r="A3066" t="s">
        <v>4446</v>
      </c>
      <c r="B3066" t="str">
        <f>"002340"</f>
        <v>002340</v>
      </c>
      <c r="C3066" t="s">
        <v>6175</v>
      </c>
      <c r="D3066" t="s">
        <v>188</v>
      </c>
      <c r="F3066">
        <v>-2427545777</v>
      </c>
      <c r="G3066">
        <v>-571104405</v>
      </c>
      <c r="H3066">
        <v>-616280505</v>
      </c>
      <c r="I3066">
        <v>-675809053</v>
      </c>
      <c r="J3066">
        <v>-1447719917</v>
      </c>
      <c r="K3066">
        <v>-1304381489</v>
      </c>
      <c r="L3066">
        <v>-1796825093</v>
      </c>
      <c r="M3066">
        <v>-1630652665</v>
      </c>
      <c r="N3066">
        <v>-926667486</v>
      </c>
      <c r="O3066">
        <v>-1109439202</v>
      </c>
      <c r="P3066">
        <v>1303</v>
      </c>
      <c r="Q3066" t="s">
        <v>6176</v>
      </c>
    </row>
    <row r="3067" spans="1:17" x14ac:dyDescent="0.3">
      <c r="A3067" t="s">
        <v>4446</v>
      </c>
      <c r="B3067" t="str">
        <f>"002341"</f>
        <v>002341</v>
      </c>
      <c r="C3067" t="s">
        <v>6177</v>
      </c>
      <c r="D3067" t="s">
        <v>133</v>
      </c>
      <c r="F3067">
        <v>78626194</v>
      </c>
      <c r="G3067">
        <v>240629420</v>
      </c>
      <c r="H3067">
        <v>-965892484</v>
      </c>
      <c r="I3067">
        <v>-601748046</v>
      </c>
      <c r="J3067">
        <v>-441931830</v>
      </c>
      <c r="K3067">
        <v>-180363961</v>
      </c>
      <c r="L3067">
        <v>-218194939</v>
      </c>
      <c r="M3067">
        <v>-429130731</v>
      </c>
      <c r="N3067">
        <v>-349728367</v>
      </c>
      <c r="O3067">
        <v>-259294918</v>
      </c>
      <c r="P3067">
        <v>276</v>
      </c>
      <c r="Q3067" t="s">
        <v>6178</v>
      </c>
    </row>
    <row r="3068" spans="1:17" x14ac:dyDescent="0.3">
      <c r="A3068" t="s">
        <v>4446</v>
      </c>
      <c r="B3068" t="str">
        <f>"002342"</f>
        <v>002342</v>
      </c>
      <c r="C3068" t="s">
        <v>6179</v>
      </c>
      <c r="D3068" t="s">
        <v>78</v>
      </c>
      <c r="F3068">
        <v>51298204</v>
      </c>
      <c r="G3068">
        <v>80666517</v>
      </c>
      <c r="H3068">
        <v>187147910</v>
      </c>
      <c r="I3068">
        <v>27360634</v>
      </c>
      <c r="J3068">
        <v>228368514</v>
      </c>
      <c r="K3068">
        <v>29457904</v>
      </c>
      <c r="L3068">
        <v>111718037</v>
      </c>
      <c r="M3068">
        <v>171261898</v>
      </c>
      <c r="N3068">
        <v>2576924</v>
      </c>
      <c r="O3068">
        <v>-67017195</v>
      </c>
      <c r="P3068">
        <v>112</v>
      </c>
      <c r="Q3068" t="s">
        <v>6180</v>
      </c>
    </row>
    <row r="3069" spans="1:17" x14ac:dyDescent="0.3">
      <c r="A3069" t="s">
        <v>4446</v>
      </c>
      <c r="B3069" t="str">
        <f>"002343"</f>
        <v>002343</v>
      </c>
      <c r="C3069" t="s">
        <v>6181</v>
      </c>
      <c r="D3069" t="s">
        <v>89</v>
      </c>
      <c r="F3069">
        <v>90714140</v>
      </c>
      <c r="G3069">
        <v>-26232871</v>
      </c>
      <c r="H3069">
        <v>222985677</v>
      </c>
      <c r="I3069">
        <v>-106322896</v>
      </c>
      <c r="J3069">
        <v>157097258</v>
      </c>
      <c r="K3069">
        <v>92474973</v>
      </c>
      <c r="L3069">
        <v>-97200663</v>
      </c>
      <c r="M3069">
        <v>80585019</v>
      </c>
      <c r="N3069">
        <v>-3387181</v>
      </c>
      <c r="O3069">
        <v>10936928</v>
      </c>
      <c r="P3069">
        <v>183</v>
      </c>
      <c r="Q3069" t="s">
        <v>6182</v>
      </c>
    </row>
    <row r="3070" spans="1:17" x14ac:dyDescent="0.3">
      <c r="A3070" t="s">
        <v>4446</v>
      </c>
      <c r="B3070" t="str">
        <f>"002344"</f>
        <v>002344</v>
      </c>
      <c r="C3070" t="s">
        <v>6183</v>
      </c>
      <c r="D3070" t="s">
        <v>120</v>
      </c>
      <c r="F3070">
        <v>338564587</v>
      </c>
      <c r="G3070">
        <v>253735873</v>
      </c>
      <c r="H3070">
        <v>452981888</v>
      </c>
      <c r="I3070">
        <v>-145364402</v>
      </c>
      <c r="J3070">
        <v>-135090224</v>
      </c>
      <c r="K3070">
        <v>-643086895</v>
      </c>
      <c r="L3070">
        <v>-1379301574</v>
      </c>
      <c r="M3070">
        <v>-708759737</v>
      </c>
      <c r="N3070">
        <v>389098620</v>
      </c>
      <c r="O3070">
        <v>144270994</v>
      </c>
      <c r="P3070">
        <v>145</v>
      </c>
      <c r="Q3070" t="s">
        <v>6184</v>
      </c>
    </row>
    <row r="3071" spans="1:17" x14ac:dyDescent="0.3">
      <c r="A3071" t="s">
        <v>4446</v>
      </c>
      <c r="B3071" t="str">
        <f>"002345"</f>
        <v>002345</v>
      </c>
      <c r="C3071" t="s">
        <v>6185</v>
      </c>
      <c r="D3071" t="s">
        <v>227</v>
      </c>
      <c r="F3071">
        <v>45039662</v>
      </c>
      <c r="G3071">
        <v>308938975</v>
      </c>
      <c r="H3071">
        <v>32431952</v>
      </c>
      <c r="I3071">
        <v>125884028</v>
      </c>
      <c r="J3071">
        <v>202575550</v>
      </c>
      <c r="K3071">
        <v>175666991</v>
      </c>
      <c r="L3071">
        <v>320557577</v>
      </c>
      <c r="M3071">
        <v>183456704</v>
      </c>
      <c r="N3071">
        <v>236771050</v>
      </c>
      <c r="O3071">
        <v>-9678394</v>
      </c>
      <c r="P3071">
        <v>137</v>
      </c>
      <c r="Q3071" t="s">
        <v>6186</v>
      </c>
    </row>
    <row r="3072" spans="1:17" x14ac:dyDescent="0.3">
      <c r="A3072" t="s">
        <v>4446</v>
      </c>
      <c r="B3072" t="str">
        <f>"002346"</f>
        <v>002346</v>
      </c>
      <c r="C3072" t="s">
        <v>6187</v>
      </c>
      <c r="D3072" t="s">
        <v>188</v>
      </c>
      <c r="F3072">
        <v>-763514584</v>
      </c>
      <c r="G3072">
        <v>3554548</v>
      </c>
      <c r="H3072">
        <v>22973804</v>
      </c>
      <c r="I3072">
        <v>123882073</v>
      </c>
      <c r="J3072">
        <v>264672415</v>
      </c>
      <c r="K3072">
        <v>-231176541</v>
      </c>
      <c r="L3072">
        <v>-94139247</v>
      </c>
      <c r="M3072">
        <v>143247545</v>
      </c>
      <c r="N3072">
        <v>71325683</v>
      </c>
      <c r="O3072">
        <v>-127561123</v>
      </c>
      <c r="P3072">
        <v>105</v>
      </c>
      <c r="Q3072" t="s">
        <v>6188</v>
      </c>
    </row>
    <row r="3073" spans="1:17" x14ac:dyDescent="0.3">
      <c r="A3073" t="s">
        <v>4446</v>
      </c>
      <c r="B3073" t="str">
        <f>"002347"</f>
        <v>002347</v>
      </c>
      <c r="C3073" t="s">
        <v>6189</v>
      </c>
      <c r="D3073" t="s">
        <v>78</v>
      </c>
      <c r="F3073">
        <v>44316568</v>
      </c>
      <c r="G3073">
        <v>55556601</v>
      </c>
      <c r="H3073">
        <v>78686945</v>
      </c>
      <c r="I3073">
        <v>-61499596</v>
      </c>
      <c r="J3073">
        <v>-56572974</v>
      </c>
      <c r="K3073">
        <v>-5463327</v>
      </c>
      <c r="L3073">
        <v>-13120201</v>
      </c>
      <c r="M3073">
        <v>-7745394</v>
      </c>
      <c r="N3073">
        <v>-81223913</v>
      </c>
      <c r="O3073">
        <v>-171807931</v>
      </c>
      <c r="P3073">
        <v>75</v>
      </c>
      <c r="Q3073" t="s">
        <v>6190</v>
      </c>
    </row>
    <row r="3074" spans="1:17" x14ac:dyDescent="0.3">
      <c r="A3074" t="s">
        <v>4446</v>
      </c>
      <c r="B3074" t="str">
        <f>"002348"</f>
        <v>002348</v>
      </c>
      <c r="C3074" t="s">
        <v>6191</v>
      </c>
      <c r="D3074" t="s">
        <v>161</v>
      </c>
      <c r="F3074">
        <v>22885779</v>
      </c>
      <c r="G3074">
        <v>22601738</v>
      </c>
      <c r="H3074">
        <v>-35538807</v>
      </c>
      <c r="I3074">
        <v>-44693266</v>
      </c>
      <c r="J3074">
        <v>-95609177</v>
      </c>
      <c r="K3074">
        <v>5900263</v>
      </c>
      <c r="L3074">
        <v>15099278</v>
      </c>
      <c r="M3074">
        <v>-88596663</v>
      </c>
      <c r="N3074">
        <v>28390717</v>
      </c>
      <c r="O3074">
        <v>-29642868</v>
      </c>
      <c r="P3074">
        <v>112</v>
      </c>
      <c r="Q3074" t="s">
        <v>6192</v>
      </c>
    </row>
    <row r="3075" spans="1:17" x14ac:dyDescent="0.3">
      <c r="A3075" t="s">
        <v>4446</v>
      </c>
      <c r="B3075" t="str">
        <f>"002349"</f>
        <v>002349</v>
      </c>
      <c r="C3075" t="s">
        <v>6193</v>
      </c>
      <c r="D3075" t="s">
        <v>113</v>
      </c>
      <c r="F3075">
        <v>227630665</v>
      </c>
      <c r="G3075">
        <v>232635870</v>
      </c>
      <c r="H3075">
        <v>35711584</v>
      </c>
      <c r="I3075">
        <v>-71982862</v>
      </c>
      <c r="J3075">
        <v>-365042471</v>
      </c>
      <c r="K3075">
        <v>99173515</v>
      </c>
      <c r="L3075">
        <v>-134571848</v>
      </c>
      <c r="M3075">
        <v>16896776</v>
      </c>
      <c r="N3075">
        <v>-109269645</v>
      </c>
      <c r="O3075">
        <v>-112956407</v>
      </c>
      <c r="P3075">
        <v>194</v>
      </c>
      <c r="Q3075" t="s">
        <v>6194</v>
      </c>
    </row>
    <row r="3076" spans="1:17" x14ac:dyDescent="0.3">
      <c r="A3076" t="s">
        <v>4446</v>
      </c>
      <c r="B3076" t="str">
        <f>"002350"</f>
        <v>002350</v>
      </c>
      <c r="C3076" t="s">
        <v>6195</v>
      </c>
      <c r="D3076" t="s">
        <v>188</v>
      </c>
      <c r="F3076">
        <v>97332216</v>
      </c>
      <c r="G3076">
        <v>76865993</v>
      </c>
      <c r="H3076">
        <v>110093444</v>
      </c>
      <c r="I3076">
        <v>-124286402</v>
      </c>
      <c r="J3076">
        <v>-28948902</v>
      </c>
      <c r="K3076">
        <v>22494060</v>
      </c>
      <c r="L3076">
        <v>-50337286</v>
      </c>
      <c r="M3076">
        <v>-62367885</v>
      </c>
      <c r="N3076">
        <v>8611549</v>
      </c>
      <c r="O3076">
        <v>16039435</v>
      </c>
      <c r="P3076">
        <v>104</v>
      </c>
      <c r="Q3076" t="s">
        <v>6196</v>
      </c>
    </row>
    <row r="3077" spans="1:17" x14ac:dyDescent="0.3">
      <c r="A3077" t="s">
        <v>4446</v>
      </c>
      <c r="B3077" t="str">
        <f>"002351"</f>
        <v>002351</v>
      </c>
      <c r="C3077" t="s">
        <v>6197</v>
      </c>
      <c r="D3077" t="s">
        <v>150</v>
      </c>
      <c r="F3077">
        <v>285350611</v>
      </c>
      <c r="G3077">
        <v>224418647</v>
      </c>
      <c r="H3077">
        <v>-10288468</v>
      </c>
      <c r="I3077">
        <v>10037162</v>
      </c>
      <c r="J3077">
        <v>-83080666</v>
      </c>
      <c r="K3077">
        <v>-122380746</v>
      </c>
      <c r="L3077">
        <v>-32525816</v>
      </c>
      <c r="M3077">
        <v>29976296</v>
      </c>
      <c r="N3077">
        <v>554784276</v>
      </c>
      <c r="O3077">
        <v>260428217</v>
      </c>
      <c r="P3077">
        <v>339</v>
      </c>
      <c r="Q3077" t="s">
        <v>6198</v>
      </c>
    </row>
    <row r="3078" spans="1:17" x14ac:dyDescent="0.3">
      <c r="A3078" t="s">
        <v>4446</v>
      </c>
      <c r="B3078" t="str">
        <f>"002352"</f>
        <v>002352</v>
      </c>
      <c r="C3078" t="s">
        <v>6199</v>
      </c>
      <c r="D3078" t="s">
        <v>22</v>
      </c>
      <c r="F3078">
        <v>-3690557000</v>
      </c>
      <c r="G3078">
        <v>-878631098</v>
      </c>
      <c r="H3078">
        <v>2748938831</v>
      </c>
      <c r="I3078">
        <v>-6188865199</v>
      </c>
      <c r="J3078">
        <v>469887253</v>
      </c>
      <c r="K3078">
        <v>844370430</v>
      </c>
      <c r="L3078">
        <v>119063786</v>
      </c>
      <c r="M3078">
        <v>126666951</v>
      </c>
      <c r="N3078">
        <v>-135796651</v>
      </c>
      <c r="O3078">
        <v>2001513</v>
      </c>
      <c r="P3078">
        <v>3730</v>
      </c>
      <c r="Q3078" t="s">
        <v>6200</v>
      </c>
    </row>
    <row r="3079" spans="1:17" x14ac:dyDescent="0.3">
      <c r="A3079" t="s">
        <v>4446</v>
      </c>
      <c r="B3079" t="str">
        <f>"002353"</f>
        <v>002353</v>
      </c>
      <c r="C3079" t="s">
        <v>6201</v>
      </c>
      <c r="D3079" t="s">
        <v>78</v>
      </c>
      <c r="F3079">
        <v>447725729</v>
      </c>
      <c r="G3079">
        <v>-231738270</v>
      </c>
      <c r="H3079">
        <v>-278624887</v>
      </c>
      <c r="I3079">
        <v>-154730735</v>
      </c>
      <c r="J3079">
        <v>325280434</v>
      </c>
      <c r="K3079">
        <v>251490792</v>
      </c>
      <c r="L3079">
        <v>-390472268</v>
      </c>
      <c r="M3079">
        <v>-152018477</v>
      </c>
      <c r="N3079">
        <v>82681762</v>
      </c>
      <c r="O3079">
        <v>-321409569</v>
      </c>
      <c r="P3079">
        <v>861</v>
      </c>
      <c r="Q3079" t="s">
        <v>6202</v>
      </c>
    </row>
    <row r="3080" spans="1:17" x14ac:dyDescent="0.3">
      <c r="A3080" t="s">
        <v>4446</v>
      </c>
      <c r="B3080" t="str">
        <f>"002354"</f>
        <v>002354</v>
      </c>
      <c r="C3080" t="s">
        <v>6203</v>
      </c>
      <c r="D3080" t="s">
        <v>89</v>
      </c>
      <c r="F3080">
        <v>-71250379</v>
      </c>
      <c r="G3080">
        <v>87299650</v>
      </c>
      <c r="H3080">
        <v>422224767</v>
      </c>
      <c r="I3080">
        <v>129089770</v>
      </c>
      <c r="J3080">
        <v>875070404</v>
      </c>
      <c r="K3080">
        <v>491735324</v>
      </c>
      <c r="L3080">
        <v>300936089</v>
      </c>
      <c r="M3080">
        <v>123741883</v>
      </c>
      <c r="N3080">
        <v>-38925080</v>
      </c>
      <c r="O3080">
        <v>-28119156</v>
      </c>
      <c r="P3080">
        <v>265</v>
      </c>
      <c r="Q3080" t="s">
        <v>6204</v>
      </c>
    </row>
    <row r="3081" spans="1:17" x14ac:dyDescent="0.3">
      <c r="A3081" t="s">
        <v>4446</v>
      </c>
      <c r="B3081" t="str">
        <f>"002355"</f>
        <v>002355</v>
      </c>
      <c r="C3081" t="s">
        <v>6205</v>
      </c>
      <c r="D3081" t="s">
        <v>27</v>
      </c>
      <c r="F3081">
        <v>91429218</v>
      </c>
      <c r="G3081">
        <v>44819426</v>
      </c>
      <c r="H3081">
        <v>-15870641</v>
      </c>
      <c r="I3081">
        <v>-204166138</v>
      </c>
      <c r="J3081">
        <v>-89782964</v>
      </c>
      <c r="K3081">
        <v>90969433</v>
      </c>
      <c r="L3081">
        <v>14189395</v>
      </c>
      <c r="M3081">
        <v>-79867923</v>
      </c>
      <c r="N3081">
        <v>-187420313</v>
      </c>
      <c r="O3081">
        <v>-97726416</v>
      </c>
      <c r="P3081">
        <v>120</v>
      </c>
      <c r="Q3081" t="s">
        <v>6206</v>
      </c>
    </row>
    <row r="3082" spans="1:17" x14ac:dyDescent="0.3">
      <c r="A3082" t="s">
        <v>4446</v>
      </c>
      <c r="B3082" t="str">
        <f>"002356"</f>
        <v>002356</v>
      </c>
      <c r="C3082" t="s">
        <v>6207</v>
      </c>
      <c r="D3082" t="s">
        <v>120</v>
      </c>
      <c r="F3082">
        <v>-22179254</v>
      </c>
      <c r="G3082">
        <v>48592855</v>
      </c>
      <c r="H3082">
        <v>44253413</v>
      </c>
      <c r="I3082">
        <v>-398202578</v>
      </c>
      <c r="J3082">
        <v>-319746142</v>
      </c>
      <c r="K3082">
        <v>-9442642</v>
      </c>
      <c r="L3082">
        <v>-264004685</v>
      </c>
      <c r="M3082">
        <v>-170097750</v>
      </c>
      <c r="N3082">
        <v>-151080572</v>
      </c>
      <c r="O3082">
        <v>-75877657</v>
      </c>
      <c r="P3082">
        <v>75</v>
      </c>
      <c r="Q3082" t="s">
        <v>6208</v>
      </c>
    </row>
    <row r="3083" spans="1:17" x14ac:dyDescent="0.3">
      <c r="A3083" t="s">
        <v>4446</v>
      </c>
      <c r="B3083" t="str">
        <f>"002357"</f>
        <v>002357</v>
      </c>
      <c r="C3083" t="s">
        <v>6209</v>
      </c>
      <c r="D3083" t="s">
        <v>22</v>
      </c>
      <c r="F3083">
        <v>-47782164</v>
      </c>
      <c r="G3083">
        <v>14659365</v>
      </c>
      <c r="H3083">
        <v>145143642</v>
      </c>
      <c r="I3083">
        <v>107909256</v>
      </c>
      <c r="J3083">
        <v>159432164</v>
      </c>
      <c r="K3083">
        <v>70874555</v>
      </c>
      <c r="L3083">
        <v>88645377</v>
      </c>
      <c r="M3083">
        <v>77876460</v>
      </c>
      <c r="N3083">
        <v>112847389</v>
      </c>
      <c r="O3083">
        <v>62202852</v>
      </c>
      <c r="P3083">
        <v>102</v>
      </c>
      <c r="Q3083" t="s">
        <v>6210</v>
      </c>
    </row>
    <row r="3084" spans="1:17" x14ac:dyDescent="0.3">
      <c r="A3084" t="s">
        <v>4446</v>
      </c>
      <c r="B3084" t="str">
        <f>"002358"</f>
        <v>002358</v>
      </c>
      <c r="C3084" t="s">
        <v>6211</v>
      </c>
      <c r="D3084" t="s">
        <v>188</v>
      </c>
      <c r="F3084">
        <v>686128741</v>
      </c>
      <c r="G3084">
        <v>-561521711</v>
      </c>
      <c r="H3084">
        <v>914377493</v>
      </c>
      <c r="I3084">
        <v>-1881089906</v>
      </c>
      <c r="J3084">
        <v>-733130840</v>
      </c>
      <c r="K3084">
        <v>110618846</v>
      </c>
      <c r="L3084">
        <v>-194796626</v>
      </c>
      <c r="M3084">
        <v>-727462634</v>
      </c>
      <c r="N3084">
        <v>-21043279</v>
      </c>
      <c r="O3084">
        <v>-335377592</v>
      </c>
      <c r="P3084">
        <v>142</v>
      </c>
      <c r="Q3084" t="s">
        <v>6212</v>
      </c>
    </row>
    <row r="3085" spans="1:17" x14ac:dyDescent="0.3">
      <c r="A3085" t="s">
        <v>4446</v>
      </c>
      <c r="B3085" t="str">
        <f>"002359"</f>
        <v>002359</v>
      </c>
      <c r="C3085" t="s">
        <v>6213</v>
      </c>
      <c r="G3085">
        <v>23310684</v>
      </c>
      <c r="H3085">
        <v>-237419423</v>
      </c>
      <c r="I3085">
        <v>-2896718352</v>
      </c>
      <c r="J3085">
        <v>-3425114357</v>
      </c>
      <c r="K3085">
        <v>-6972267</v>
      </c>
      <c r="L3085">
        <v>-37543325</v>
      </c>
      <c r="M3085">
        <v>-6015072</v>
      </c>
      <c r="N3085">
        <v>-213766548</v>
      </c>
      <c r="O3085">
        <v>-115560475</v>
      </c>
      <c r="P3085">
        <v>68</v>
      </c>
      <c r="Q3085" t="s">
        <v>6214</v>
      </c>
    </row>
    <row r="3086" spans="1:17" x14ac:dyDescent="0.3">
      <c r="A3086" t="s">
        <v>4446</v>
      </c>
      <c r="B3086" t="str">
        <f>"002360"</f>
        <v>002360</v>
      </c>
      <c r="C3086" t="s">
        <v>6215</v>
      </c>
      <c r="D3086" t="s">
        <v>133</v>
      </c>
      <c r="F3086">
        <v>-379843060</v>
      </c>
      <c r="G3086">
        <v>174928039</v>
      </c>
      <c r="H3086">
        <v>119533817</v>
      </c>
      <c r="I3086">
        <v>158166526</v>
      </c>
      <c r="J3086">
        <v>86797837</v>
      </c>
      <c r="K3086">
        <v>116010289</v>
      </c>
      <c r="L3086">
        <v>60406184</v>
      </c>
      <c r="M3086">
        <v>126942870</v>
      </c>
      <c r="N3086">
        <v>139610741</v>
      </c>
      <c r="O3086">
        <v>-18269977</v>
      </c>
      <c r="P3086">
        <v>111</v>
      </c>
      <c r="Q3086" t="s">
        <v>6216</v>
      </c>
    </row>
    <row r="3087" spans="1:17" x14ac:dyDescent="0.3">
      <c r="A3087" t="s">
        <v>4446</v>
      </c>
      <c r="B3087" t="str">
        <f>"002361"</f>
        <v>002361</v>
      </c>
      <c r="C3087" t="s">
        <v>6217</v>
      </c>
      <c r="D3087" t="s">
        <v>133</v>
      </c>
      <c r="F3087">
        <v>-260315469</v>
      </c>
      <c r="G3087">
        <v>-46860399</v>
      </c>
      <c r="H3087">
        <v>-8039714</v>
      </c>
      <c r="I3087">
        <v>-56419239</v>
      </c>
      <c r="J3087">
        <v>-274258371</v>
      </c>
      <c r="K3087">
        <v>163474900</v>
      </c>
      <c r="L3087">
        <v>183745582</v>
      </c>
      <c r="M3087">
        <v>97714120</v>
      </c>
      <c r="N3087">
        <v>-128776541</v>
      </c>
      <c r="O3087">
        <v>-21409259</v>
      </c>
      <c r="P3087">
        <v>89</v>
      </c>
      <c r="Q3087" t="s">
        <v>6218</v>
      </c>
    </row>
    <row r="3088" spans="1:17" x14ac:dyDescent="0.3">
      <c r="A3088" t="s">
        <v>4446</v>
      </c>
      <c r="B3088" t="str">
        <f>"002362"</f>
        <v>002362</v>
      </c>
      <c r="C3088" t="s">
        <v>6219</v>
      </c>
      <c r="D3088" t="s">
        <v>212</v>
      </c>
      <c r="F3088">
        <v>-143523812</v>
      </c>
      <c r="G3088">
        <v>-25919902</v>
      </c>
      <c r="H3088">
        <v>68322291</v>
      </c>
      <c r="I3088">
        <v>-37531812</v>
      </c>
      <c r="J3088">
        <v>34931271</v>
      </c>
      <c r="K3088">
        <v>40070082</v>
      </c>
      <c r="L3088">
        <v>17977913</v>
      </c>
      <c r="M3088">
        <v>37402651</v>
      </c>
      <c r="N3088">
        <v>-9174512</v>
      </c>
      <c r="O3088">
        <v>-122664263</v>
      </c>
      <c r="P3088">
        <v>197</v>
      </c>
      <c r="Q3088" t="s">
        <v>6220</v>
      </c>
    </row>
    <row r="3089" spans="1:17" x14ac:dyDescent="0.3">
      <c r="A3089" t="s">
        <v>4446</v>
      </c>
      <c r="B3089" t="str">
        <f>"002363"</f>
        <v>002363</v>
      </c>
      <c r="C3089" t="s">
        <v>6221</v>
      </c>
      <c r="D3089" t="s">
        <v>27</v>
      </c>
      <c r="F3089">
        <v>139432603</v>
      </c>
      <c r="G3089">
        <v>-74644481</v>
      </c>
      <c r="H3089">
        <v>-11573505</v>
      </c>
      <c r="I3089">
        <v>37797290</v>
      </c>
      <c r="J3089">
        <v>135260747</v>
      </c>
      <c r="K3089">
        <v>-19138024</v>
      </c>
      <c r="L3089">
        <v>214132135</v>
      </c>
      <c r="M3089">
        <v>45619653</v>
      </c>
      <c r="N3089">
        <v>2516922</v>
      </c>
      <c r="O3089">
        <v>-93082146</v>
      </c>
      <c r="P3089">
        <v>126</v>
      </c>
      <c r="Q3089" t="s">
        <v>6222</v>
      </c>
    </row>
    <row r="3090" spans="1:17" x14ac:dyDescent="0.3">
      <c r="A3090" t="s">
        <v>4446</v>
      </c>
      <c r="B3090" t="str">
        <f>"002364"</f>
        <v>002364</v>
      </c>
      <c r="C3090" t="s">
        <v>6223</v>
      </c>
      <c r="D3090" t="s">
        <v>188</v>
      </c>
      <c r="F3090">
        <v>-86988274</v>
      </c>
      <c r="G3090">
        <v>-188368082</v>
      </c>
      <c r="H3090">
        <v>-33426955</v>
      </c>
      <c r="I3090">
        <v>44812196</v>
      </c>
      <c r="J3090">
        <v>-12093143</v>
      </c>
      <c r="K3090">
        <v>75796600</v>
      </c>
      <c r="L3090">
        <v>-50355015</v>
      </c>
      <c r="M3090">
        <v>-79488933</v>
      </c>
      <c r="N3090">
        <v>-79972116</v>
      </c>
      <c r="O3090">
        <v>-88370808</v>
      </c>
      <c r="P3090">
        <v>219</v>
      </c>
      <c r="Q3090" t="s">
        <v>6224</v>
      </c>
    </row>
    <row r="3091" spans="1:17" x14ac:dyDescent="0.3">
      <c r="A3091" t="s">
        <v>4446</v>
      </c>
      <c r="B3091" t="str">
        <f>"002365"</f>
        <v>002365</v>
      </c>
      <c r="C3091" t="s">
        <v>6225</v>
      </c>
      <c r="D3091" t="s">
        <v>113</v>
      </c>
      <c r="F3091">
        <v>39261707</v>
      </c>
      <c r="G3091">
        <v>102922525</v>
      </c>
      <c r="H3091">
        <v>106158222</v>
      </c>
      <c r="I3091">
        <v>44813095</v>
      </c>
      <c r="J3091">
        <v>-92105905</v>
      </c>
      <c r="K3091">
        <v>44403729</v>
      </c>
      <c r="L3091">
        <v>36760270</v>
      </c>
      <c r="M3091">
        <v>-29717399</v>
      </c>
      <c r="N3091">
        <v>-35905071</v>
      </c>
      <c r="O3091">
        <v>-49431077</v>
      </c>
      <c r="P3091">
        <v>195</v>
      </c>
      <c r="Q3091" t="s">
        <v>6226</v>
      </c>
    </row>
    <row r="3092" spans="1:17" x14ac:dyDescent="0.3">
      <c r="A3092" t="s">
        <v>4446</v>
      </c>
      <c r="B3092" t="str">
        <f>"002366"</f>
        <v>002366</v>
      </c>
      <c r="C3092" t="s">
        <v>6227</v>
      </c>
      <c r="D3092" t="s">
        <v>188</v>
      </c>
      <c r="F3092">
        <v>65953632</v>
      </c>
      <c r="G3092">
        <v>24874317</v>
      </c>
      <c r="H3092">
        <v>170503819</v>
      </c>
      <c r="I3092">
        <v>157390091</v>
      </c>
      <c r="J3092">
        <v>-585770308</v>
      </c>
      <c r="K3092">
        <v>-232839526</v>
      </c>
      <c r="L3092">
        <v>-95394858</v>
      </c>
      <c r="M3092">
        <v>13735353</v>
      </c>
      <c r="N3092">
        <v>102054529</v>
      </c>
      <c r="O3092">
        <v>29918098</v>
      </c>
      <c r="P3092">
        <v>175</v>
      </c>
      <c r="Q3092" t="s">
        <v>6228</v>
      </c>
    </row>
    <row r="3093" spans="1:17" x14ac:dyDescent="0.3">
      <c r="A3093" t="s">
        <v>4446</v>
      </c>
      <c r="B3093" t="str">
        <f>"002367"</f>
        <v>002367</v>
      </c>
      <c r="C3093" t="s">
        <v>6229</v>
      </c>
      <c r="D3093" t="s">
        <v>78</v>
      </c>
      <c r="F3093">
        <v>154239550</v>
      </c>
      <c r="G3093">
        <v>753123770</v>
      </c>
      <c r="H3093">
        <v>394831918</v>
      </c>
      <c r="I3093">
        <v>306370221</v>
      </c>
      <c r="J3093">
        <v>170364721</v>
      </c>
      <c r="K3093">
        <v>158667326</v>
      </c>
      <c r="L3093">
        <v>-110626817</v>
      </c>
      <c r="M3093">
        <v>304933304</v>
      </c>
      <c r="N3093">
        <v>62653459</v>
      </c>
      <c r="O3093">
        <v>11601649</v>
      </c>
      <c r="P3093">
        <v>388</v>
      </c>
      <c r="Q3093" t="s">
        <v>6230</v>
      </c>
    </row>
    <row r="3094" spans="1:17" x14ac:dyDescent="0.3">
      <c r="A3094" t="s">
        <v>4446</v>
      </c>
      <c r="B3094" t="str">
        <f>"002368"</f>
        <v>002368</v>
      </c>
      <c r="C3094" t="s">
        <v>6231</v>
      </c>
      <c r="D3094" t="s">
        <v>212</v>
      </c>
      <c r="F3094">
        <v>414008386</v>
      </c>
      <c r="G3094">
        <v>938405825</v>
      </c>
      <c r="H3094">
        <v>-511947587</v>
      </c>
      <c r="I3094">
        <v>558172827</v>
      </c>
      <c r="J3094">
        <v>240483974</v>
      </c>
      <c r="K3094">
        <v>-245126985</v>
      </c>
      <c r="L3094">
        <v>-141703180</v>
      </c>
      <c r="M3094">
        <v>-147860610</v>
      </c>
      <c r="N3094">
        <v>335019488</v>
      </c>
      <c r="O3094">
        <v>-238624506</v>
      </c>
      <c r="P3094">
        <v>373</v>
      </c>
      <c r="Q3094" t="s">
        <v>6232</v>
      </c>
    </row>
    <row r="3095" spans="1:17" x14ac:dyDescent="0.3">
      <c r="A3095" t="s">
        <v>4446</v>
      </c>
      <c r="B3095" t="str">
        <f>"002369"</f>
        <v>002369</v>
      </c>
      <c r="C3095" t="s">
        <v>6233</v>
      </c>
      <c r="D3095" t="s">
        <v>150</v>
      </c>
      <c r="F3095">
        <v>8034900</v>
      </c>
      <c r="G3095">
        <v>70985941</v>
      </c>
      <c r="H3095">
        <v>79047625</v>
      </c>
      <c r="I3095">
        <v>-162159302</v>
      </c>
      <c r="J3095">
        <v>-418043571</v>
      </c>
      <c r="K3095">
        <v>217997564</v>
      </c>
      <c r="L3095">
        <v>226232089</v>
      </c>
      <c r="M3095">
        <v>-211075951</v>
      </c>
      <c r="N3095">
        <v>-378773091</v>
      </c>
      <c r="O3095">
        <v>-334968641</v>
      </c>
      <c r="P3095">
        <v>179</v>
      </c>
      <c r="Q3095" t="s">
        <v>6234</v>
      </c>
    </row>
    <row r="3096" spans="1:17" x14ac:dyDescent="0.3">
      <c r="A3096" t="s">
        <v>4446</v>
      </c>
      <c r="B3096" t="str">
        <f>"002370"</f>
        <v>002370</v>
      </c>
      <c r="C3096" t="s">
        <v>6235</v>
      </c>
      <c r="D3096" t="s">
        <v>113</v>
      </c>
      <c r="F3096">
        <v>109978841</v>
      </c>
      <c r="G3096">
        <v>126783829</v>
      </c>
      <c r="H3096">
        <v>-350102469</v>
      </c>
      <c r="I3096">
        <v>-574791571</v>
      </c>
      <c r="J3096">
        <v>-152273144</v>
      </c>
      <c r="K3096">
        <v>-113378321</v>
      </c>
      <c r="L3096">
        <v>67926474</v>
      </c>
      <c r="M3096">
        <v>-12078782</v>
      </c>
      <c r="N3096">
        <v>8709895</v>
      </c>
      <c r="O3096">
        <v>-41120310</v>
      </c>
      <c r="P3096">
        <v>201</v>
      </c>
      <c r="Q3096" t="s">
        <v>6236</v>
      </c>
    </row>
    <row r="3097" spans="1:17" x14ac:dyDescent="0.3">
      <c r="A3097" t="s">
        <v>4446</v>
      </c>
      <c r="B3097" t="str">
        <f>"002371"</f>
        <v>002371</v>
      </c>
      <c r="C3097" t="s">
        <v>6237</v>
      </c>
      <c r="D3097" t="s">
        <v>150</v>
      </c>
      <c r="F3097">
        <v>-1223561063</v>
      </c>
      <c r="G3097">
        <v>726263955</v>
      </c>
      <c r="H3097">
        <v>-1111741833</v>
      </c>
      <c r="I3097">
        <v>-264372780</v>
      </c>
      <c r="J3097">
        <v>-200470447</v>
      </c>
      <c r="K3097">
        <v>-379226906</v>
      </c>
      <c r="L3097">
        <v>-110490670</v>
      </c>
      <c r="M3097">
        <v>-102977449</v>
      </c>
      <c r="N3097">
        <v>-188268545</v>
      </c>
      <c r="O3097">
        <v>-395714214</v>
      </c>
      <c r="P3097">
        <v>1587</v>
      </c>
      <c r="Q3097" t="s">
        <v>6238</v>
      </c>
    </row>
    <row r="3098" spans="1:17" x14ac:dyDescent="0.3">
      <c r="A3098" t="s">
        <v>4446</v>
      </c>
      <c r="B3098" t="str">
        <f>"002372"</f>
        <v>002372</v>
      </c>
      <c r="C3098" t="s">
        <v>6239</v>
      </c>
      <c r="D3098" t="s">
        <v>350</v>
      </c>
      <c r="F3098">
        <v>1363590488</v>
      </c>
      <c r="G3098">
        <v>1148998415</v>
      </c>
      <c r="H3098">
        <v>725610571</v>
      </c>
      <c r="I3098">
        <v>740416191</v>
      </c>
      <c r="J3098">
        <v>677482554</v>
      </c>
      <c r="K3098">
        <v>829651210</v>
      </c>
      <c r="L3098">
        <v>364575022</v>
      </c>
      <c r="M3098">
        <v>334110617</v>
      </c>
      <c r="N3098">
        <v>236114723</v>
      </c>
      <c r="O3098">
        <v>135209969</v>
      </c>
      <c r="P3098">
        <v>10687</v>
      </c>
      <c r="Q3098" t="s">
        <v>6240</v>
      </c>
    </row>
    <row r="3099" spans="1:17" x14ac:dyDescent="0.3">
      <c r="A3099" t="s">
        <v>4446</v>
      </c>
      <c r="B3099" t="str">
        <f>"002373"</f>
        <v>002373</v>
      </c>
      <c r="C3099" t="s">
        <v>6241</v>
      </c>
      <c r="D3099" t="s">
        <v>212</v>
      </c>
      <c r="F3099">
        <v>-185077037</v>
      </c>
      <c r="G3099">
        <v>1027969358</v>
      </c>
      <c r="H3099">
        <v>568892359</v>
      </c>
      <c r="I3099">
        <v>-279939666</v>
      </c>
      <c r="J3099">
        <v>-82219326</v>
      </c>
      <c r="K3099">
        <v>72121222</v>
      </c>
      <c r="L3099">
        <v>267762260</v>
      </c>
      <c r="M3099">
        <v>109845511</v>
      </c>
      <c r="N3099">
        <v>-31198391</v>
      </c>
      <c r="O3099">
        <v>-90819358</v>
      </c>
      <c r="P3099">
        <v>713</v>
      </c>
      <c r="Q3099" t="s">
        <v>6242</v>
      </c>
    </row>
    <row r="3100" spans="1:17" x14ac:dyDescent="0.3">
      <c r="A3100" t="s">
        <v>4446</v>
      </c>
      <c r="B3100" t="str">
        <f>"002374"</f>
        <v>002374</v>
      </c>
      <c r="C3100" t="s">
        <v>6243</v>
      </c>
      <c r="D3100" t="s">
        <v>161</v>
      </c>
      <c r="F3100">
        <v>215182248</v>
      </c>
      <c r="G3100">
        <v>4158312</v>
      </c>
      <c r="H3100">
        <v>137405560</v>
      </c>
      <c r="I3100">
        <v>-500971631</v>
      </c>
      <c r="J3100">
        <v>-636931084</v>
      </c>
      <c r="K3100">
        <v>-606786119</v>
      </c>
      <c r="L3100">
        <v>-342390712</v>
      </c>
      <c r="M3100">
        <v>-49814537</v>
      </c>
      <c r="N3100">
        <v>-133647094</v>
      </c>
      <c r="O3100">
        <v>-74709955</v>
      </c>
      <c r="P3100">
        <v>92</v>
      </c>
      <c r="Q3100" t="s">
        <v>6244</v>
      </c>
    </row>
    <row r="3101" spans="1:17" x14ac:dyDescent="0.3">
      <c r="A3101" t="s">
        <v>4446</v>
      </c>
      <c r="B3101" t="str">
        <f>"002375"</f>
        <v>002375</v>
      </c>
      <c r="C3101" t="s">
        <v>6245</v>
      </c>
      <c r="D3101" t="s">
        <v>95</v>
      </c>
      <c r="F3101">
        <v>218444879</v>
      </c>
      <c r="G3101">
        <v>450152628</v>
      </c>
      <c r="H3101">
        <v>247225286</v>
      </c>
      <c r="I3101">
        <v>-280621819</v>
      </c>
      <c r="J3101">
        <v>13522448</v>
      </c>
      <c r="K3101">
        <v>5065508</v>
      </c>
      <c r="L3101">
        <v>-120615219</v>
      </c>
      <c r="M3101">
        <v>-22356788</v>
      </c>
      <c r="N3101">
        <v>-236772177</v>
      </c>
      <c r="O3101">
        <v>-369205895</v>
      </c>
      <c r="P3101">
        <v>176</v>
      </c>
      <c r="Q3101" t="s">
        <v>6246</v>
      </c>
    </row>
    <row r="3102" spans="1:17" x14ac:dyDescent="0.3">
      <c r="A3102" t="s">
        <v>4446</v>
      </c>
      <c r="B3102" t="str">
        <f>"002376"</f>
        <v>002376</v>
      </c>
      <c r="C3102" t="s">
        <v>6247</v>
      </c>
      <c r="D3102" t="s">
        <v>212</v>
      </c>
      <c r="F3102">
        <v>-269777987</v>
      </c>
      <c r="G3102">
        <v>8635386</v>
      </c>
      <c r="H3102">
        <v>6689686</v>
      </c>
      <c r="I3102">
        <v>-27432307</v>
      </c>
      <c r="J3102">
        <v>281223759</v>
      </c>
      <c r="K3102">
        <v>-68056350</v>
      </c>
      <c r="L3102">
        <v>183057351</v>
      </c>
      <c r="M3102">
        <v>100393641</v>
      </c>
      <c r="N3102">
        <v>-33744070</v>
      </c>
      <c r="O3102">
        <v>-98363795</v>
      </c>
      <c r="P3102">
        <v>298</v>
      </c>
      <c r="Q3102" t="s">
        <v>6248</v>
      </c>
    </row>
    <row r="3103" spans="1:17" x14ac:dyDescent="0.3">
      <c r="A3103" t="s">
        <v>4446</v>
      </c>
      <c r="B3103" t="str">
        <f>"002377"</f>
        <v>002377</v>
      </c>
      <c r="C3103" t="s">
        <v>6249</v>
      </c>
      <c r="D3103" t="s">
        <v>30</v>
      </c>
      <c r="F3103">
        <v>-121269673</v>
      </c>
      <c r="G3103">
        <v>-374472825</v>
      </c>
      <c r="H3103">
        <v>282836712</v>
      </c>
      <c r="I3103">
        <v>32493200</v>
      </c>
      <c r="J3103">
        <v>129074084</v>
      </c>
      <c r="K3103">
        <v>21059271</v>
      </c>
      <c r="L3103">
        <v>167239606</v>
      </c>
      <c r="M3103">
        <v>-20430370</v>
      </c>
      <c r="N3103">
        <v>-52947900</v>
      </c>
      <c r="O3103">
        <v>-130842185</v>
      </c>
      <c r="P3103">
        <v>95</v>
      </c>
      <c r="Q3103" t="s">
        <v>6250</v>
      </c>
    </row>
    <row r="3104" spans="1:17" x14ac:dyDescent="0.3">
      <c r="A3104" t="s">
        <v>4446</v>
      </c>
      <c r="B3104" t="str">
        <f>"002378"</f>
        <v>002378</v>
      </c>
      <c r="C3104" t="s">
        <v>6251</v>
      </c>
      <c r="D3104" t="s">
        <v>234</v>
      </c>
      <c r="F3104">
        <v>-58844845</v>
      </c>
      <c r="G3104">
        <v>480996800</v>
      </c>
      <c r="H3104">
        <v>-39236716</v>
      </c>
      <c r="I3104">
        <v>83638239</v>
      </c>
      <c r="J3104">
        <v>-368951143</v>
      </c>
      <c r="K3104">
        <v>54380377</v>
      </c>
      <c r="L3104">
        <v>-2458339</v>
      </c>
      <c r="M3104">
        <v>3121985</v>
      </c>
      <c r="N3104">
        <v>13565832</v>
      </c>
      <c r="O3104">
        <v>-33362172</v>
      </c>
      <c r="P3104">
        <v>128</v>
      </c>
      <c r="Q3104" t="s">
        <v>6252</v>
      </c>
    </row>
    <row r="3105" spans="1:17" x14ac:dyDescent="0.3">
      <c r="A3105" t="s">
        <v>4446</v>
      </c>
      <c r="B3105" t="str">
        <f>"002379"</f>
        <v>002379</v>
      </c>
      <c r="C3105" t="s">
        <v>6253</v>
      </c>
      <c r="D3105" t="s">
        <v>234</v>
      </c>
      <c r="F3105">
        <v>-53963086</v>
      </c>
      <c r="G3105">
        <v>44653656</v>
      </c>
      <c r="H3105">
        <v>140745108</v>
      </c>
      <c r="I3105">
        <v>-197937157</v>
      </c>
      <c r="J3105">
        <v>-123061595</v>
      </c>
      <c r="K3105">
        <v>-189838076</v>
      </c>
      <c r="L3105">
        <v>-251091662</v>
      </c>
      <c r="M3105">
        <v>-1087864825</v>
      </c>
      <c r="N3105">
        <v>-648554417</v>
      </c>
      <c r="O3105">
        <v>-966069202</v>
      </c>
      <c r="P3105">
        <v>88</v>
      </c>
      <c r="Q3105" t="s">
        <v>6254</v>
      </c>
    </row>
    <row r="3106" spans="1:17" x14ac:dyDescent="0.3">
      <c r="A3106" t="s">
        <v>4446</v>
      </c>
      <c r="B3106" t="str">
        <f>"002380"</f>
        <v>002380</v>
      </c>
      <c r="C3106" t="s">
        <v>6255</v>
      </c>
      <c r="D3106" t="s">
        <v>212</v>
      </c>
      <c r="F3106">
        <v>-471610674</v>
      </c>
      <c r="G3106">
        <v>-172742183</v>
      </c>
      <c r="H3106">
        <v>-46892112</v>
      </c>
      <c r="I3106">
        <v>5803127</v>
      </c>
      <c r="J3106">
        <v>86616351</v>
      </c>
      <c r="K3106">
        <v>-9880997</v>
      </c>
      <c r="L3106">
        <v>-45129329</v>
      </c>
      <c r="M3106">
        <v>-20135023</v>
      </c>
      <c r="N3106">
        <v>-5251605</v>
      </c>
      <c r="O3106">
        <v>-18608190</v>
      </c>
      <c r="P3106">
        <v>131</v>
      </c>
      <c r="Q3106" t="s">
        <v>6256</v>
      </c>
    </row>
    <row r="3107" spans="1:17" x14ac:dyDescent="0.3">
      <c r="A3107" t="s">
        <v>4446</v>
      </c>
      <c r="B3107" t="str">
        <f>"002381"</f>
        <v>002381</v>
      </c>
      <c r="C3107" t="s">
        <v>6257</v>
      </c>
      <c r="D3107" t="s">
        <v>133</v>
      </c>
      <c r="F3107">
        <v>-148562077</v>
      </c>
      <c r="G3107">
        <v>235947467</v>
      </c>
      <c r="H3107">
        <v>201762569</v>
      </c>
      <c r="I3107">
        <v>142134304</v>
      </c>
      <c r="J3107">
        <v>122216373</v>
      </c>
      <c r="K3107">
        <v>-31360588</v>
      </c>
      <c r="L3107">
        <v>100430745</v>
      </c>
      <c r="M3107">
        <v>46386093</v>
      </c>
      <c r="N3107">
        <v>52361534</v>
      </c>
      <c r="O3107">
        <v>-27698834</v>
      </c>
      <c r="P3107">
        <v>277</v>
      </c>
      <c r="Q3107" t="s">
        <v>6258</v>
      </c>
    </row>
    <row r="3108" spans="1:17" x14ac:dyDescent="0.3">
      <c r="A3108" t="s">
        <v>4446</v>
      </c>
      <c r="B3108" t="str">
        <f>"002382"</f>
        <v>002382</v>
      </c>
      <c r="C3108" t="s">
        <v>6259</v>
      </c>
      <c r="D3108" t="s">
        <v>113</v>
      </c>
      <c r="F3108">
        <v>-329850672</v>
      </c>
      <c r="G3108">
        <v>2475835125</v>
      </c>
      <c r="H3108">
        <v>428098809</v>
      </c>
      <c r="I3108">
        <v>208516496</v>
      </c>
      <c r="J3108">
        <v>-24194226</v>
      </c>
      <c r="K3108">
        <v>64260502</v>
      </c>
      <c r="L3108">
        <v>216191907</v>
      </c>
      <c r="M3108">
        <v>78036514</v>
      </c>
      <c r="N3108">
        <v>-161604081</v>
      </c>
      <c r="O3108">
        <v>-213414168</v>
      </c>
      <c r="P3108">
        <v>849</v>
      </c>
      <c r="Q3108" t="s">
        <v>6260</v>
      </c>
    </row>
    <row r="3109" spans="1:17" x14ac:dyDescent="0.3">
      <c r="A3109" t="s">
        <v>4446</v>
      </c>
      <c r="B3109" t="str">
        <f>"002383"</f>
        <v>002383</v>
      </c>
      <c r="C3109" t="s">
        <v>6261</v>
      </c>
      <c r="D3109" t="s">
        <v>92</v>
      </c>
      <c r="F3109">
        <v>-51825957</v>
      </c>
      <c r="G3109">
        <v>-163382563</v>
      </c>
      <c r="H3109">
        <v>-323883741</v>
      </c>
      <c r="I3109">
        <v>-629586281</v>
      </c>
      <c r="J3109">
        <v>-1064118471</v>
      </c>
      <c r="K3109">
        <v>-194178930</v>
      </c>
      <c r="L3109">
        <v>-143752460</v>
      </c>
      <c r="M3109">
        <v>-228228004</v>
      </c>
      <c r="N3109">
        <v>-253719611</v>
      </c>
      <c r="O3109">
        <v>-142954773</v>
      </c>
      <c r="P3109">
        <v>211</v>
      </c>
      <c r="Q3109" t="s">
        <v>6262</v>
      </c>
    </row>
    <row r="3110" spans="1:17" x14ac:dyDescent="0.3">
      <c r="A3110" t="s">
        <v>4446</v>
      </c>
      <c r="B3110" t="str">
        <f>"002384"</f>
        <v>002384</v>
      </c>
      <c r="C3110" t="s">
        <v>6263</v>
      </c>
      <c r="D3110" t="s">
        <v>150</v>
      </c>
      <c r="F3110">
        <v>175203670</v>
      </c>
      <c r="G3110">
        <v>673559537</v>
      </c>
      <c r="H3110">
        <v>1572917681</v>
      </c>
      <c r="I3110">
        <v>-2417336055</v>
      </c>
      <c r="J3110">
        <v>-2741293924</v>
      </c>
      <c r="K3110">
        <v>-1078034985</v>
      </c>
      <c r="L3110">
        <v>-601063160</v>
      </c>
      <c r="M3110">
        <v>-567158173</v>
      </c>
      <c r="N3110">
        <v>-40347110</v>
      </c>
      <c r="O3110">
        <v>-406875312</v>
      </c>
      <c r="P3110">
        <v>1071</v>
      </c>
      <c r="Q3110" t="s">
        <v>6264</v>
      </c>
    </row>
    <row r="3111" spans="1:17" x14ac:dyDescent="0.3">
      <c r="A3111" t="s">
        <v>4446</v>
      </c>
      <c r="B3111" t="str">
        <f>"002385"</f>
        <v>002385</v>
      </c>
      <c r="C3111" t="s">
        <v>6265</v>
      </c>
      <c r="D3111" t="s">
        <v>205</v>
      </c>
      <c r="F3111">
        <v>-1187964408</v>
      </c>
      <c r="G3111">
        <v>-499983737</v>
      </c>
      <c r="H3111">
        <v>931487859</v>
      </c>
      <c r="I3111">
        <v>84472173</v>
      </c>
      <c r="J3111">
        <v>-347397966</v>
      </c>
      <c r="K3111">
        <v>-244674239</v>
      </c>
      <c r="L3111">
        <v>153984740</v>
      </c>
      <c r="M3111">
        <v>-135442431</v>
      </c>
      <c r="N3111">
        <v>-920544240</v>
      </c>
      <c r="O3111">
        <v>-214036699</v>
      </c>
      <c r="P3111">
        <v>890</v>
      </c>
      <c r="Q3111" t="s">
        <v>6266</v>
      </c>
    </row>
    <row r="3112" spans="1:17" x14ac:dyDescent="0.3">
      <c r="A3112" t="s">
        <v>4446</v>
      </c>
      <c r="B3112" t="str">
        <f>"002386"</f>
        <v>002386</v>
      </c>
      <c r="C3112" t="s">
        <v>6267</v>
      </c>
      <c r="D3112" t="s">
        <v>133</v>
      </c>
      <c r="F3112">
        <v>836311616</v>
      </c>
      <c r="G3112">
        <v>556621541</v>
      </c>
      <c r="H3112">
        <v>277618322</v>
      </c>
      <c r="I3112">
        <v>-128188357</v>
      </c>
      <c r="J3112">
        <v>-160492149</v>
      </c>
      <c r="K3112">
        <v>247015238</v>
      </c>
      <c r="L3112">
        <v>-32529304</v>
      </c>
      <c r="M3112">
        <v>246994080</v>
      </c>
      <c r="N3112">
        <v>-85058210</v>
      </c>
      <c r="O3112">
        <v>81238508</v>
      </c>
      <c r="P3112">
        <v>143</v>
      </c>
      <c r="Q3112" t="s">
        <v>6268</v>
      </c>
    </row>
    <row r="3113" spans="1:17" x14ac:dyDescent="0.3">
      <c r="A3113" t="s">
        <v>4446</v>
      </c>
      <c r="B3113" t="str">
        <f>"002387"</f>
        <v>002387</v>
      </c>
      <c r="C3113" t="s">
        <v>6269</v>
      </c>
      <c r="D3113" t="s">
        <v>150</v>
      </c>
      <c r="F3113">
        <v>1387476680</v>
      </c>
      <c r="G3113">
        <v>-1102058765</v>
      </c>
      <c r="H3113">
        <v>-2041195983</v>
      </c>
      <c r="I3113">
        <v>-12694872402</v>
      </c>
      <c r="J3113">
        <v>-3766225942</v>
      </c>
      <c r="K3113">
        <v>-918896803</v>
      </c>
      <c r="L3113">
        <v>171819010</v>
      </c>
      <c r="M3113">
        <v>-707831808</v>
      </c>
      <c r="N3113">
        <v>-201856334</v>
      </c>
      <c r="O3113">
        <v>-229433286</v>
      </c>
      <c r="P3113">
        <v>274</v>
      </c>
      <c r="Q3113" t="s">
        <v>6270</v>
      </c>
    </row>
    <row r="3114" spans="1:17" x14ac:dyDescent="0.3">
      <c r="A3114" t="s">
        <v>4446</v>
      </c>
      <c r="B3114" t="str">
        <f>"002388"</f>
        <v>002388</v>
      </c>
      <c r="C3114" t="s">
        <v>6271</v>
      </c>
      <c r="D3114" t="s">
        <v>150</v>
      </c>
      <c r="F3114">
        <v>-133767058</v>
      </c>
      <c r="G3114">
        <v>226299862</v>
      </c>
      <c r="H3114">
        <v>2796051</v>
      </c>
      <c r="I3114">
        <v>-243753921</v>
      </c>
      <c r="J3114">
        <v>124239698</v>
      </c>
      <c r="K3114">
        <v>-296361782</v>
      </c>
      <c r="L3114">
        <v>9761270</v>
      </c>
      <c r="M3114">
        <v>-83198391</v>
      </c>
      <c r="N3114">
        <v>-27711715</v>
      </c>
      <c r="O3114">
        <v>95699622</v>
      </c>
      <c r="P3114">
        <v>148</v>
      </c>
      <c r="Q3114" t="s">
        <v>6272</v>
      </c>
    </row>
    <row r="3115" spans="1:17" x14ac:dyDescent="0.3">
      <c r="A3115" t="s">
        <v>4446</v>
      </c>
      <c r="B3115" t="str">
        <f>"002389"</f>
        <v>002389</v>
      </c>
      <c r="C3115" t="s">
        <v>6273</v>
      </c>
      <c r="D3115" t="s">
        <v>92</v>
      </c>
      <c r="F3115">
        <v>116921862</v>
      </c>
      <c r="G3115">
        <v>240283341</v>
      </c>
      <c r="H3115">
        <v>191892130</v>
      </c>
      <c r="I3115">
        <v>-82111678</v>
      </c>
      <c r="J3115">
        <v>11437648</v>
      </c>
      <c r="K3115">
        <v>-235331509</v>
      </c>
      <c r="L3115">
        <v>-389945088</v>
      </c>
      <c r="M3115">
        <v>-445146688</v>
      </c>
      <c r="N3115">
        <v>-302391771</v>
      </c>
      <c r="O3115">
        <v>-134712925</v>
      </c>
      <c r="P3115">
        <v>435</v>
      </c>
      <c r="Q3115" t="s">
        <v>6274</v>
      </c>
    </row>
    <row r="3116" spans="1:17" x14ac:dyDescent="0.3">
      <c r="A3116" t="s">
        <v>4446</v>
      </c>
      <c r="B3116" t="str">
        <f>"002390"</f>
        <v>002390</v>
      </c>
      <c r="C3116" t="s">
        <v>6275</v>
      </c>
      <c r="D3116" t="s">
        <v>113</v>
      </c>
      <c r="F3116">
        <v>205080904</v>
      </c>
      <c r="G3116">
        <v>604849806</v>
      </c>
      <c r="H3116">
        <v>680752548</v>
      </c>
      <c r="I3116">
        <v>-481850635</v>
      </c>
      <c r="J3116">
        <v>-232182714</v>
      </c>
      <c r="K3116">
        <v>-622972656</v>
      </c>
      <c r="L3116">
        <v>-274918890</v>
      </c>
      <c r="M3116">
        <v>-465673230</v>
      </c>
      <c r="N3116">
        <v>-66091941</v>
      </c>
      <c r="O3116">
        <v>-89225813</v>
      </c>
      <c r="P3116">
        <v>273</v>
      </c>
      <c r="Q3116" t="s">
        <v>6276</v>
      </c>
    </row>
    <row r="3117" spans="1:17" x14ac:dyDescent="0.3">
      <c r="A3117" t="s">
        <v>4446</v>
      </c>
      <c r="B3117" t="str">
        <f>"002391"</f>
        <v>002391</v>
      </c>
      <c r="C3117" t="s">
        <v>6277</v>
      </c>
      <c r="D3117" t="s">
        <v>133</v>
      </c>
      <c r="F3117">
        <v>-596830920</v>
      </c>
      <c r="G3117">
        <v>-226760376</v>
      </c>
      <c r="H3117">
        <v>-47263540</v>
      </c>
      <c r="I3117">
        <v>279937249</v>
      </c>
      <c r="J3117">
        <v>282667835</v>
      </c>
      <c r="K3117">
        <v>-78574817</v>
      </c>
      <c r="L3117">
        <v>-280408246</v>
      </c>
      <c r="M3117">
        <v>-339104153</v>
      </c>
      <c r="N3117">
        <v>-243866676</v>
      </c>
      <c r="O3117">
        <v>-241938926</v>
      </c>
      <c r="P3117">
        <v>192</v>
      </c>
      <c r="Q3117" t="s">
        <v>6278</v>
      </c>
    </row>
    <row r="3118" spans="1:17" x14ac:dyDescent="0.3">
      <c r="A3118" t="s">
        <v>4446</v>
      </c>
      <c r="B3118" t="str">
        <f>"002392"</f>
        <v>002392</v>
      </c>
      <c r="C3118" t="s">
        <v>6279</v>
      </c>
      <c r="D3118" t="s">
        <v>350</v>
      </c>
      <c r="F3118">
        <v>-124229883</v>
      </c>
      <c r="G3118">
        <v>-2605305</v>
      </c>
      <c r="H3118">
        <v>271265060</v>
      </c>
      <c r="I3118">
        <v>-149331878</v>
      </c>
      <c r="J3118">
        <v>57916359</v>
      </c>
      <c r="K3118">
        <v>23470432</v>
      </c>
      <c r="L3118">
        <v>-174146789</v>
      </c>
      <c r="M3118">
        <v>-100352956</v>
      </c>
      <c r="N3118">
        <v>133418155</v>
      </c>
      <c r="O3118">
        <v>-54030052</v>
      </c>
      <c r="P3118">
        <v>142</v>
      </c>
      <c r="Q3118" t="s">
        <v>6280</v>
      </c>
    </row>
    <row r="3119" spans="1:17" x14ac:dyDescent="0.3">
      <c r="A3119" t="s">
        <v>4446</v>
      </c>
      <c r="B3119" t="str">
        <f>"002393"</f>
        <v>002393</v>
      </c>
      <c r="C3119" t="s">
        <v>6281</v>
      </c>
      <c r="D3119" t="s">
        <v>113</v>
      </c>
      <c r="F3119">
        <v>108183352</v>
      </c>
      <c r="G3119">
        <v>-24176178</v>
      </c>
      <c r="H3119">
        <v>178003765</v>
      </c>
      <c r="I3119">
        <v>59737161</v>
      </c>
      <c r="J3119">
        <v>129258223</v>
      </c>
      <c r="K3119">
        <v>37318258</v>
      </c>
      <c r="L3119">
        <v>-6387499</v>
      </c>
      <c r="M3119">
        <v>-218395301</v>
      </c>
      <c r="N3119">
        <v>-23152403</v>
      </c>
      <c r="O3119">
        <v>27078903</v>
      </c>
      <c r="P3119">
        <v>153</v>
      </c>
      <c r="Q3119" t="s">
        <v>6282</v>
      </c>
    </row>
    <row r="3120" spans="1:17" x14ac:dyDescent="0.3">
      <c r="A3120" t="s">
        <v>4446</v>
      </c>
      <c r="B3120" t="str">
        <f>"002394"</f>
        <v>002394</v>
      </c>
      <c r="C3120" t="s">
        <v>6283</v>
      </c>
      <c r="D3120" t="s">
        <v>227</v>
      </c>
      <c r="F3120">
        <v>-298256904</v>
      </c>
      <c r="G3120">
        <v>227454354</v>
      </c>
      <c r="H3120">
        <v>203534775</v>
      </c>
      <c r="I3120">
        <v>459165158</v>
      </c>
      <c r="J3120">
        <v>198610787</v>
      </c>
      <c r="K3120">
        <v>33254489</v>
      </c>
      <c r="L3120">
        <v>271468521</v>
      </c>
      <c r="M3120">
        <v>421092696</v>
      </c>
      <c r="N3120">
        <v>66926037</v>
      </c>
      <c r="O3120">
        <v>157543871</v>
      </c>
      <c r="P3120">
        <v>673</v>
      </c>
      <c r="Q3120" t="s">
        <v>6284</v>
      </c>
    </row>
    <row r="3121" spans="1:17" x14ac:dyDescent="0.3">
      <c r="A3121" t="s">
        <v>4446</v>
      </c>
      <c r="B3121" t="str">
        <f>"002395"</f>
        <v>002395</v>
      </c>
      <c r="C3121" t="s">
        <v>6285</v>
      </c>
      <c r="D3121" t="s">
        <v>133</v>
      </c>
      <c r="F3121">
        <v>-212173609</v>
      </c>
      <c r="G3121">
        <v>295079025</v>
      </c>
      <c r="H3121">
        <v>13151634</v>
      </c>
      <c r="I3121">
        <v>123189516</v>
      </c>
      <c r="J3121">
        <v>-41124977</v>
      </c>
      <c r="K3121">
        <v>92086948</v>
      </c>
      <c r="L3121">
        <v>153489300</v>
      </c>
      <c r="M3121">
        <v>-81809878</v>
      </c>
      <c r="N3121">
        <v>-89169541</v>
      </c>
      <c r="O3121">
        <v>-50042224</v>
      </c>
      <c r="P3121">
        <v>59</v>
      </c>
      <c r="Q3121" t="s">
        <v>6286</v>
      </c>
    </row>
    <row r="3122" spans="1:17" x14ac:dyDescent="0.3">
      <c r="A3122" t="s">
        <v>4446</v>
      </c>
      <c r="B3122" t="str">
        <f>"002396"</f>
        <v>002396</v>
      </c>
      <c r="C3122" t="s">
        <v>6287</v>
      </c>
      <c r="D3122" t="s">
        <v>100</v>
      </c>
      <c r="F3122">
        <v>34004585</v>
      </c>
      <c r="G3122">
        <v>262818109</v>
      </c>
      <c r="H3122">
        <v>470742722</v>
      </c>
      <c r="I3122">
        <v>384488679</v>
      </c>
      <c r="J3122">
        <v>109544974</v>
      </c>
      <c r="K3122">
        <v>446894145</v>
      </c>
      <c r="L3122">
        <v>815371455</v>
      </c>
      <c r="M3122">
        <v>107010540</v>
      </c>
      <c r="N3122">
        <v>338809079</v>
      </c>
      <c r="O3122">
        <v>234650974</v>
      </c>
      <c r="P3122">
        <v>3695</v>
      </c>
      <c r="Q3122" t="s">
        <v>6288</v>
      </c>
    </row>
    <row r="3123" spans="1:17" x14ac:dyDescent="0.3">
      <c r="A3123" t="s">
        <v>4446</v>
      </c>
      <c r="B3123" t="str">
        <f>"002397"</f>
        <v>002397</v>
      </c>
      <c r="C3123" t="s">
        <v>6289</v>
      </c>
      <c r="D3123" t="s">
        <v>227</v>
      </c>
      <c r="F3123">
        <v>-179516396</v>
      </c>
      <c r="G3123">
        <v>222446006</v>
      </c>
      <c r="H3123">
        <v>261362867</v>
      </c>
      <c r="I3123">
        <v>-241560112</v>
      </c>
      <c r="J3123">
        <v>-170999787</v>
      </c>
      <c r="K3123">
        <v>-54561254</v>
      </c>
      <c r="L3123">
        <v>-67347967</v>
      </c>
      <c r="M3123">
        <v>149845827</v>
      </c>
      <c r="N3123">
        <v>52675739</v>
      </c>
      <c r="O3123">
        <v>-85963340</v>
      </c>
      <c r="P3123">
        <v>109</v>
      </c>
      <c r="Q3123" t="s">
        <v>6290</v>
      </c>
    </row>
    <row r="3124" spans="1:17" x14ac:dyDescent="0.3">
      <c r="A3124" t="s">
        <v>4446</v>
      </c>
      <c r="B3124" t="str">
        <f>"002398"</f>
        <v>002398</v>
      </c>
      <c r="C3124" t="s">
        <v>6291</v>
      </c>
      <c r="D3124" t="s">
        <v>350</v>
      </c>
      <c r="F3124">
        <v>217087102</v>
      </c>
      <c r="G3124">
        <v>181129677</v>
      </c>
      <c r="H3124">
        <v>210662298</v>
      </c>
      <c r="I3124">
        <v>39228160</v>
      </c>
      <c r="J3124">
        <v>46795136</v>
      </c>
      <c r="K3124">
        <v>278429380</v>
      </c>
      <c r="L3124">
        <v>181154400</v>
      </c>
      <c r="M3124">
        <v>47755983</v>
      </c>
      <c r="N3124">
        <v>-40918889</v>
      </c>
      <c r="O3124">
        <v>-65470426</v>
      </c>
      <c r="P3124">
        <v>217</v>
      </c>
      <c r="Q3124" t="s">
        <v>6292</v>
      </c>
    </row>
    <row r="3125" spans="1:17" x14ac:dyDescent="0.3">
      <c r="A3125" t="s">
        <v>4446</v>
      </c>
      <c r="B3125" t="str">
        <f>"002399"</f>
        <v>002399</v>
      </c>
      <c r="C3125" t="s">
        <v>6293</v>
      </c>
      <c r="D3125" t="s">
        <v>113</v>
      </c>
      <c r="F3125">
        <v>-198772245</v>
      </c>
      <c r="G3125">
        <v>-174986584</v>
      </c>
      <c r="H3125">
        <v>-589655117</v>
      </c>
      <c r="I3125">
        <v>102489812</v>
      </c>
      <c r="J3125">
        <v>-981876980</v>
      </c>
      <c r="K3125">
        <v>-12573510</v>
      </c>
      <c r="L3125">
        <v>726207400</v>
      </c>
      <c r="M3125">
        <v>745976326</v>
      </c>
      <c r="N3125">
        <v>127081644</v>
      </c>
      <c r="O3125">
        <v>236410699</v>
      </c>
      <c r="P3125">
        <v>285</v>
      </c>
      <c r="Q3125" t="s">
        <v>6294</v>
      </c>
    </row>
    <row r="3126" spans="1:17" x14ac:dyDescent="0.3">
      <c r="A3126" t="s">
        <v>4446</v>
      </c>
      <c r="B3126" t="str">
        <f>"002400"</f>
        <v>002400</v>
      </c>
      <c r="C3126" t="s">
        <v>6295</v>
      </c>
      <c r="D3126" t="s">
        <v>89</v>
      </c>
      <c r="F3126">
        <v>584890989</v>
      </c>
      <c r="G3126">
        <v>356224511</v>
      </c>
      <c r="H3126">
        <v>498388059</v>
      </c>
      <c r="I3126">
        <v>497032719</v>
      </c>
      <c r="J3126">
        <v>131683551</v>
      </c>
      <c r="K3126">
        <v>4435252</v>
      </c>
      <c r="L3126">
        <v>215262648</v>
      </c>
      <c r="M3126">
        <v>107935666</v>
      </c>
      <c r="N3126">
        <v>109297157</v>
      </c>
      <c r="O3126">
        <v>32108253</v>
      </c>
      <c r="P3126">
        <v>328</v>
      </c>
      <c r="Q3126" t="s">
        <v>6296</v>
      </c>
    </row>
    <row r="3127" spans="1:17" x14ac:dyDescent="0.3">
      <c r="A3127" t="s">
        <v>4446</v>
      </c>
      <c r="B3127" t="str">
        <f>"002401"</f>
        <v>002401</v>
      </c>
      <c r="C3127" t="s">
        <v>6297</v>
      </c>
      <c r="D3127" t="s">
        <v>212</v>
      </c>
      <c r="F3127">
        <v>169976571</v>
      </c>
      <c r="G3127">
        <v>232102537</v>
      </c>
      <c r="H3127">
        <v>375353807</v>
      </c>
      <c r="I3127">
        <v>149122786</v>
      </c>
      <c r="J3127">
        <v>123272817</v>
      </c>
      <c r="K3127">
        <v>322236176</v>
      </c>
      <c r="L3127">
        <v>149789880</v>
      </c>
      <c r="M3127">
        <v>-43363050</v>
      </c>
      <c r="N3127">
        <v>-75960689</v>
      </c>
      <c r="O3127">
        <v>35182115</v>
      </c>
      <c r="P3127">
        <v>152</v>
      </c>
      <c r="Q3127" t="s">
        <v>6298</v>
      </c>
    </row>
    <row r="3128" spans="1:17" x14ac:dyDescent="0.3">
      <c r="A3128" t="s">
        <v>4446</v>
      </c>
      <c r="B3128" t="str">
        <f>"002402"</f>
        <v>002402</v>
      </c>
      <c r="C3128" t="s">
        <v>6299</v>
      </c>
      <c r="D3128" t="s">
        <v>150</v>
      </c>
      <c r="F3128">
        <v>-226670070</v>
      </c>
      <c r="G3128">
        <v>275636115</v>
      </c>
      <c r="H3128">
        <v>195229103</v>
      </c>
      <c r="I3128">
        <v>15402566</v>
      </c>
      <c r="J3128">
        <v>65491558</v>
      </c>
      <c r="K3128">
        <v>72769949</v>
      </c>
      <c r="L3128">
        <v>72226727</v>
      </c>
      <c r="M3128">
        <v>11451224</v>
      </c>
      <c r="N3128">
        <v>6946284</v>
      </c>
      <c r="O3128">
        <v>-42020452</v>
      </c>
      <c r="P3128">
        <v>1282</v>
      </c>
      <c r="Q3128" t="s">
        <v>6300</v>
      </c>
    </row>
    <row r="3129" spans="1:17" x14ac:dyDescent="0.3">
      <c r="A3129" t="s">
        <v>4446</v>
      </c>
      <c r="B3129" t="str">
        <f>"002403"</f>
        <v>002403</v>
      </c>
      <c r="C3129" t="s">
        <v>6301</v>
      </c>
      <c r="D3129" t="s">
        <v>126</v>
      </c>
      <c r="F3129">
        <v>4452960</v>
      </c>
      <c r="G3129">
        <v>122022838</v>
      </c>
      <c r="H3129">
        <v>-269397448</v>
      </c>
      <c r="I3129">
        <v>-82612364</v>
      </c>
      <c r="J3129">
        <v>-77467311</v>
      </c>
      <c r="K3129">
        <v>159423981</v>
      </c>
      <c r="L3129">
        <v>9080505</v>
      </c>
      <c r="M3129">
        <v>121461041</v>
      </c>
      <c r="N3129">
        <v>74107678</v>
      </c>
      <c r="O3129">
        <v>-207359258</v>
      </c>
      <c r="P3129">
        <v>151</v>
      </c>
      <c r="Q3129" t="s">
        <v>6302</v>
      </c>
    </row>
    <row r="3130" spans="1:17" x14ac:dyDescent="0.3">
      <c r="A3130" t="s">
        <v>4446</v>
      </c>
      <c r="B3130" t="str">
        <f>"002404"</f>
        <v>002404</v>
      </c>
      <c r="C3130" t="s">
        <v>6303</v>
      </c>
      <c r="D3130" t="s">
        <v>227</v>
      </c>
      <c r="F3130">
        <v>-272133971</v>
      </c>
      <c r="G3130">
        <v>139197290</v>
      </c>
      <c r="H3130">
        <v>113435732</v>
      </c>
      <c r="I3130">
        <v>188252648</v>
      </c>
      <c r="J3130">
        <v>64386436</v>
      </c>
      <c r="K3130">
        <v>29764434</v>
      </c>
      <c r="L3130">
        <v>113336676</v>
      </c>
      <c r="M3130">
        <v>-72453421</v>
      </c>
      <c r="N3130">
        <v>-37207384</v>
      </c>
      <c r="O3130">
        <v>-95895856</v>
      </c>
      <c r="P3130">
        <v>108</v>
      </c>
      <c r="Q3130" t="s">
        <v>6304</v>
      </c>
    </row>
    <row r="3131" spans="1:17" x14ac:dyDescent="0.3">
      <c r="A3131" t="s">
        <v>4446</v>
      </c>
      <c r="B3131" t="str">
        <f>"002405"</f>
        <v>002405</v>
      </c>
      <c r="C3131" t="s">
        <v>6305</v>
      </c>
      <c r="D3131" t="s">
        <v>212</v>
      </c>
      <c r="F3131">
        <v>-535514145</v>
      </c>
      <c r="G3131">
        <v>-151870763</v>
      </c>
      <c r="H3131">
        <v>-978918151</v>
      </c>
      <c r="I3131">
        <v>-12045561</v>
      </c>
      <c r="J3131">
        <v>-34143211</v>
      </c>
      <c r="K3131">
        <v>-58981562</v>
      </c>
      <c r="L3131">
        <v>-6176882</v>
      </c>
      <c r="M3131">
        <v>-74074075</v>
      </c>
      <c r="N3131">
        <v>-139371274</v>
      </c>
      <c r="O3131">
        <v>-106187602</v>
      </c>
      <c r="P3131">
        <v>3861</v>
      </c>
      <c r="Q3131" t="s">
        <v>6306</v>
      </c>
    </row>
    <row r="3132" spans="1:17" x14ac:dyDescent="0.3">
      <c r="A3132" t="s">
        <v>4446</v>
      </c>
      <c r="B3132" t="str">
        <f>"002406"</f>
        <v>002406</v>
      </c>
      <c r="C3132" t="s">
        <v>6307</v>
      </c>
      <c r="D3132" t="s">
        <v>27</v>
      </c>
      <c r="F3132">
        <v>152635844</v>
      </c>
      <c r="G3132">
        <v>142352043</v>
      </c>
      <c r="H3132">
        <v>184663229</v>
      </c>
      <c r="I3132">
        <v>96108156</v>
      </c>
      <c r="J3132">
        <v>84897570</v>
      </c>
      <c r="K3132">
        <v>56460077</v>
      </c>
      <c r="L3132">
        <v>70312196</v>
      </c>
      <c r="M3132">
        <v>134016259</v>
      </c>
      <c r="N3132">
        <v>-81746334</v>
      </c>
      <c r="O3132">
        <v>82089797</v>
      </c>
      <c r="P3132">
        <v>272</v>
      </c>
      <c r="Q3132" t="s">
        <v>6308</v>
      </c>
    </row>
    <row r="3133" spans="1:17" x14ac:dyDescent="0.3">
      <c r="A3133" t="s">
        <v>4446</v>
      </c>
      <c r="B3133" t="str">
        <f>"002407"</f>
        <v>002407</v>
      </c>
      <c r="C3133" t="s">
        <v>6309</v>
      </c>
      <c r="D3133" t="s">
        <v>133</v>
      </c>
      <c r="F3133">
        <v>775880494</v>
      </c>
      <c r="G3133">
        <v>-335123817</v>
      </c>
      <c r="H3133">
        <v>-217227845</v>
      </c>
      <c r="I3133">
        <v>-156162130</v>
      </c>
      <c r="J3133">
        <v>-576151216</v>
      </c>
      <c r="K3133">
        <v>-274993589</v>
      </c>
      <c r="L3133">
        <v>-74845913</v>
      </c>
      <c r="M3133">
        <v>-77214259</v>
      </c>
      <c r="N3133">
        <v>-109775301</v>
      </c>
      <c r="O3133">
        <v>-53047328</v>
      </c>
      <c r="P3133">
        <v>566</v>
      </c>
      <c r="Q3133" t="s">
        <v>6310</v>
      </c>
    </row>
    <row r="3134" spans="1:17" x14ac:dyDescent="0.3">
      <c r="A3134" t="s">
        <v>4446</v>
      </c>
      <c r="B3134" t="str">
        <f>"002408"</f>
        <v>002408</v>
      </c>
      <c r="C3134" t="s">
        <v>6311</v>
      </c>
      <c r="D3134" t="s">
        <v>70</v>
      </c>
      <c r="F3134">
        <v>-3729552418</v>
      </c>
      <c r="G3134">
        <v>-771462854</v>
      </c>
      <c r="H3134">
        <v>-155369188</v>
      </c>
      <c r="I3134">
        <v>591150765</v>
      </c>
      <c r="J3134">
        <v>183577227</v>
      </c>
      <c r="K3134">
        <v>191717291</v>
      </c>
      <c r="L3134">
        <v>-487723686</v>
      </c>
      <c r="M3134">
        <v>-355515272</v>
      </c>
      <c r="N3134">
        <v>-448849195</v>
      </c>
      <c r="O3134">
        <v>-1410834438</v>
      </c>
      <c r="P3134">
        <v>317</v>
      </c>
      <c r="Q3134" t="s">
        <v>6312</v>
      </c>
    </row>
    <row r="3135" spans="1:17" x14ac:dyDescent="0.3">
      <c r="A3135" t="s">
        <v>4446</v>
      </c>
      <c r="B3135" t="str">
        <f>"002409"</f>
        <v>002409</v>
      </c>
      <c r="C3135" t="s">
        <v>6313</v>
      </c>
      <c r="D3135" t="s">
        <v>150</v>
      </c>
      <c r="F3135">
        <v>-223028122</v>
      </c>
      <c r="G3135">
        <v>-367224948</v>
      </c>
      <c r="H3135">
        <v>137092631</v>
      </c>
      <c r="I3135">
        <v>150687677</v>
      </c>
      <c r="J3135">
        <v>-67895688</v>
      </c>
      <c r="K3135">
        <v>22875296</v>
      </c>
      <c r="L3135">
        <v>24424174</v>
      </c>
      <c r="M3135">
        <v>88834824</v>
      </c>
      <c r="N3135">
        <v>-58151493</v>
      </c>
      <c r="O3135">
        <v>6400434</v>
      </c>
      <c r="P3135">
        <v>496</v>
      </c>
      <c r="Q3135" t="s">
        <v>6314</v>
      </c>
    </row>
    <row r="3136" spans="1:17" x14ac:dyDescent="0.3">
      <c r="A3136" t="s">
        <v>4446</v>
      </c>
      <c r="B3136" t="str">
        <f>"002410"</f>
        <v>002410</v>
      </c>
      <c r="C3136" t="s">
        <v>6315</v>
      </c>
      <c r="D3136" t="s">
        <v>212</v>
      </c>
      <c r="F3136">
        <v>881338017</v>
      </c>
      <c r="G3136">
        <v>1437243054</v>
      </c>
      <c r="H3136">
        <v>398466195</v>
      </c>
      <c r="I3136">
        <v>250285085</v>
      </c>
      <c r="J3136">
        <v>485252428</v>
      </c>
      <c r="K3136">
        <v>53518011</v>
      </c>
      <c r="L3136">
        <v>96376964</v>
      </c>
      <c r="M3136">
        <v>520254121</v>
      </c>
      <c r="N3136">
        <v>543127770</v>
      </c>
      <c r="O3136">
        <v>241565406</v>
      </c>
      <c r="P3136">
        <v>2191</v>
      </c>
      <c r="Q3136" t="s">
        <v>6316</v>
      </c>
    </row>
    <row r="3137" spans="1:17" x14ac:dyDescent="0.3">
      <c r="A3137" t="s">
        <v>4446</v>
      </c>
      <c r="B3137" t="str">
        <f>"002411"</f>
        <v>002411</v>
      </c>
      <c r="C3137" t="s">
        <v>6317</v>
      </c>
      <c r="D3137" t="s">
        <v>113</v>
      </c>
      <c r="G3137">
        <v>759138276</v>
      </c>
      <c r="H3137">
        <v>-700541812</v>
      </c>
      <c r="I3137">
        <v>-1292364367</v>
      </c>
      <c r="J3137">
        <v>-3358712822</v>
      </c>
      <c r="K3137">
        <v>-591539908</v>
      </c>
      <c r="L3137">
        <v>-1005610789</v>
      </c>
      <c r="M3137">
        <v>-185185593</v>
      </c>
      <c r="N3137">
        <v>-115195393</v>
      </c>
      <c r="O3137">
        <v>-201688067</v>
      </c>
      <c r="P3137">
        <v>244</v>
      </c>
      <c r="Q3137" t="s">
        <v>6318</v>
      </c>
    </row>
    <row r="3138" spans="1:17" x14ac:dyDescent="0.3">
      <c r="A3138" t="s">
        <v>4446</v>
      </c>
      <c r="B3138" t="str">
        <f>"002412"</f>
        <v>002412</v>
      </c>
      <c r="C3138" t="s">
        <v>6319</v>
      </c>
      <c r="D3138" t="s">
        <v>113</v>
      </c>
      <c r="F3138">
        <v>-16753347</v>
      </c>
      <c r="G3138">
        <v>34665713</v>
      </c>
      <c r="H3138">
        <v>132225684</v>
      </c>
      <c r="I3138">
        <v>160186655</v>
      </c>
      <c r="J3138">
        <v>67687829</v>
      </c>
      <c r="K3138">
        <v>127108969</v>
      </c>
      <c r="L3138">
        <v>-5640335</v>
      </c>
      <c r="M3138">
        <v>18629306</v>
      </c>
      <c r="N3138">
        <v>-32302009</v>
      </c>
      <c r="O3138">
        <v>-19546743</v>
      </c>
      <c r="P3138">
        <v>155</v>
      </c>
      <c r="Q3138" t="s">
        <v>6320</v>
      </c>
    </row>
    <row r="3139" spans="1:17" x14ac:dyDescent="0.3">
      <c r="A3139" t="s">
        <v>4446</v>
      </c>
      <c r="B3139" t="str">
        <f>"002413"</f>
        <v>002413</v>
      </c>
      <c r="C3139" t="s">
        <v>6321</v>
      </c>
      <c r="D3139" t="s">
        <v>92</v>
      </c>
      <c r="F3139">
        <v>-279415430</v>
      </c>
      <c r="G3139">
        <v>-60590359</v>
      </c>
      <c r="H3139">
        <v>-41280649</v>
      </c>
      <c r="I3139">
        <v>-101914333</v>
      </c>
      <c r="J3139">
        <v>-231938339</v>
      </c>
      <c r="K3139">
        <v>-251611102</v>
      </c>
      <c r="L3139">
        <v>-181392302</v>
      </c>
      <c r="M3139">
        <v>96159288</v>
      </c>
      <c r="N3139">
        <v>-74260431</v>
      </c>
      <c r="O3139">
        <v>-42058853</v>
      </c>
      <c r="P3139">
        <v>218</v>
      </c>
      <c r="Q3139" t="s">
        <v>6322</v>
      </c>
    </row>
    <row r="3140" spans="1:17" x14ac:dyDescent="0.3">
      <c r="A3140" t="s">
        <v>4446</v>
      </c>
      <c r="B3140" t="str">
        <f>"002414"</f>
        <v>002414</v>
      </c>
      <c r="C3140" t="s">
        <v>6323</v>
      </c>
      <c r="D3140" t="s">
        <v>92</v>
      </c>
      <c r="F3140">
        <v>706505425</v>
      </c>
      <c r="G3140">
        <v>-283698461</v>
      </c>
      <c r="H3140">
        <v>219169084</v>
      </c>
      <c r="I3140">
        <v>194802371</v>
      </c>
      <c r="J3140">
        <v>-169752069</v>
      </c>
      <c r="K3140">
        <v>-292520604</v>
      </c>
      <c r="L3140">
        <v>-80749795</v>
      </c>
      <c r="M3140">
        <v>-218461315</v>
      </c>
      <c r="N3140">
        <v>-295010679</v>
      </c>
      <c r="O3140">
        <v>-425749873</v>
      </c>
      <c r="P3140">
        <v>790</v>
      </c>
      <c r="Q3140" t="s">
        <v>6324</v>
      </c>
    </row>
    <row r="3141" spans="1:17" x14ac:dyDescent="0.3">
      <c r="A3141" t="s">
        <v>4446</v>
      </c>
      <c r="B3141" t="str">
        <f>"002415"</f>
        <v>002415</v>
      </c>
      <c r="C3141" t="s">
        <v>6325</v>
      </c>
      <c r="D3141" t="s">
        <v>212</v>
      </c>
      <c r="F3141">
        <v>9674644786</v>
      </c>
      <c r="G3141">
        <v>14099321475</v>
      </c>
      <c r="H3141">
        <v>5925781065</v>
      </c>
      <c r="I3141">
        <v>7076125810</v>
      </c>
      <c r="J3141">
        <v>5704053341</v>
      </c>
      <c r="K3141">
        <v>5321720450</v>
      </c>
      <c r="L3141">
        <v>1899669031</v>
      </c>
      <c r="M3141">
        <v>3101472372</v>
      </c>
      <c r="N3141">
        <v>1473742711</v>
      </c>
      <c r="O3141">
        <v>958067596</v>
      </c>
      <c r="P3141">
        <v>63223</v>
      </c>
      <c r="Q3141" t="s">
        <v>6326</v>
      </c>
    </row>
    <row r="3142" spans="1:17" x14ac:dyDescent="0.3">
      <c r="A3142" t="s">
        <v>4446</v>
      </c>
      <c r="B3142" t="str">
        <f>"002416"</f>
        <v>002416</v>
      </c>
      <c r="C3142" t="s">
        <v>6327</v>
      </c>
      <c r="D3142" t="s">
        <v>120</v>
      </c>
      <c r="F3142">
        <v>-3353381656</v>
      </c>
      <c r="G3142">
        <v>1608749913</v>
      </c>
      <c r="H3142">
        <v>1681137435</v>
      </c>
      <c r="I3142">
        <v>474172536</v>
      </c>
      <c r="J3142">
        <v>-1556112035</v>
      </c>
      <c r="K3142">
        <v>1388440178</v>
      </c>
      <c r="L3142">
        <v>253727489</v>
      </c>
      <c r="M3142">
        <v>-33676545</v>
      </c>
      <c r="N3142">
        <v>711387562</v>
      </c>
      <c r="O3142">
        <v>23752693</v>
      </c>
      <c r="P3142">
        <v>252</v>
      </c>
      <c r="Q3142" t="s">
        <v>6328</v>
      </c>
    </row>
    <row r="3143" spans="1:17" x14ac:dyDescent="0.3">
      <c r="A3143" t="s">
        <v>4446</v>
      </c>
      <c r="B3143" t="str">
        <f>"002417"</f>
        <v>002417</v>
      </c>
      <c r="C3143" t="s">
        <v>6329</v>
      </c>
      <c r="D3143" t="s">
        <v>212</v>
      </c>
      <c r="F3143">
        <v>-20059918</v>
      </c>
      <c r="G3143">
        <v>17720615</v>
      </c>
      <c r="H3143">
        <v>9161998</v>
      </c>
      <c r="I3143">
        <v>136437411</v>
      </c>
      <c r="J3143">
        <v>93414872</v>
      </c>
      <c r="K3143">
        <v>67744294</v>
      </c>
      <c r="L3143">
        <v>-81185647</v>
      </c>
      <c r="M3143">
        <v>-26257800</v>
      </c>
      <c r="N3143">
        <v>-53769842</v>
      </c>
      <c r="O3143">
        <v>-230869268</v>
      </c>
      <c r="P3143">
        <v>140</v>
      </c>
      <c r="Q3143" t="s">
        <v>6330</v>
      </c>
    </row>
    <row r="3144" spans="1:17" x14ac:dyDescent="0.3">
      <c r="A3144" t="s">
        <v>4446</v>
      </c>
      <c r="B3144" t="str">
        <f>"002418"</f>
        <v>002418</v>
      </c>
      <c r="C3144" t="s">
        <v>6331</v>
      </c>
      <c r="D3144" t="s">
        <v>126</v>
      </c>
      <c r="F3144">
        <v>161989102</v>
      </c>
      <c r="G3144">
        <v>337013697</v>
      </c>
      <c r="H3144">
        <v>32542059</v>
      </c>
      <c r="I3144">
        <v>-581007632</v>
      </c>
      <c r="J3144">
        <v>-1793781044</v>
      </c>
      <c r="K3144">
        <v>-2423938128</v>
      </c>
      <c r="L3144">
        <v>-50630867</v>
      </c>
      <c r="M3144">
        <v>71495622</v>
      </c>
      <c r="N3144">
        <v>37245822</v>
      </c>
      <c r="O3144">
        <v>-179452364</v>
      </c>
      <c r="P3144">
        <v>94</v>
      </c>
      <c r="Q3144" t="s">
        <v>6332</v>
      </c>
    </row>
    <row r="3145" spans="1:17" x14ac:dyDescent="0.3">
      <c r="A3145" t="s">
        <v>4446</v>
      </c>
      <c r="B3145" t="str">
        <f>"002419"</f>
        <v>002419</v>
      </c>
      <c r="C3145" t="s">
        <v>6333</v>
      </c>
      <c r="D3145" t="s">
        <v>120</v>
      </c>
      <c r="F3145">
        <v>1991590108</v>
      </c>
      <c r="G3145">
        <v>197196293</v>
      </c>
      <c r="H3145">
        <v>760382606</v>
      </c>
      <c r="I3145">
        <v>1646402202</v>
      </c>
      <c r="J3145">
        <v>383083723</v>
      </c>
      <c r="K3145">
        <v>888282052</v>
      </c>
      <c r="L3145">
        <v>2051560313</v>
      </c>
      <c r="M3145">
        <v>-54711431</v>
      </c>
      <c r="N3145">
        <v>-275173759</v>
      </c>
      <c r="O3145">
        <v>108488616</v>
      </c>
      <c r="P3145">
        <v>421</v>
      </c>
      <c r="Q3145" t="s">
        <v>6334</v>
      </c>
    </row>
    <row r="3146" spans="1:17" x14ac:dyDescent="0.3">
      <c r="A3146" t="s">
        <v>4446</v>
      </c>
      <c r="B3146" t="str">
        <f>"002420"</f>
        <v>002420</v>
      </c>
      <c r="C3146" t="s">
        <v>6335</v>
      </c>
      <c r="D3146" t="s">
        <v>126</v>
      </c>
      <c r="F3146">
        <v>-14509245</v>
      </c>
      <c r="G3146">
        <v>-138557917</v>
      </c>
      <c r="H3146">
        <v>189405505</v>
      </c>
      <c r="I3146">
        <v>389628921</v>
      </c>
      <c r="J3146">
        <v>-57745917</v>
      </c>
      <c r="K3146">
        <v>212515126</v>
      </c>
      <c r="L3146">
        <v>-138128814</v>
      </c>
      <c r="M3146">
        <v>-36552261</v>
      </c>
      <c r="N3146">
        <v>-63764882</v>
      </c>
      <c r="O3146">
        <v>22036475</v>
      </c>
      <c r="P3146">
        <v>82</v>
      </c>
      <c r="Q3146" t="s">
        <v>6336</v>
      </c>
    </row>
    <row r="3147" spans="1:17" x14ac:dyDescent="0.3">
      <c r="A3147" t="s">
        <v>4446</v>
      </c>
      <c r="B3147" t="str">
        <f>"002421"</f>
        <v>002421</v>
      </c>
      <c r="C3147" t="s">
        <v>6337</v>
      </c>
      <c r="D3147" t="s">
        <v>212</v>
      </c>
      <c r="F3147">
        <v>-693959972</v>
      </c>
      <c r="G3147">
        <v>-305483971</v>
      </c>
      <c r="H3147">
        <v>-50065027</v>
      </c>
      <c r="I3147">
        <v>-653744839</v>
      </c>
      <c r="J3147">
        <v>6628697</v>
      </c>
      <c r="K3147">
        <v>-76750521</v>
      </c>
      <c r="L3147">
        <v>1464767</v>
      </c>
      <c r="M3147">
        <v>-55822691</v>
      </c>
      <c r="N3147">
        <v>-23229013</v>
      </c>
      <c r="O3147">
        <v>80215835</v>
      </c>
      <c r="P3147">
        <v>199</v>
      </c>
      <c r="Q3147" t="s">
        <v>6338</v>
      </c>
    </row>
    <row r="3148" spans="1:17" x14ac:dyDescent="0.3">
      <c r="A3148" t="s">
        <v>4446</v>
      </c>
      <c r="B3148" t="str">
        <f>"002422"</f>
        <v>002422</v>
      </c>
      <c r="C3148" t="s">
        <v>6339</v>
      </c>
      <c r="D3148" t="s">
        <v>113</v>
      </c>
      <c r="F3148">
        <v>1864538436</v>
      </c>
      <c r="G3148">
        <v>994577543</v>
      </c>
      <c r="H3148">
        <v>919709994</v>
      </c>
      <c r="I3148">
        <v>1635911493</v>
      </c>
      <c r="J3148">
        <v>-346986997</v>
      </c>
      <c r="K3148">
        <v>356649115</v>
      </c>
      <c r="L3148">
        <v>-596624307</v>
      </c>
      <c r="M3148">
        <v>-1525041488</v>
      </c>
      <c r="N3148">
        <v>-1150414712</v>
      </c>
      <c r="O3148">
        <v>-2357311111</v>
      </c>
      <c r="P3148">
        <v>927</v>
      </c>
      <c r="Q3148" t="s">
        <v>6340</v>
      </c>
    </row>
    <row r="3149" spans="1:17" x14ac:dyDescent="0.3">
      <c r="A3149" t="s">
        <v>4446</v>
      </c>
      <c r="B3149" t="str">
        <f>"002423"</f>
        <v>002423</v>
      </c>
      <c r="C3149" t="s">
        <v>6341</v>
      </c>
      <c r="D3149" t="s">
        <v>75</v>
      </c>
      <c r="F3149">
        <v>9096831460</v>
      </c>
      <c r="G3149">
        <v>6249329108</v>
      </c>
      <c r="H3149">
        <v>4726009276</v>
      </c>
      <c r="I3149">
        <v>-101951355</v>
      </c>
      <c r="J3149">
        <v>-64684221</v>
      </c>
      <c r="K3149">
        <v>-141318271</v>
      </c>
      <c r="L3149">
        <v>-337033221</v>
      </c>
      <c r="M3149">
        <v>-335760648</v>
      </c>
      <c r="N3149">
        <v>-188257696</v>
      </c>
      <c r="O3149">
        <v>-123336417</v>
      </c>
      <c r="P3149">
        <v>145</v>
      </c>
      <c r="Q3149" t="s">
        <v>6342</v>
      </c>
    </row>
    <row r="3150" spans="1:17" x14ac:dyDescent="0.3">
      <c r="A3150" t="s">
        <v>4446</v>
      </c>
      <c r="B3150" t="str">
        <f>"002424"</f>
        <v>002424</v>
      </c>
      <c r="C3150" t="s">
        <v>6343</v>
      </c>
      <c r="D3150" t="s">
        <v>113</v>
      </c>
      <c r="F3150">
        <v>-100681845</v>
      </c>
      <c r="G3150">
        <v>141909027</v>
      </c>
      <c r="H3150">
        <v>345508090</v>
      </c>
      <c r="I3150">
        <v>-286235364</v>
      </c>
      <c r="J3150">
        <v>-60009891</v>
      </c>
      <c r="K3150">
        <v>307391447</v>
      </c>
      <c r="L3150">
        <v>292229514</v>
      </c>
      <c r="M3150">
        <v>325745581</v>
      </c>
      <c r="N3150">
        <v>53213448</v>
      </c>
      <c r="O3150">
        <v>-160642864</v>
      </c>
      <c r="P3150">
        <v>472</v>
      </c>
      <c r="Q3150" t="s">
        <v>6344</v>
      </c>
    </row>
    <row r="3151" spans="1:17" x14ac:dyDescent="0.3">
      <c r="A3151" t="s">
        <v>4446</v>
      </c>
      <c r="B3151" t="str">
        <f>"002425"</f>
        <v>002425</v>
      </c>
      <c r="C3151" t="s">
        <v>6345</v>
      </c>
      <c r="D3151" t="s">
        <v>89</v>
      </c>
      <c r="F3151">
        <v>-91025360</v>
      </c>
      <c r="G3151">
        <v>98703911</v>
      </c>
      <c r="H3151">
        <v>127867193</v>
      </c>
      <c r="I3151">
        <v>11081534</v>
      </c>
      <c r="J3151">
        <v>-60395062</v>
      </c>
      <c r="K3151">
        <v>164463832</v>
      </c>
      <c r="L3151">
        <v>40337438</v>
      </c>
      <c r="M3151">
        <v>57649206</v>
      </c>
      <c r="N3151">
        <v>49876706</v>
      </c>
      <c r="O3151">
        <v>-59636228</v>
      </c>
      <c r="P3151">
        <v>257</v>
      </c>
      <c r="Q3151" t="s">
        <v>6346</v>
      </c>
    </row>
    <row r="3152" spans="1:17" x14ac:dyDescent="0.3">
      <c r="A3152" t="s">
        <v>4446</v>
      </c>
      <c r="B3152" t="str">
        <f>"002426"</f>
        <v>002426</v>
      </c>
      <c r="C3152" t="s">
        <v>6347</v>
      </c>
      <c r="D3152" t="s">
        <v>78</v>
      </c>
      <c r="F3152">
        <v>-402336060</v>
      </c>
      <c r="G3152">
        <v>399858018</v>
      </c>
      <c r="H3152">
        <v>287672397</v>
      </c>
      <c r="I3152">
        <v>-842689373</v>
      </c>
      <c r="J3152">
        <v>-1639883592</v>
      </c>
      <c r="K3152">
        <v>-1625932462</v>
      </c>
      <c r="L3152">
        <v>-1464655242</v>
      </c>
      <c r="M3152">
        <v>-690015638</v>
      </c>
      <c r="N3152">
        <v>-202593390</v>
      </c>
      <c r="O3152">
        <v>-51469397</v>
      </c>
      <c r="P3152">
        <v>207</v>
      </c>
      <c r="Q3152" t="s">
        <v>6348</v>
      </c>
    </row>
    <row r="3153" spans="1:17" x14ac:dyDescent="0.3">
      <c r="A3153" t="s">
        <v>4446</v>
      </c>
      <c r="B3153" t="str">
        <f>"002427"</f>
        <v>002427</v>
      </c>
      <c r="C3153" t="s">
        <v>6349</v>
      </c>
      <c r="D3153" t="s">
        <v>133</v>
      </c>
      <c r="F3153">
        <v>-4410023</v>
      </c>
      <c r="G3153">
        <v>94807229</v>
      </c>
      <c r="H3153">
        <v>259782877</v>
      </c>
      <c r="I3153">
        <v>-553070168</v>
      </c>
      <c r="J3153">
        <v>-481135241</v>
      </c>
      <c r="K3153">
        <v>169864185</v>
      </c>
      <c r="L3153">
        <v>-28406137</v>
      </c>
      <c r="M3153">
        <v>332705314</v>
      </c>
      <c r="N3153">
        <v>-354707920</v>
      </c>
      <c r="O3153">
        <v>-530984503</v>
      </c>
      <c r="P3153">
        <v>82</v>
      </c>
      <c r="Q3153" t="s">
        <v>6350</v>
      </c>
    </row>
    <row r="3154" spans="1:17" x14ac:dyDescent="0.3">
      <c r="A3154" t="s">
        <v>4446</v>
      </c>
      <c r="B3154" t="str">
        <f>"002428"</f>
        <v>002428</v>
      </c>
      <c r="C3154" t="s">
        <v>6351</v>
      </c>
      <c r="D3154" t="s">
        <v>234</v>
      </c>
      <c r="F3154">
        <v>20508396</v>
      </c>
      <c r="G3154">
        <v>-61798023</v>
      </c>
      <c r="H3154">
        <v>-133987545</v>
      </c>
      <c r="I3154">
        <v>12047457</v>
      </c>
      <c r="J3154">
        <v>70788172</v>
      </c>
      <c r="K3154">
        <v>87712674</v>
      </c>
      <c r="L3154">
        <v>-141455592</v>
      </c>
      <c r="M3154">
        <v>-170138096</v>
      </c>
      <c r="N3154">
        <v>-16343786</v>
      </c>
      <c r="O3154">
        <v>-468336176</v>
      </c>
      <c r="P3154">
        <v>186</v>
      </c>
      <c r="Q3154" t="s">
        <v>6352</v>
      </c>
    </row>
    <row r="3155" spans="1:17" x14ac:dyDescent="0.3">
      <c r="A3155" t="s">
        <v>4446</v>
      </c>
      <c r="B3155" t="str">
        <f>"002429"</f>
        <v>002429</v>
      </c>
      <c r="C3155" t="s">
        <v>6353</v>
      </c>
      <c r="D3155" t="s">
        <v>126</v>
      </c>
      <c r="F3155">
        <v>70546680</v>
      </c>
      <c r="G3155">
        <v>-2083367568</v>
      </c>
      <c r="H3155">
        <v>-3708074736</v>
      </c>
      <c r="I3155">
        <v>-547305140</v>
      </c>
      <c r="J3155">
        <v>-1428639924</v>
      </c>
      <c r="K3155">
        <v>400427702</v>
      </c>
      <c r="L3155">
        <v>-124874200</v>
      </c>
      <c r="M3155">
        <v>601809583</v>
      </c>
      <c r="N3155">
        <v>-185110219</v>
      </c>
      <c r="O3155">
        <v>266230396</v>
      </c>
      <c r="P3155">
        <v>454</v>
      </c>
      <c r="Q3155" t="s">
        <v>6354</v>
      </c>
    </row>
    <row r="3156" spans="1:17" x14ac:dyDescent="0.3">
      <c r="A3156" t="s">
        <v>4446</v>
      </c>
      <c r="B3156" t="str">
        <f>"002430"</f>
        <v>002430</v>
      </c>
      <c r="C3156" t="s">
        <v>6355</v>
      </c>
      <c r="D3156" t="s">
        <v>78</v>
      </c>
      <c r="F3156">
        <v>211861173</v>
      </c>
      <c r="G3156">
        <v>202754010</v>
      </c>
      <c r="H3156">
        <v>227723996</v>
      </c>
      <c r="I3156">
        <v>895993288</v>
      </c>
      <c r="J3156">
        <v>784440238</v>
      </c>
      <c r="K3156">
        <v>-678176282</v>
      </c>
      <c r="L3156">
        <v>108189721</v>
      </c>
      <c r="M3156">
        <v>-450445366</v>
      </c>
      <c r="N3156">
        <v>-979517335</v>
      </c>
      <c r="O3156">
        <v>-1272745490</v>
      </c>
      <c r="P3156">
        <v>395</v>
      </c>
      <c r="Q3156" t="s">
        <v>6356</v>
      </c>
    </row>
    <row r="3157" spans="1:17" x14ac:dyDescent="0.3">
      <c r="A3157" t="s">
        <v>4446</v>
      </c>
      <c r="B3157" t="str">
        <f>"002431"</f>
        <v>002431</v>
      </c>
      <c r="C3157" t="s">
        <v>6357</v>
      </c>
      <c r="D3157" t="s">
        <v>95</v>
      </c>
      <c r="F3157">
        <v>-354457742</v>
      </c>
      <c r="G3157">
        <v>-144682008</v>
      </c>
      <c r="H3157">
        <v>-398712178</v>
      </c>
      <c r="I3157">
        <v>73745741</v>
      </c>
      <c r="J3157">
        <v>158349720</v>
      </c>
      <c r="K3157">
        <v>-140271327</v>
      </c>
      <c r="L3157">
        <v>-683601674</v>
      </c>
      <c r="M3157">
        <v>-291191099</v>
      </c>
      <c r="N3157">
        <v>-274215273</v>
      </c>
      <c r="O3157">
        <v>-556175586</v>
      </c>
      <c r="P3157">
        <v>124</v>
      </c>
      <c r="Q3157" t="s">
        <v>6358</v>
      </c>
    </row>
    <row r="3158" spans="1:17" x14ac:dyDescent="0.3">
      <c r="A3158" t="s">
        <v>4446</v>
      </c>
      <c r="B3158" t="str">
        <f>"002432"</f>
        <v>002432</v>
      </c>
      <c r="C3158" t="s">
        <v>6359</v>
      </c>
      <c r="D3158" t="s">
        <v>113</v>
      </c>
      <c r="F3158">
        <v>222771566</v>
      </c>
      <c r="G3158">
        <v>407867534</v>
      </c>
      <c r="H3158">
        <v>-103710534</v>
      </c>
      <c r="I3158">
        <v>-283797981</v>
      </c>
      <c r="J3158">
        <v>-148367803</v>
      </c>
      <c r="K3158">
        <v>-106077421</v>
      </c>
      <c r="L3158">
        <v>-161051419</v>
      </c>
      <c r="M3158">
        <v>-127052409</v>
      </c>
      <c r="N3158">
        <v>-135052488</v>
      </c>
      <c r="O3158">
        <v>-38446047</v>
      </c>
      <c r="P3158">
        <v>282</v>
      </c>
      <c r="Q3158" t="s">
        <v>6360</v>
      </c>
    </row>
    <row r="3159" spans="1:17" x14ac:dyDescent="0.3">
      <c r="A3159" t="s">
        <v>4446</v>
      </c>
      <c r="B3159" t="str">
        <f>"002433"</f>
        <v>002433</v>
      </c>
      <c r="C3159" t="s">
        <v>6361</v>
      </c>
      <c r="D3159" t="s">
        <v>113</v>
      </c>
      <c r="G3159">
        <v>-306893211</v>
      </c>
      <c r="H3159">
        <v>216501982</v>
      </c>
      <c r="I3159">
        <v>-82218734</v>
      </c>
      <c r="J3159">
        <v>-595764359</v>
      </c>
      <c r="K3159">
        <v>-688000694</v>
      </c>
      <c r="L3159">
        <v>-1631007152</v>
      </c>
      <c r="M3159">
        <v>-465789397</v>
      </c>
      <c r="N3159">
        <v>-482182522</v>
      </c>
      <c r="O3159">
        <v>-205918212</v>
      </c>
      <c r="P3159">
        <v>235</v>
      </c>
      <c r="Q3159" t="s">
        <v>6362</v>
      </c>
    </row>
    <row r="3160" spans="1:17" x14ac:dyDescent="0.3">
      <c r="A3160" t="s">
        <v>4446</v>
      </c>
      <c r="B3160" t="str">
        <f>"002434"</f>
        <v>002434</v>
      </c>
      <c r="C3160" t="s">
        <v>6363</v>
      </c>
      <c r="D3160" t="s">
        <v>27</v>
      </c>
      <c r="F3160">
        <v>100454766</v>
      </c>
      <c r="G3160">
        <v>589140528</v>
      </c>
      <c r="H3160">
        <v>267165157</v>
      </c>
      <c r="I3160">
        <v>-84004084</v>
      </c>
      <c r="J3160">
        <v>-330748049</v>
      </c>
      <c r="K3160">
        <v>-427883349</v>
      </c>
      <c r="L3160">
        <v>21730695</v>
      </c>
      <c r="M3160">
        <v>122434694</v>
      </c>
      <c r="N3160">
        <v>11599820</v>
      </c>
      <c r="O3160">
        <v>-159444007</v>
      </c>
      <c r="P3160">
        <v>238</v>
      </c>
      <c r="Q3160" t="s">
        <v>6364</v>
      </c>
    </row>
    <row r="3161" spans="1:17" x14ac:dyDescent="0.3">
      <c r="A3161" t="s">
        <v>4446</v>
      </c>
      <c r="B3161" t="str">
        <f>"002435"</f>
        <v>002435</v>
      </c>
      <c r="C3161" t="s">
        <v>6365</v>
      </c>
      <c r="D3161" t="s">
        <v>113</v>
      </c>
      <c r="F3161">
        <v>202057199</v>
      </c>
      <c r="G3161">
        <v>120644368</v>
      </c>
      <c r="H3161">
        <v>279213266</v>
      </c>
      <c r="I3161">
        <v>194743352</v>
      </c>
      <c r="J3161">
        <v>383590964</v>
      </c>
      <c r="K3161">
        <v>509765290</v>
      </c>
      <c r="L3161">
        <v>-61087171</v>
      </c>
      <c r="M3161">
        <v>-21758943</v>
      </c>
      <c r="N3161">
        <v>-92690721</v>
      </c>
      <c r="O3161">
        <v>39843369</v>
      </c>
      <c r="P3161">
        <v>139</v>
      </c>
      <c r="Q3161" t="s">
        <v>6366</v>
      </c>
    </row>
    <row r="3162" spans="1:17" x14ac:dyDescent="0.3">
      <c r="A3162" t="s">
        <v>4446</v>
      </c>
      <c r="B3162" t="str">
        <f>"002436"</f>
        <v>002436</v>
      </c>
      <c r="C3162" t="s">
        <v>6367</v>
      </c>
      <c r="D3162" t="s">
        <v>150</v>
      </c>
      <c r="F3162">
        <v>-489546436</v>
      </c>
      <c r="G3162">
        <v>-59956387</v>
      </c>
      <c r="H3162">
        <v>159869506</v>
      </c>
      <c r="I3162">
        <v>64909245</v>
      </c>
      <c r="J3162">
        <v>285159124</v>
      </c>
      <c r="K3162">
        <v>85771957</v>
      </c>
      <c r="L3162">
        <v>-351097280</v>
      </c>
      <c r="M3162">
        <v>75022888</v>
      </c>
      <c r="N3162">
        <v>-71251315</v>
      </c>
      <c r="O3162">
        <v>-312515812</v>
      </c>
      <c r="P3162">
        <v>563</v>
      </c>
      <c r="Q3162" t="s">
        <v>6368</v>
      </c>
    </row>
    <row r="3163" spans="1:17" x14ac:dyDescent="0.3">
      <c r="A3163" t="s">
        <v>4446</v>
      </c>
      <c r="B3163" t="str">
        <f>"002437"</f>
        <v>002437</v>
      </c>
      <c r="C3163" t="s">
        <v>6369</v>
      </c>
      <c r="D3163" t="s">
        <v>113</v>
      </c>
      <c r="F3163">
        <v>242710828</v>
      </c>
      <c r="G3163">
        <v>-25026391</v>
      </c>
      <c r="H3163">
        <v>569340192</v>
      </c>
      <c r="I3163">
        <v>1186698818</v>
      </c>
      <c r="J3163">
        <v>461148251</v>
      </c>
      <c r="K3163">
        <v>856064336</v>
      </c>
      <c r="L3163">
        <v>420523830</v>
      </c>
      <c r="M3163">
        <v>549539559</v>
      </c>
      <c r="N3163">
        <v>289955425</v>
      </c>
      <c r="O3163">
        <v>61559375</v>
      </c>
      <c r="P3163">
        <v>189</v>
      </c>
      <c r="Q3163" t="s">
        <v>6370</v>
      </c>
    </row>
    <row r="3164" spans="1:17" x14ac:dyDescent="0.3">
      <c r="A3164" t="s">
        <v>4446</v>
      </c>
      <c r="B3164" t="str">
        <f>"002438"</f>
        <v>002438</v>
      </c>
      <c r="C3164" t="s">
        <v>6371</v>
      </c>
      <c r="D3164" t="s">
        <v>78</v>
      </c>
      <c r="F3164">
        <v>-273628552</v>
      </c>
      <c r="G3164">
        <v>52851298</v>
      </c>
      <c r="H3164">
        <v>56838378</v>
      </c>
      <c r="I3164">
        <v>30731843</v>
      </c>
      <c r="J3164">
        <v>76417554</v>
      </c>
      <c r="K3164">
        <v>-46213128</v>
      </c>
      <c r="L3164">
        <v>-136072430</v>
      </c>
      <c r="M3164">
        <v>-48202826</v>
      </c>
      <c r="N3164">
        <v>-14903905</v>
      </c>
      <c r="O3164">
        <v>-88643369</v>
      </c>
      <c r="P3164">
        <v>186</v>
      </c>
      <c r="Q3164" t="s">
        <v>6372</v>
      </c>
    </row>
    <row r="3165" spans="1:17" x14ac:dyDescent="0.3">
      <c r="A3165" t="s">
        <v>4446</v>
      </c>
      <c r="B3165" t="str">
        <f>"002439"</f>
        <v>002439</v>
      </c>
      <c r="C3165" t="s">
        <v>6373</v>
      </c>
      <c r="D3165" t="s">
        <v>212</v>
      </c>
      <c r="F3165">
        <v>-129804206</v>
      </c>
      <c r="G3165">
        <v>430973545</v>
      </c>
      <c r="H3165">
        <v>329144967</v>
      </c>
      <c r="I3165">
        <v>185858793</v>
      </c>
      <c r="J3165">
        <v>145911257</v>
      </c>
      <c r="K3165">
        <v>-64367476</v>
      </c>
      <c r="L3165">
        <v>331938966</v>
      </c>
      <c r="M3165">
        <v>299758195</v>
      </c>
      <c r="N3165">
        <v>189950798</v>
      </c>
      <c r="O3165">
        <v>62217056</v>
      </c>
      <c r="P3165">
        <v>1190</v>
      </c>
      <c r="Q3165" t="s">
        <v>6374</v>
      </c>
    </row>
    <row r="3166" spans="1:17" x14ac:dyDescent="0.3">
      <c r="A3166" t="s">
        <v>4446</v>
      </c>
      <c r="B3166" t="str">
        <f>"002440"</f>
        <v>002440</v>
      </c>
      <c r="C3166" t="s">
        <v>6375</v>
      </c>
      <c r="D3166" t="s">
        <v>133</v>
      </c>
      <c r="F3166">
        <v>343858302</v>
      </c>
      <c r="G3166">
        <v>1428109997</v>
      </c>
      <c r="H3166">
        <v>1622580687</v>
      </c>
      <c r="I3166">
        <v>476799510</v>
      </c>
      <c r="J3166">
        <v>171095896</v>
      </c>
      <c r="K3166">
        <v>831936314</v>
      </c>
      <c r="L3166">
        <v>684579661</v>
      </c>
      <c r="M3166">
        <v>390335367</v>
      </c>
      <c r="N3166">
        <v>-387159202</v>
      </c>
      <c r="O3166">
        <v>189213489</v>
      </c>
      <c r="P3166">
        <v>537</v>
      </c>
      <c r="Q3166" t="s">
        <v>6376</v>
      </c>
    </row>
    <row r="3167" spans="1:17" x14ac:dyDescent="0.3">
      <c r="A3167" t="s">
        <v>4446</v>
      </c>
      <c r="B3167" t="str">
        <f>"002441"</f>
        <v>002441</v>
      </c>
      <c r="C3167" t="s">
        <v>6377</v>
      </c>
      <c r="D3167" t="s">
        <v>188</v>
      </c>
      <c r="F3167">
        <v>-163433867</v>
      </c>
      <c r="G3167">
        <v>883867761</v>
      </c>
      <c r="H3167">
        <v>293218372</v>
      </c>
      <c r="I3167">
        <v>-277347804</v>
      </c>
      <c r="J3167">
        <v>-111736760</v>
      </c>
      <c r="K3167">
        <v>264612426</v>
      </c>
      <c r="L3167">
        <v>-66506232</v>
      </c>
      <c r="M3167">
        <v>20739648</v>
      </c>
      <c r="N3167">
        <v>-182102788</v>
      </c>
      <c r="O3167">
        <v>259043043</v>
      </c>
      <c r="P3167">
        <v>134</v>
      </c>
      <c r="Q3167" t="s">
        <v>6378</v>
      </c>
    </row>
    <row r="3168" spans="1:17" x14ac:dyDescent="0.3">
      <c r="A3168" t="s">
        <v>4446</v>
      </c>
      <c r="B3168" t="str">
        <f>"002442"</f>
        <v>002442</v>
      </c>
      <c r="C3168" t="s">
        <v>6379</v>
      </c>
      <c r="D3168" t="s">
        <v>133</v>
      </c>
      <c r="F3168">
        <v>138272483</v>
      </c>
      <c r="G3168">
        <v>145823972</v>
      </c>
      <c r="H3168">
        <v>309380043</v>
      </c>
      <c r="I3168">
        <v>197073475</v>
      </c>
      <c r="J3168">
        <v>243324468</v>
      </c>
      <c r="K3168">
        <v>304094731</v>
      </c>
      <c r="L3168">
        <v>56668133</v>
      </c>
      <c r="M3168">
        <v>96780145</v>
      </c>
      <c r="N3168">
        <v>136192773</v>
      </c>
      <c r="O3168">
        <v>-434072441</v>
      </c>
      <c r="P3168">
        <v>105</v>
      </c>
      <c r="Q3168" t="s">
        <v>6380</v>
      </c>
    </row>
    <row r="3169" spans="1:17" x14ac:dyDescent="0.3">
      <c r="A3169" t="s">
        <v>4446</v>
      </c>
      <c r="B3169" t="str">
        <f>"002443"</f>
        <v>002443</v>
      </c>
      <c r="C3169" t="s">
        <v>6381</v>
      </c>
      <c r="D3169" t="s">
        <v>38</v>
      </c>
      <c r="F3169">
        <v>94105263</v>
      </c>
      <c r="G3169">
        <v>409245157</v>
      </c>
      <c r="H3169">
        <v>271752429</v>
      </c>
      <c r="I3169">
        <v>-95199551</v>
      </c>
      <c r="J3169">
        <v>-164310919</v>
      </c>
      <c r="K3169">
        <v>-82442547</v>
      </c>
      <c r="L3169">
        <v>274258810</v>
      </c>
      <c r="M3169">
        <v>24656634</v>
      </c>
      <c r="N3169">
        <v>-369272568</v>
      </c>
      <c r="O3169">
        <v>-150827681</v>
      </c>
      <c r="P3169">
        <v>257</v>
      </c>
      <c r="Q3169" t="s">
        <v>6382</v>
      </c>
    </row>
    <row r="3170" spans="1:17" x14ac:dyDescent="0.3">
      <c r="A3170" t="s">
        <v>4446</v>
      </c>
      <c r="B3170" t="str">
        <f>"002444"</f>
        <v>002444</v>
      </c>
      <c r="C3170" t="s">
        <v>6383</v>
      </c>
      <c r="D3170" t="s">
        <v>78</v>
      </c>
      <c r="F3170">
        <v>-472532452</v>
      </c>
      <c r="G3170">
        <v>149651224</v>
      </c>
      <c r="H3170">
        <v>483890443</v>
      </c>
      <c r="I3170">
        <v>653325120</v>
      </c>
      <c r="J3170">
        <v>373878660</v>
      </c>
      <c r="K3170">
        <v>502750551</v>
      </c>
      <c r="L3170">
        <v>397070332</v>
      </c>
      <c r="M3170">
        <v>355463533</v>
      </c>
      <c r="N3170">
        <v>205053233</v>
      </c>
      <c r="O3170">
        <v>295185232</v>
      </c>
      <c r="P3170">
        <v>658</v>
      </c>
      <c r="Q3170" t="s">
        <v>6384</v>
      </c>
    </row>
    <row r="3171" spans="1:17" x14ac:dyDescent="0.3">
      <c r="A3171" t="s">
        <v>4446</v>
      </c>
      <c r="B3171" t="str">
        <f>"002445"</f>
        <v>002445</v>
      </c>
      <c r="C3171" t="s">
        <v>6385</v>
      </c>
      <c r="D3171" t="s">
        <v>89</v>
      </c>
      <c r="F3171">
        <v>-78468033</v>
      </c>
      <c r="G3171">
        <v>125036274</v>
      </c>
      <c r="H3171">
        <v>100024239</v>
      </c>
      <c r="I3171">
        <v>137703100</v>
      </c>
      <c r="J3171">
        <v>-216357374</v>
      </c>
      <c r="K3171">
        <v>93504609</v>
      </c>
      <c r="L3171">
        <v>176850578</v>
      </c>
      <c r="M3171">
        <v>-354195040</v>
      </c>
      <c r="N3171">
        <v>62289379</v>
      </c>
      <c r="O3171">
        <v>-249613469</v>
      </c>
      <c r="P3171">
        <v>110</v>
      </c>
      <c r="Q3171" t="s">
        <v>6386</v>
      </c>
    </row>
    <row r="3172" spans="1:17" x14ac:dyDescent="0.3">
      <c r="A3172" t="s">
        <v>4446</v>
      </c>
      <c r="B3172" t="str">
        <f>"002446"</f>
        <v>002446</v>
      </c>
      <c r="C3172" t="s">
        <v>6387</v>
      </c>
      <c r="D3172" t="s">
        <v>92</v>
      </c>
      <c r="F3172">
        <v>-81028053</v>
      </c>
      <c r="G3172">
        <v>-19105198</v>
      </c>
      <c r="H3172">
        <v>15058744</v>
      </c>
      <c r="I3172">
        <v>-93076415</v>
      </c>
      <c r="J3172">
        <v>-21779339</v>
      </c>
      <c r="K3172">
        <v>25820388</v>
      </c>
      <c r="L3172">
        <v>-15581801</v>
      </c>
      <c r="M3172">
        <v>-71085546</v>
      </c>
      <c r="N3172">
        <v>14248542</v>
      </c>
      <c r="O3172">
        <v>-38192820</v>
      </c>
      <c r="P3172">
        <v>371</v>
      </c>
      <c r="Q3172" t="s">
        <v>6388</v>
      </c>
    </row>
    <row r="3173" spans="1:17" x14ac:dyDescent="0.3">
      <c r="A3173" t="s">
        <v>4446</v>
      </c>
      <c r="B3173" t="str">
        <f>"002447"</f>
        <v>002447</v>
      </c>
      <c r="C3173" t="s">
        <v>6389</v>
      </c>
      <c r="D3173" t="s">
        <v>89</v>
      </c>
      <c r="F3173">
        <v>-835909</v>
      </c>
      <c r="G3173">
        <v>-18956946</v>
      </c>
      <c r="H3173">
        <v>12447679</v>
      </c>
      <c r="I3173">
        <v>-75576725</v>
      </c>
      <c r="J3173">
        <v>229438238</v>
      </c>
      <c r="K3173">
        <v>390529984</v>
      </c>
      <c r="L3173">
        <v>232227049</v>
      </c>
      <c r="M3173">
        <v>-409795715</v>
      </c>
      <c r="N3173">
        <v>-491602596</v>
      </c>
      <c r="O3173">
        <v>-304714114</v>
      </c>
      <c r="P3173">
        <v>92</v>
      </c>
      <c r="Q3173" t="s">
        <v>6390</v>
      </c>
    </row>
    <row r="3174" spans="1:17" x14ac:dyDescent="0.3">
      <c r="A3174" t="s">
        <v>4446</v>
      </c>
      <c r="B3174" t="str">
        <f>"002448"</f>
        <v>002448</v>
      </c>
      <c r="C3174" t="s">
        <v>6391</v>
      </c>
      <c r="D3174" t="s">
        <v>27</v>
      </c>
      <c r="F3174">
        <v>44010863</v>
      </c>
      <c r="G3174">
        <v>6278543</v>
      </c>
      <c r="H3174">
        <v>7138328</v>
      </c>
      <c r="I3174">
        <v>-188079501</v>
      </c>
      <c r="J3174">
        <v>126795455</v>
      </c>
      <c r="K3174">
        <v>187918436</v>
      </c>
      <c r="L3174">
        <v>88168078</v>
      </c>
      <c r="M3174">
        <v>-92787216</v>
      </c>
      <c r="N3174">
        <v>2346022</v>
      </c>
      <c r="O3174">
        <v>90133155</v>
      </c>
      <c r="P3174">
        <v>194</v>
      </c>
      <c r="Q3174" t="s">
        <v>6392</v>
      </c>
    </row>
    <row r="3175" spans="1:17" x14ac:dyDescent="0.3">
      <c r="A3175" t="s">
        <v>4446</v>
      </c>
      <c r="B3175" t="str">
        <f>"002449"</f>
        <v>002449</v>
      </c>
      <c r="C3175" t="s">
        <v>6393</v>
      </c>
      <c r="D3175" t="s">
        <v>150</v>
      </c>
      <c r="F3175">
        <v>361539363</v>
      </c>
      <c r="G3175">
        <v>-11288000</v>
      </c>
      <c r="H3175">
        <v>418933740</v>
      </c>
      <c r="I3175">
        <v>211221557</v>
      </c>
      <c r="J3175">
        <v>181503048</v>
      </c>
      <c r="K3175">
        <v>266322273</v>
      </c>
      <c r="L3175">
        <v>-170343254</v>
      </c>
      <c r="M3175">
        <v>-242436571</v>
      </c>
      <c r="N3175">
        <v>-220016770</v>
      </c>
      <c r="O3175">
        <v>-343187448</v>
      </c>
      <c r="P3175">
        <v>392</v>
      </c>
      <c r="Q3175" t="s">
        <v>6394</v>
      </c>
    </row>
    <row r="3176" spans="1:17" x14ac:dyDescent="0.3">
      <c r="A3176" t="s">
        <v>4446</v>
      </c>
      <c r="B3176" t="str">
        <f>"002450"</f>
        <v>002450</v>
      </c>
      <c r="C3176" t="s">
        <v>6395</v>
      </c>
      <c r="G3176">
        <v>8140565</v>
      </c>
      <c r="H3176">
        <v>-902778039</v>
      </c>
      <c r="I3176">
        <v>-2185632300</v>
      </c>
      <c r="J3176">
        <v>3327198111</v>
      </c>
      <c r="K3176">
        <v>-425071620</v>
      </c>
      <c r="L3176">
        <v>691935129</v>
      </c>
      <c r="M3176">
        <v>161753788</v>
      </c>
      <c r="N3176">
        <v>-1657358354</v>
      </c>
      <c r="O3176">
        <v>-533335666</v>
      </c>
      <c r="P3176">
        <v>1520</v>
      </c>
      <c r="Q3176" t="s">
        <v>6396</v>
      </c>
    </row>
    <row r="3177" spans="1:17" x14ac:dyDescent="0.3">
      <c r="A3177" t="s">
        <v>4446</v>
      </c>
      <c r="B3177" t="str">
        <f>"002451"</f>
        <v>002451</v>
      </c>
      <c r="C3177" t="s">
        <v>6397</v>
      </c>
      <c r="D3177" t="s">
        <v>188</v>
      </c>
      <c r="F3177">
        <v>-419848598</v>
      </c>
      <c r="G3177">
        <v>-42121442</v>
      </c>
      <c r="H3177">
        <v>303155704</v>
      </c>
      <c r="I3177">
        <v>59632844</v>
      </c>
      <c r="J3177">
        <v>67843186</v>
      </c>
      <c r="K3177">
        <v>-17351564</v>
      </c>
      <c r="L3177">
        <v>-83359058</v>
      </c>
      <c r="M3177">
        <v>-75498822</v>
      </c>
      <c r="N3177">
        <v>-175832716</v>
      </c>
      <c r="O3177">
        <v>-172764282</v>
      </c>
      <c r="P3177">
        <v>105</v>
      </c>
      <c r="Q3177" t="s">
        <v>6398</v>
      </c>
    </row>
    <row r="3178" spans="1:17" x14ac:dyDescent="0.3">
      <c r="A3178" t="s">
        <v>4446</v>
      </c>
      <c r="B3178" t="str">
        <f>"002452"</f>
        <v>002452</v>
      </c>
      <c r="C3178" t="s">
        <v>6399</v>
      </c>
      <c r="D3178" t="s">
        <v>188</v>
      </c>
      <c r="F3178">
        <v>308530531</v>
      </c>
      <c r="G3178">
        <v>-292109568</v>
      </c>
      <c r="H3178">
        <v>-143908897</v>
      </c>
      <c r="I3178">
        <v>-84408205</v>
      </c>
      <c r="J3178">
        <v>297725228</v>
      </c>
      <c r="K3178">
        <v>129513469</v>
      </c>
      <c r="L3178">
        <v>-201790428</v>
      </c>
      <c r="M3178">
        <v>41809342</v>
      </c>
      <c r="N3178">
        <v>792070</v>
      </c>
      <c r="O3178">
        <v>-95122142</v>
      </c>
      <c r="P3178">
        <v>173</v>
      </c>
      <c r="Q3178" t="s">
        <v>6400</v>
      </c>
    </row>
    <row r="3179" spans="1:17" x14ac:dyDescent="0.3">
      <c r="A3179" t="s">
        <v>4446</v>
      </c>
      <c r="B3179" t="str">
        <f>"002453"</f>
        <v>002453</v>
      </c>
      <c r="C3179" t="s">
        <v>6401</v>
      </c>
      <c r="D3179" t="s">
        <v>133</v>
      </c>
      <c r="F3179">
        <v>123590336</v>
      </c>
      <c r="G3179">
        <v>156131913</v>
      </c>
      <c r="H3179">
        <v>192371394</v>
      </c>
      <c r="I3179">
        <v>154904936</v>
      </c>
      <c r="J3179">
        <v>124343237</v>
      </c>
      <c r="K3179">
        <v>-179187766</v>
      </c>
      <c r="L3179">
        <v>52445532</v>
      </c>
      <c r="M3179">
        <v>-111004613</v>
      </c>
      <c r="N3179">
        <v>-109812181</v>
      </c>
      <c r="O3179">
        <v>-22818770</v>
      </c>
      <c r="P3179">
        <v>125</v>
      </c>
      <c r="Q3179" t="s">
        <v>6402</v>
      </c>
    </row>
    <row r="3180" spans="1:17" x14ac:dyDescent="0.3">
      <c r="A3180" t="s">
        <v>4446</v>
      </c>
      <c r="B3180" t="str">
        <f>"002454"</f>
        <v>002454</v>
      </c>
      <c r="C3180" t="s">
        <v>6403</v>
      </c>
      <c r="D3180" t="s">
        <v>27</v>
      </c>
      <c r="F3180">
        <v>365872131</v>
      </c>
      <c r="G3180">
        <v>445550311</v>
      </c>
      <c r="H3180">
        <v>338828063</v>
      </c>
      <c r="I3180">
        <v>278444072</v>
      </c>
      <c r="J3180">
        <v>55859427</v>
      </c>
      <c r="K3180">
        <v>16165231</v>
      </c>
      <c r="L3180">
        <v>-38508836</v>
      </c>
      <c r="M3180">
        <v>17241087</v>
      </c>
      <c r="N3180">
        <v>79216137</v>
      </c>
      <c r="O3180">
        <v>-44754500</v>
      </c>
      <c r="P3180">
        <v>191</v>
      </c>
      <c r="Q3180" t="s">
        <v>6404</v>
      </c>
    </row>
    <row r="3181" spans="1:17" x14ac:dyDescent="0.3">
      <c r="A3181" t="s">
        <v>4446</v>
      </c>
      <c r="B3181" t="str">
        <f>"002455"</f>
        <v>002455</v>
      </c>
      <c r="C3181" t="s">
        <v>6405</v>
      </c>
      <c r="D3181" t="s">
        <v>133</v>
      </c>
      <c r="F3181">
        <v>-1276285099</v>
      </c>
      <c r="G3181">
        <v>-753763443</v>
      </c>
      <c r="H3181">
        <v>-241456192</v>
      </c>
      <c r="I3181">
        <v>27039217</v>
      </c>
      <c r="J3181">
        <v>107180584</v>
      </c>
      <c r="K3181">
        <v>105867176</v>
      </c>
      <c r="L3181">
        <v>393311551</v>
      </c>
      <c r="M3181">
        <v>172113883</v>
      </c>
      <c r="N3181">
        <v>-287149625</v>
      </c>
      <c r="O3181">
        <v>-246856701</v>
      </c>
      <c r="P3181">
        <v>209</v>
      </c>
      <c r="Q3181" t="s">
        <v>6406</v>
      </c>
    </row>
    <row r="3182" spans="1:17" x14ac:dyDescent="0.3">
      <c r="A3182" t="s">
        <v>4446</v>
      </c>
      <c r="B3182" t="str">
        <f>"002456"</f>
        <v>002456</v>
      </c>
      <c r="C3182" t="s">
        <v>6407</v>
      </c>
      <c r="D3182" t="s">
        <v>150</v>
      </c>
      <c r="F3182">
        <v>2308589663</v>
      </c>
      <c r="G3182">
        <v>2497323960</v>
      </c>
      <c r="H3182">
        <v>1333110271</v>
      </c>
      <c r="I3182">
        <v>-6058979597</v>
      </c>
      <c r="J3182">
        <v>-2809263839</v>
      </c>
      <c r="K3182">
        <v>-1950235388</v>
      </c>
      <c r="L3182">
        <v>-579001972</v>
      </c>
      <c r="M3182">
        <v>-1281600472</v>
      </c>
      <c r="N3182">
        <v>-1139000394</v>
      </c>
      <c r="O3182">
        <v>-682566882</v>
      </c>
      <c r="P3182">
        <v>1607</v>
      </c>
      <c r="Q3182" t="s">
        <v>6408</v>
      </c>
    </row>
    <row r="3183" spans="1:17" x14ac:dyDescent="0.3">
      <c r="A3183" t="s">
        <v>4446</v>
      </c>
      <c r="B3183" t="str">
        <f>"002457"</f>
        <v>002457</v>
      </c>
      <c r="C3183" t="s">
        <v>6409</v>
      </c>
      <c r="D3183" t="s">
        <v>350</v>
      </c>
      <c r="F3183">
        <v>-206090601</v>
      </c>
      <c r="G3183">
        <v>-48796614</v>
      </c>
      <c r="H3183">
        <v>160861651</v>
      </c>
      <c r="I3183">
        <v>-262049743</v>
      </c>
      <c r="J3183">
        <v>32841553</v>
      </c>
      <c r="K3183">
        <v>68690175</v>
      </c>
      <c r="L3183">
        <v>99128837</v>
      </c>
      <c r="M3183">
        <v>60312713</v>
      </c>
      <c r="N3183">
        <v>-961168</v>
      </c>
      <c r="O3183">
        <v>-55998320</v>
      </c>
      <c r="P3183">
        <v>132</v>
      </c>
      <c r="Q3183" t="s">
        <v>6410</v>
      </c>
    </row>
    <row r="3184" spans="1:17" x14ac:dyDescent="0.3">
      <c r="A3184" t="s">
        <v>4446</v>
      </c>
      <c r="B3184" t="str">
        <f>"002458"</f>
        <v>002458</v>
      </c>
      <c r="C3184" t="s">
        <v>6411</v>
      </c>
      <c r="D3184" t="s">
        <v>205</v>
      </c>
      <c r="F3184">
        <v>-677578668</v>
      </c>
      <c r="G3184">
        <v>-1407191790</v>
      </c>
      <c r="H3184">
        <v>1850535872</v>
      </c>
      <c r="I3184">
        <v>245799593</v>
      </c>
      <c r="J3184">
        <v>-323182342</v>
      </c>
      <c r="K3184">
        <v>391314022</v>
      </c>
      <c r="L3184">
        <v>-325451917</v>
      </c>
      <c r="M3184">
        <v>-45779168</v>
      </c>
      <c r="N3184">
        <v>-307784918</v>
      </c>
      <c r="O3184">
        <v>-137156971</v>
      </c>
      <c r="P3184">
        <v>815</v>
      </c>
      <c r="Q3184" t="s">
        <v>6412</v>
      </c>
    </row>
    <row r="3185" spans="1:17" x14ac:dyDescent="0.3">
      <c r="A3185" t="s">
        <v>4446</v>
      </c>
      <c r="B3185" t="str">
        <f>"002459"</f>
        <v>002459</v>
      </c>
      <c r="C3185" t="s">
        <v>6413</v>
      </c>
      <c r="D3185" t="s">
        <v>188</v>
      </c>
      <c r="F3185">
        <v>-1585466878</v>
      </c>
      <c r="G3185">
        <v>-834836641</v>
      </c>
      <c r="H3185">
        <v>1904557951</v>
      </c>
      <c r="I3185">
        <v>-10934772</v>
      </c>
      <c r="J3185">
        <v>-50013233</v>
      </c>
      <c r="K3185">
        <v>-14209933</v>
      </c>
      <c r="L3185">
        <v>-115579792</v>
      </c>
      <c r="M3185">
        <v>-188551972</v>
      </c>
      <c r="N3185">
        <v>187074182</v>
      </c>
      <c r="O3185">
        <v>-356452974</v>
      </c>
      <c r="P3185">
        <v>1227</v>
      </c>
      <c r="Q3185" t="s">
        <v>6414</v>
      </c>
    </row>
    <row r="3186" spans="1:17" x14ac:dyDescent="0.3">
      <c r="A3186" t="s">
        <v>4446</v>
      </c>
      <c r="B3186" t="str">
        <f>"002460"</f>
        <v>002460</v>
      </c>
      <c r="C3186" t="s">
        <v>6415</v>
      </c>
      <c r="D3186" t="s">
        <v>234</v>
      </c>
      <c r="F3186">
        <v>-790615719</v>
      </c>
      <c r="G3186">
        <v>-462081025</v>
      </c>
      <c r="H3186">
        <v>-144760375</v>
      </c>
      <c r="I3186">
        <v>-505991224</v>
      </c>
      <c r="J3186">
        <v>153782746</v>
      </c>
      <c r="K3186">
        <v>155574373</v>
      </c>
      <c r="L3186">
        <v>236243140</v>
      </c>
      <c r="M3186">
        <v>-137619312</v>
      </c>
      <c r="N3186">
        <v>-187066243</v>
      </c>
      <c r="O3186">
        <v>-226782867</v>
      </c>
      <c r="P3186">
        <v>2488</v>
      </c>
      <c r="Q3186" t="s">
        <v>6416</v>
      </c>
    </row>
    <row r="3187" spans="1:17" x14ac:dyDescent="0.3">
      <c r="A3187" t="s">
        <v>4446</v>
      </c>
      <c r="B3187" t="str">
        <f>"002461"</f>
        <v>002461</v>
      </c>
      <c r="C3187" t="s">
        <v>6417</v>
      </c>
      <c r="D3187" t="s">
        <v>123</v>
      </c>
      <c r="F3187">
        <v>415914118</v>
      </c>
      <c r="G3187">
        <v>396665325</v>
      </c>
      <c r="H3187">
        <v>-1337303646</v>
      </c>
      <c r="I3187">
        <v>341273738</v>
      </c>
      <c r="J3187">
        <v>270062141</v>
      </c>
      <c r="K3187">
        <v>688324704</v>
      </c>
      <c r="L3187">
        <v>246111233</v>
      </c>
      <c r="M3187">
        <v>507219365</v>
      </c>
      <c r="N3187">
        <v>934377209</v>
      </c>
      <c r="O3187">
        <v>162175678</v>
      </c>
      <c r="P3187">
        <v>461</v>
      </c>
      <c r="Q3187" t="s">
        <v>6418</v>
      </c>
    </row>
    <row r="3188" spans="1:17" x14ac:dyDescent="0.3">
      <c r="A3188" t="s">
        <v>4446</v>
      </c>
      <c r="B3188" t="str">
        <f>"002462"</f>
        <v>002462</v>
      </c>
      <c r="C3188" t="s">
        <v>6419</v>
      </c>
      <c r="D3188" t="s">
        <v>113</v>
      </c>
      <c r="F3188">
        <v>669913863</v>
      </c>
      <c r="G3188">
        <v>860956040</v>
      </c>
      <c r="H3188">
        <v>31281085</v>
      </c>
      <c r="I3188">
        <v>-312491624</v>
      </c>
      <c r="J3188">
        <v>-395015597</v>
      </c>
      <c r="K3188">
        <v>77990605</v>
      </c>
      <c r="L3188">
        <v>-376955342</v>
      </c>
      <c r="M3188">
        <v>-818059163</v>
      </c>
      <c r="N3188">
        <v>-289952156</v>
      </c>
      <c r="O3188">
        <v>-102521771</v>
      </c>
      <c r="P3188">
        <v>258</v>
      </c>
      <c r="Q3188" t="s">
        <v>6420</v>
      </c>
    </row>
    <row r="3189" spans="1:17" x14ac:dyDescent="0.3">
      <c r="A3189" t="s">
        <v>4446</v>
      </c>
      <c r="B3189" t="str">
        <f>"002463"</f>
        <v>002463</v>
      </c>
      <c r="C3189" t="s">
        <v>6421</v>
      </c>
      <c r="D3189" t="s">
        <v>150</v>
      </c>
      <c r="F3189">
        <v>909471079</v>
      </c>
      <c r="G3189">
        <v>1193804408</v>
      </c>
      <c r="H3189">
        <v>625098639</v>
      </c>
      <c r="I3189">
        <v>482801457</v>
      </c>
      <c r="J3189">
        <v>-23961069</v>
      </c>
      <c r="K3189">
        <v>144558185</v>
      </c>
      <c r="L3189">
        <v>-346640099</v>
      </c>
      <c r="M3189">
        <v>-811048951</v>
      </c>
      <c r="N3189">
        <v>-556128169</v>
      </c>
      <c r="O3189">
        <v>169668272</v>
      </c>
      <c r="P3189">
        <v>3004</v>
      </c>
      <c r="Q3189" t="s">
        <v>6422</v>
      </c>
    </row>
    <row r="3190" spans="1:17" x14ac:dyDescent="0.3">
      <c r="A3190" t="s">
        <v>4446</v>
      </c>
      <c r="B3190" t="str">
        <f>"002464"</f>
        <v>002464</v>
      </c>
      <c r="C3190" t="s">
        <v>6423</v>
      </c>
      <c r="D3190" t="s">
        <v>89</v>
      </c>
      <c r="F3190">
        <v>132967659</v>
      </c>
      <c r="G3190">
        <v>55128723</v>
      </c>
      <c r="H3190">
        <v>172630698</v>
      </c>
      <c r="I3190">
        <v>-79916832</v>
      </c>
      <c r="J3190">
        <v>299605356</v>
      </c>
      <c r="K3190">
        <v>216844006</v>
      </c>
      <c r="L3190">
        <v>452788988</v>
      </c>
      <c r="M3190">
        <v>-67632715</v>
      </c>
      <c r="N3190">
        <v>60732097</v>
      </c>
      <c r="O3190">
        <v>-2255502</v>
      </c>
      <c r="P3190">
        <v>110</v>
      </c>
      <c r="Q3190" t="s">
        <v>6424</v>
      </c>
    </row>
    <row r="3191" spans="1:17" x14ac:dyDescent="0.3">
      <c r="A3191" t="s">
        <v>4446</v>
      </c>
      <c r="B3191" t="str">
        <f>"002465"</f>
        <v>002465</v>
      </c>
      <c r="C3191" t="s">
        <v>6425</v>
      </c>
      <c r="D3191" t="s">
        <v>92</v>
      </c>
      <c r="F3191">
        <v>460076595</v>
      </c>
      <c r="G3191">
        <v>1201923886</v>
      </c>
      <c r="H3191">
        <v>36219626</v>
      </c>
      <c r="I3191">
        <v>434606141</v>
      </c>
      <c r="J3191">
        <v>-83520284</v>
      </c>
      <c r="K3191">
        <v>-601018800</v>
      </c>
      <c r="L3191">
        <v>544927285</v>
      </c>
      <c r="M3191">
        <v>-460248428</v>
      </c>
      <c r="N3191">
        <v>55227441</v>
      </c>
      <c r="O3191">
        <v>-80321983</v>
      </c>
      <c r="P3191">
        <v>546</v>
      </c>
      <c r="Q3191" t="s">
        <v>6426</v>
      </c>
    </row>
    <row r="3192" spans="1:17" x14ac:dyDescent="0.3">
      <c r="A3192" t="s">
        <v>4446</v>
      </c>
      <c r="B3192" t="str">
        <f>"002466"</f>
        <v>002466</v>
      </c>
      <c r="C3192" t="s">
        <v>6427</v>
      </c>
      <c r="D3192" t="s">
        <v>234</v>
      </c>
      <c r="F3192">
        <v>1085793139</v>
      </c>
      <c r="G3192">
        <v>-181688358</v>
      </c>
      <c r="H3192">
        <v>-1380374323</v>
      </c>
      <c r="I3192">
        <v>194475731</v>
      </c>
      <c r="J3192">
        <v>1536107075</v>
      </c>
      <c r="K3192">
        <v>1515080951</v>
      </c>
      <c r="L3192">
        <v>554429324</v>
      </c>
      <c r="M3192">
        <v>217306077</v>
      </c>
      <c r="N3192">
        <v>-182713720</v>
      </c>
      <c r="O3192">
        <v>-308936649</v>
      </c>
      <c r="P3192">
        <v>2365</v>
      </c>
      <c r="Q3192" t="s">
        <v>6428</v>
      </c>
    </row>
    <row r="3193" spans="1:17" x14ac:dyDescent="0.3">
      <c r="A3193" t="s">
        <v>4446</v>
      </c>
      <c r="B3193" t="str">
        <f>"002467"</f>
        <v>002467</v>
      </c>
      <c r="C3193" t="s">
        <v>6429</v>
      </c>
      <c r="D3193" t="s">
        <v>100</v>
      </c>
      <c r="F3193">
        <v>73180609</v>
      </c>
      <c r="G3193">
        <v>163689751</v>
      </c>
      <c r="H3193">
        <v>84894794</v>
      </c>
      <c r="I3193">
        <v>101087662</v>
      </c>
      <c r="J3193">
        <v>105182254</v>
      </c>
      <c r="K3193">
        <v>43519111</v>
      </c>
      <c r="L3193">
        <v>84892944</v>
      </c>
      <c r="M3193">
        <v>163436227</v>
      </c>
      <c r="N3193">
        <v>139002670</v>
      </c>
      <c r="O3193">
        <v>49482870</v>
      </c>
      <c r="P3193">
        <v>200</v>
      </c>
      <c r="Q3193" t="s">
        <v>6430</v>
      </c>
    </row>
    <row r="3194" spans="1:17" x14ac:dyDescent="0.3">
      <c r="A3194" t="s">
        <v>4446</v>
      </c>
      <c r="B3194" t="str">
        <f>"002468"</f>
        <v>002468</v>
      </c>
      <c r="C3194" t="s">
        <v>6431</v>
      </c>
      <c r="D3194" t="s">
        <v>22</v>
      </c>
      <c r="F3194">
        <v>-928325032</v>
      </c>
      <c r="G3194">
        <v>-1540612807</v>
      </c>
      <c r="H3194">
        <v>-10145191</v>
      </c>
      <c r="I3194">
        <v>-219406454</v>
      </c>
      <c r="J3194">
        <v>885562306</v>
      </c>
      <c r="K3194">
        <v>1054907440</v>
      </c>
      <c r="L3194">
        <v>134926302</v>
      </c>
      <c r="M3194">
        <v>19233431</v>
      </c>
      <c r="N3194">
        <v>29317940</v>
      </c>
      <c r="O3194">
        <v>-237318280</v>
      </c>
      <c r="P3194">
        <v>638</v>
      </c>
      <c r="Q3194" t="s">
        <v>6432</v>
      </c>
    </row>
    <row r="3195" spans="1:17" x14ac:dyDescent="0.3">
      <c r="A3195" t="s">
        <v>4446</v>
      </c>
      <c r="B3195" t="str">
        <f>"002469"</f>
        <v>002469</v>
      </c>
      <c r="C3195" t="s">
        <v>6433</v>
      </c>
      <c r="D3195" t="s">
        <v>95</v>
      </c>
      <c r="F3195">
        <v>240547180</v>
      </c>
      <c r="G3195">
        <v>226684931</v>
      </c>
      <c r="H3195">
        <v>-6025732</v>
      </c>
      <c r="I3195">
        <v>63339049</v>
      </c>
      <c r="J3195">
        <v>-24506384</v>
      </c>
      <c r="K3195">
        <v>142257677</v>
      </c>
      <c r="L3195">
        <v>237359016</v>
      </c>
      <c r="M3195">
        <v>-141501846</v>
      </c>
      <c r="N3195">
        <v>91548477</v>
      </c>
      <c r="O3195">
        <v>-5996005</v>
      </c>
      <c r="P3195">
        <v>126</v>
      </c>
      <c r="Q3195" t="s">
        <v>6434</v>
      </c>
    </row>
    <row r="3196" spans="1:17" x14ac:dyDescent="0.3">
      <c r="A3196" t="s">
        <v>4446</v>
      </c>
      <c r="B3196" t="str">
        <f>"002470"</f>
        <v>002470</v>
      </c>
      <c r="C3196" t="s">
        <v>6435</v>
      </c>
      <c r="D3196" t="s">
        <v>133</v>
      </c>
      <c r="F3196">
        <v>272891633</v>
      </c>
      <c r="G3196">
        <v>-1619338500</v>
      </c>
      <c r="H3196">
        <v>-2074427430</v>
      </c>
      <c r="I3196">
        <v>-2308422174</v>
      </c>
      <c r="J3196">
        <v>826507212</v>
      </c>
      <c r="K3196">
        <v>-617972891</v>
      </c>
      <c r="L3196">
        <v>1649792152</v>
      </c>
      <c r="M3196">
        <v>-786754081</v>
      </c>
      <c r="N3196">
        <v>-78389911</v>
      </c>
      <c r="O3196">
        <v>-791169724</v>
      </c>
      <c r="P3196">
        <v>4918</v>
      </c>
      <c r="Q3196" t="s">
        <v>6436</v>
      </c>
    </row>
    <row r="3197" spans="1:17" x14ac:dyDescent="0.3">
      <c r="A3197" t="s">
        <v>4446</v>
      </c>
      <c r="B3197" t="str">
        <f>"002471"</f>
        <v>002471</v>
      </c>
      <c r="C3197" t="s">
        <v>6437</v>
      </c>
      <c r="D3197" t="s">
        <v>188</v>
      </c>
      <c r="F3197">
        <v>-248929918</v>
      </c>
      <c r="G3197">
        <v>62890532</v>
      </c>
      <c r="H3197">
        <v>584025975</v>
      </c>
      <c r="I3197">
        <v>262743377</v>
      </c>
      <c r="J3197">
        <v>-9158187</v>
      </c>
      <c r="K3197">
        <v>507782141</v>
      </c>
      <c r="L3197">
        <v>77615162</v>
      </c>
      <c r="M3197">
        <v>-369334585</v>
      </c>
      <c r="N3197">
        <v>-420811680</v>
      </c>
      <c r="O3197">
        <v>-480954168</v>
      </c>
      <c r="P3197">
        <v>92</v>
      </c>
      <c r="Q3197" t="s">
        <v>6438</v>
      </c>
    </row>
    <row r="3198" spans="1:17" x14ac:dyDescent="0.3">
      <c r="A3198" t="s">
        <v>4446</v>
      </c>
      <c r="B3198" t="str">
        <f>"002472"</f>
        <v>002472</v>
      </c>
      <c r="C3198" t="s">
        <v>6439</v>
      </c>
      <c r="D3198" t="s">
        <v>27</v>
      </c>
      <c r="F3198">
        <v>-221848917</v>
      </c>
      <c r="G3198">
        <v>181056880</v>
      </c>
      <c r="H3198">
        <v>-174265524</v>
      </c>
      <c r="I3198">
        <v>-1393931875</v>
      </c>
      <c r="J3198">
        <v>-1197034206</v>
      </c>
      <c r="K3198">
        <v>-412048424</v>
      </c>
      <c r="L3198">
        <v>3108031</v>
      </c>
      <c r="M3198">
        <v>-51537266</v>
      </c>
      <c r="N3198">
        <v>-134671174</v>
      </c>
      <c r="O3198">
        <v>-100543545</v>
      </c>
      <c r="P3198">
        <v>259</v>
      </c>
      <c r="Q3198" t="s">
        <v>6440</v>
      </c>
    </row>
    <row r="3199" spans="1:17" x14ac:dyDescent="0.3">
      <c r="A3199" t="s">
        <v>4446</v>
      </c>
      <c r="B3199" t="str">
        <f>"002473"</f>
        <v>002473</v>
      </c>
      <c r="C3199" t="s">
        <v>6441</v>
      </c>
      <c r="D3199" t="s">
        <v>126</v>
      </c>
      <c r="F3199">
        <v>-67655873</v>
      </c>
      <c r="G3199">
        <v>-15882572</v>
      </c>
      <c r="H3199">
        <v>-79245753</v>
      </c>
      <c r="I3199">
        <v>127216453</v>
      </c>
      <c r="J3199">
        <v>-11257665</v>
      </c>
      <c r="K3199">
        <v>4321123</v>
      </c>
      <c r="L3199">
        <v>-40072584</v>
      </c>
      <c r="M3199">
        <v>-5983357</v>
      </c>
      <c r="N3199">
        <v>-7173419</v>
      </c>
      <c r="O3199">
        <v>1926160</v>
      </c>
      <c r="P3199">
        <v>61</v>
      </c>
      <c r="Q3199" t="s">
        <v>6442</v>
      </c>
    </row>
    <row r="3200" spans="1:17" x14ac:dyDescent="0.3">
      <c r="A3200" t="s">
        <v>4446</v>
      </c>
      <c r="B3200" t="str">
        <f>"002474"</f>
        <v>002474</v>
      </c>
      <c r="C3200" t="s">
        <v>6443</v>
      </c>
      <c r="D3200" t="s">
        <v>212</v>
      </c>
      <c r="F3200">
        <v>-89269527</v>
      </c>
      <c r="G3200">
        <v>-175954686</v>
      </c>
      <c r="H3200">
        <v>-172238420</v>
      </c>
      <c r="I3200">
        <v>-235182666</v>
      </c>
      <c r="J3200">
        <v>-80530339</v>
      </c>
      <c r="K3200">
        <v>-87037574</v>
      </c>
      <c r="L3200">
        <v>-135319049</v>
      </c>
      <c r="M3200">
        <v>-274064139</v>
      </c>
      <c r="N3200">
        <v>4349634</v>
      </c>
      <c r="O3200">
        <v>39231441</v>
      </c>
      <c r="P3200">
        <v>180</v>
      </c>
      <c r="Q3200" t="s">
        <v>6444</v>
      </c>
    </row>
    <row r="3201" spans="1:17" x14ac:dyDescent="0.3">
      <c r="A3201" t="s">
        <v>4446</v>
      </c>
      <c r="B3201" t="str">
        <f>"002475"</f>
        <v>002475</v>
      </c>
      <c r="C3201" t="s">
        <v>6445</v>
      </c>
      <c r="D3201" t="s">
        <v>150</v>
      </c>
      <c r="F3201">
        <v>-4939097694</v>
      </c>
      <c r="G3201">
        <v>-523718895</v>
      </c>
      <c r="H3201">
        <v>1243837761</v>
      </c>
      <c r="I3201">
        <v>-1971262485</v>
      </c>
      <c r="J3201">
        <v>-3350004177</v>
      </c>
      <c r="K3201">
        <v>-204215837</v>
      </c>
      <c r="L3201">
        <v>-515286777</v>
      </c>
      <c r="M3201">
        <v>-642383658</v>
      </c>
      <c r="N3201">
        <v>-371909752</v>
      </c>
      <c r="O3201">
        <v>-11498259</v>
      </c>
      <c r="P3201">
        <v>5901</v>
      </c>
      <c r="Q3201" t="s">
        <v>6446</v>
      </c>
    </row>
    <row r="3202" spans="1:17" x14ac:dyDescent="0.3">
      <c r="A3202" t="s">
        <v>4446</v>
      </c>
      <c r="B3202" t="str">
        <f>"002476"</f>
        <v>002476</v>
      </c>
      <c r="C3202" t="s">
        <v>6447</v>
      </c>
      <c r="D3202" t="s">
        <v>70</v>
      </c>
      <c r="F3202">
        <v>-53707735</v>
      </c>
      <c r="G3202">
        <v>14931625</v>
      </c>
      <c r="H3202">
        <v>40213877</v>
      </c>
      <c r="I3202">
        <v>21246885</v>
      </c>
      <c r="J3202">
        <v>1730957</v>
      </c>
      <c r="K3202">
        <v>28256893</v>
      </c>
      <c r="L3202">
        <v>-96984829</v>
      </c>
      <c r="M3202">
        <v>-155675877</v>
      </c>
      <c r="N3202">
        <v>26953521</v>
      </c>
      <c r="O3202">
        <v>47463496</v>
      </c>
      <c r="P3202">
        <v>85</v>
      </c>
      <c r="Q3202" t="s">
        <v>6448</v>
      </c>
    </row>
    <row r="3203" spans="1:17" x14ac:dyDescent="0.3">
      <c r="A3203" t="s">
        <v>4446</v>
      </c>
      <c r="B3203" t="str">
        <f>"002477"</f>
        <v>002477</v>
      </c>
      <c r="C3203" t="s">
        <v>6449</v>
      </c>
      <c r="I3203">
        <v>-669844702</v>
      </c>
      <c r="J3203">
        <v>302483649</v>
      </c>
      <c r="K3203">
        <v>1501285891</v>
      </c>
      <c r="L3203">
        <v>-531416909</v>
      </c>
      <c r="M3203">
        <v>-1201406137</v>
      </c>
      <c r="N3203">
        <v>-802418341</v>
      </c>
      <c r="O3203">
        <v>-1215793004</v>
      </c>
      <c r="P3203">
        <v>126</v>
      </c>
      <c r="Q3203" t="s">
        <v>6450</v>
      </c>
    </row>
    <row r="3204" spans="1:17" x14ac:dyDescent="0.3">
      <c r="A3204" t="s">
        <v>4446</v>
      </c>
      <c r="B3204" t="str">
        <f>"002478"</f>
        <v>002478</v>
      </c>
      <c r="C3204" t="s">
        <v>6451</v>
      </c>
      <c r="D3204" t="s">
        <v>38</v>
      </c>
      <c r="F3204">
        <v>-659842399</v>
      </c>
      <c r="G3204">
        <v>285083717</v>
      </c>
      <c r="H3204">
        <v>291465896</v>
      </c>
      <c r="I3204">
        <v>501596232</v>
      </c>
      <c r="J3204">
        <v>504139023</v>
      </c>
      <c r="K3204">
        <v>124001483</v>
      </c>
      <c r="L3204">
        <v>332975491</v>
      </c>
      <c r="M3204">
        <v>799071608</v>
      </c>
      <c r="N3204">
        <v>-68950457</v>
      </c>
      <c r="O3204">
        <v>-127489377</v>
      </c>
      <c r="P3204">
        <v>208</v>
      </c>
      <c r="Q3204" t="s">
        <v>6452</v>
      </c>
    </row>
    <row r="3205" spans="1:17" x14ac:dyDescent="0.3">
      <c r="A3205" t="s">
        <v>4446</v>
      </c>
      <c r="B3205" t="str">
        <f>"002479"</f>
        <v>002479</v>
      </c>
      <c r="C3205" t="s">
        <v>6453</v>
      </c>
      <c r="D3205" t="s">
        <v>41</v>
      </c>
      <c r="F3205">
        <v>1189635574</v>
      </c>
      <c r="G3205">
        <v>-881533356</v>
      </c>
      <c r="H3205">
        <v>-432758496</v>
      </c>
      <c r="I3205">
        <v>237986691</v>
      </c>
      <c r="J3205">
        <v>190043299</v>
      </c>
      <c r="K3205">
        <v>402331050</v>
      </c>
      <c r="L3205">
        <v>-55451463</v>
      </c>
      <c r="M3205">
        <v>64820102</v>
      </c>
      <c r="N3205">
        <v>288121106</v>
      </c>
      <c r="O3205">
        <v>-56922515</v>
      </c>
      <c r="P3205">
        <v>158</v>
      </c>
      <c r="Q3205" t="s">
        <v>6454</v>
      </c>
    </row>
    <row r="3206" spans="1:17" x14ac:dyDescent="0.3">
      <c r="A3206" t="s">
        <v>4446</v>
      </c>
      <c r="B3206" t="str">
        <f>"002480"</f>
        <v>002480</v>
      </c>
      <c r="C3206" t="s">
        <v>6455</v>
      </c>
      <c r="D3206" t="s">
        <v>78</v>
      </c>
      <c r="F3206">
        <v>-588206582</v>
      </c>
      <c r="G3206">
        <v>319496033</v>
      </c>
      <c r="H3206">
        <v>-632858809</v>
      </c>
      <c r="I3206">
        <v>-221472597</v>
      </c>
      <c r="J3206">
        <v>-297837119</v>
      </c>
      <c r="K3206">
        <v>32668422</v>
      </c>
      <c r="L3206">
        <v>-191940352</v>
      </c>
      <c r="M3206">
        <v>-60732709</v>
      </c>
      <c r="N3206">
        <v>-233304933</v>
      </c>
      <c r="O3206">
        <v>-116075446</v>
      </c>
      <c r="P3206">
        <v>107</v>
      </c>
      <c r="Q3206" t="s">
        <v>6456</v>
      </c>
    </row>
    <row r="3207" spans="1:17" x14ac:dyDescent="0.3">
      <c r="A3207" t="s">
        <v>4446</v>
      </c>
      <c r="B3207" t="str">
        <f>"002481"</f>
        <v>002481</v>
      </c>
      <c r="C3207" t="s">
        <v>6457</v>
      </c>
      <c r="D3207" t="s">
        <v>205</v>
      </c>
      <c r="F3207">
        <v>-149524934</v>
      </c>
      <c r="G3207">
        <v>182609376</v>
      </c>
      <c r="H3207">
        <v>-131746594</v>
      </c>
      <c r="I3207">
        <v>2108710</v>
      </c>
      <c r="J3207">
        <v>-102215099</v>
      </c>
      <c r="K3207">
        <v>233699392</v>
      </c>
      <c r="L3207">
        <v>-9808395</v>
      </c>
      <c r="M3207">
        <v>-190852940</v>
      </c>
      <c r="N3207">
        <v>7828197</v>
      </c>
      <c r="O3207">
        <v>-118057670</v>
      </c>
      <c r="P3207">
        <v>331</v>
      </c>
      <c r="Q3207" t="s">
        <v>6458</v>
      </c>
    </row>
    <row r="3208" spans="1:17" x14ac:dyDescent="0.3">
      <c r="A3208" t="s">
        <v>4446</v>
      </c>
      <c r="B3208" t="str">
        <f>"002482"</f>
        <v>002482</v>
      </c>
      <c r="C3208" t="s">
        <v>6459</v>
      </c>
      <c r="D3208" t="s">
        <v>95</v>
      </c>
      <c r="F3208">
        <v>-984668876</v>
      </c>
      <c r="G3208">
        <v>421666119</v>
      </c>
      <c r="H3208">
        <v>-1293278241</v>
      </c>
      <c r="I3208">
        <v>-29559884</v>
      </c>
      <c r="J3208">
        <v>722324614</v>
      </c>
      <c r="K3208">
        <v>-48517572</v>
      </c>
      <c r="L3208">
        <v>-866137976</v>
      </c>
      <c r="M3208">
        <v>178180063</v>
      </c>
      <c r="N3208">
        <v>-160818345</v>
      </c>
      <c r="O3208">
        <v>-966249860</v>
      </c>
      <c r="P3208">
        <v>112</v>
      </c>
      <c r="Q3208" t="s">
        <v>6460</v>
      </c>
    </row>
    <row r="3209" spans="1:17" x14ac:dyDescent="0.3">
      <c r="A3209" t="s">
        <v>4446</v>
      </c>
      <c r="B3209" t="str">
        <f>"002483"</f>
        <v>002483</v>
      </c>
      <c r="C3209" t="s">
        <v>6461</v>
      </c>
      <c r="D3209" t="s">
        <v>78</v>
      </c>
      <c r="F3209">
        <v>127524607</v>
      </c>
      <c r="G3209">
        <v>79585689</v>
      </c>
      <c r="H3209">
        <v>294661389</v>
      </c>
      <c r="I3209">
        <v>-45163454</v>
      </c>
      <c r="J3209">
        <v>-57543479</v>
      </c>
      <c r="K3209">
        <v>108425588</v>
      </c>
      <c r="L3209">
        <v>-27154100</v>
      </c>
      <c r="M3209">
        <v>-395653911</v>
      </c>
      <c r="N3209">
        <v>-5042687</v>
      </c>
      <c r="O3209">
        <v>-598988285</v>
      </c>
      <c r="P3209">
        <v>94</v>
      </c>
      <c r="Q3209" t="s">
        <v>6462</v>
      </c>
    </row>
    <row r="3210" spans="1:17" x14ac:dyDescent="0.3">
      <c r="A3210" t="s">
        <v>4446</v>
      </c>
      <c r="B3210" t="str">
        <f>"002484"</f>
        <v>002484</v>
      </c>
      <c r="C3210" t="s">
        <v>6463</v>
      </c>
      <c r="D3210" t="s">
        <v>150</v>
      </c>
      <c r="F3210">
        <v>-61800818</v>
      </c>
      <c r="G3210">
        <v>77231084</v>
      </c>
      <c r="H3210">
        <v>-158405169</v>
      </c>
      <c r="I3210">
        <v>-246179481</v>
      </c>
      <c r="J3210">
        <v>31184935</v>
      </c>
      <c r="K3210">
        <v>65410329</v>
      </c>
      <c r="L3210">
        <v>-3595248</v>
      </c>
      <c r="M3210">
        <v>43281483</v>
      </c>
      <c r="N3210">
        <v>67895220</v>
      </c>
      <c r="O3210">
        <v>19303476</v>
      </c>
      <c r="P3210">
        <v>312</v>
      </c>
      <c r="Q3210" t="s">
        <v>6464</v>
      </c>
    </row>
    <row r="3211" spans="1:17" x14ac:dyDescent="0.3">
      <c r="A3211" t="s">
        <v>4446</v>
      </c>
      <c r="B3211" t="str">
        <f>"002485"</f>
        <v>002485</v>
      </c>
      <c r="C3211" t="s">
        <v>6465</v>
      </c>
      <c r="D3211" t="s">
        <v>227</v>
      </c>
      <c r="F3211">
        <v>-49701805</v>
      </c>
      <c r="G3211">
        <v>-173043462</v>
      </c>
      <c r="H3211">
        <v>-7030482</v>
      </c>
      <c r="I3211">
        <v>-222683091</v>
      </c>
      <c r="J3211">
        <v>36104896</v>
      </c>
      <c r="K3211">
        <v>96766272</v>
      </c>
      <c r="L3211">
        <v>271166653</v>
      </c>
      <c r="M3211">
        <v>-96101346</v>
      </c>
      <c r="N3211">
        <v>6508615</v>
      </c>
      <c r="O3211">
        <v>-394951319</v>
      </c>
      <c r="P3211">
        <v>80</v>
      </c>
      <c r="Q3211" t="s">
        <v>6466</v>
      </c>
    </row>
    <row r="3212" spans="1:17" x14ac:dyDescent="0.3">
      <c r="A3212" t="s">
        <v>4446</v>
      </c>
      <c r="B3212" t="str">
        <f>"002486"</f>
        <v>002486</v>
      </c>
      <c r="C3212" t="s">
        <v>6467</v>
      </c>
      <c r="D3212" t="s">
        <v>227</v>
      </c>
      <c r="F3212">
        <v>-140915052</v>
      </c>
      <c r="G3212">
        <v>236689750</v>
      </c>
      <c r="H3212">
        <v>-90961297</v>
      </c>
      <c r="I3212">
        <v>-27796267</v>
      </c>
      <c r="J3212">
        <v>-89514303</v>
      </c>
      <c r="K3212">
        <v>-61329633</v>
      </c>
      <c r="L3212">
        <v>-200390196</v>
      </c>
      <c r="M3212">
        <v>-164117356</v>
      </c>
      <c r="N3212">
        <v>7522435</v>
      </c>
      <c r="O3212">
        <v>-5531169</v>
      </c>
      <c r="P3212">
        <v>88</v>
      </c>
      <c r="Q3212" t="s">
        <v>6468</v>
      </c>
    </row>
    <row r="3213" spans="1:17" x14ac:dyDescent="0.3">
      <c r="A3213" t="s">
        <v>4446</v>
      </c>
      <c r="B3213" t="str">
        <f>"002487"</f>
        <v>002487</v>
      </c>
      <c r="C3213" t="s">
        <v>6469</v>
      </c>
      <c r="D3213" t="s">
        <v>188</v>
      </c>
      <c r="F3213">
        <v>-198155134</v>
      </c>
      <c r="G3213">
        <v>-122503199</v>
      </c>
      <c r="H3213">
        <v>121606740</v>
      </c>
      <c r="I3213">
        <v>-34216114</v>
      </c>
      <c r="J3213">
        <v>-150549196</v>
      </c>
      <c r="K3213">
        <v>-77177682</v>
      </c>
      <c r="L3213">
        <v>59569660</v>
      </c>
      <c r="M3213">
        <v>-276444977</v>
      </c>
      <c r="N3213">
        <v>-40551369</v>
      </c>
      <c r="O3213">
        <v>-121965973</v>
      </c>
      <c r="P3213">
        <v>248</v>
      </c>
      <c r="Q3213" t="s">
        <v>6470</v>
      </c>
    </row>
    <row r="3214" spans="1:17" x14ac:dyDescent="0.3">
      <c r="A3214" t="s">
        <v>4446</v>
      </c>
      <c r="B3214" t="str">
        <f>"002488"</f>
        <v>002488</v>
      </c>
      <c r="C3214" t="s">
        <v>6471</v>
      </c>
      <c r="D3214" t="s">
        <v>27</v>
      </c>
      <c r="F3214">
        <v>-355139168</v>
      </c>
      <c r="G3214">
        <v>-227663898</v>
      </c>
      <c r="H3214">
        <v>-463250262</v>
      </c>
      <c r="I3214">
        <v>-656882015</v>
      </c>
      <c r="J3214">
        <v>-599567138</v>
      </c>
      <c r="K3214">
        <v>-194828023</v>
      </c>
      <c r="L3214">
        <v>-158558993</v>
      </c>
      <c r="M3214">
        <v>87409197</v>
      </c>
      <c r="N3214">
        <v>-228467446</v>
      </c>
      <c r="O3214">
        <v>-340377755</v>
      </c>
      <c r="P3214">
        <v>152</v>
      </c>
      <c r="Q3214" t="s">
        <v>6472</v>
      </c>
    </row>
    <row r="3215" spans="1:17" x14ac:dyDescent="0.3">
      <c r="A3215" t="s">
        <v>4446</v>
      </c>
      <c r="B3215" t="str">
        <f>"002489"</f>
        <v>002489</v>
      </c>
      <c r="C3215" t="s">
        <v>6473</v>
      </c>
      <c r="D3215" t="s">
        <v>161</v>
      </c>
      <c r="F3215">
        <v>-323522314</v>
      </c>
      <c r="G3215">
        <v>318467349</v>
      </c>
      <c r="H3215">
        <v>565241512</v>
      </c>
      <c r="I3215">
        <v>202432748</v>
      </c>
      <c r="J3215">
        <v>46860036</v>
      </c>
      <c r="K3215">
        <v>88460642</v>
      </c>
      <c r="L3215">
        <v>-166253349</v>
      </c>
      <c r="M3215">
        <v>-370422752</v>
      </c>
      <c r="N3215">
        <v>321588523</v>
      </c>
      <c r="O3215">
        <v>323858702</v>
      </c>
      <c r="P3215">
        <v>206</v>
      </c>
      <c r="Q3215" t="s">
        <v>6474</v>
      </c>
    </row>
    <row r="3216" spans="1:17" x14ac:dyDescent="0.3">
      <c r="A3216" t="s">
        <v>4446</v>
      </c>
      <c r="B3216" t="str">
        <f>"002490"</f>
        <v>002490</v>
      </c>
      <c r="C3216" t="s">
        <v>6475</v>
      </c>
      <c r="D3216" t="s">
        <v>78</v>
      </c>
      <c r="F3216">
        <v>125317891</v>
      </c>
      <c r="G3216">
        <v>520973930</v>
      </c>
      <c r="H3216">
        <v>621040360</v>
      </c>
      <c r="I3216">
        <v>127524475</v>
      </c>
      <c r="J3216">
        <v>-188398806</v>
      </c>
      <c r="K3216">
        <v>-205309411</v>
      </c>
      <c r="L3216">
        <v>-229998737</v>
      </c>
      <c r="M3216">
        <v>109574548</v>
      </c>
      <c r="N3216">
        <v>-615106006</v>
      </c>
      <c r="O3216">
        <v>-158021103</v>
      </c>
      <c r="P3216">
        <v>82</v>
      </c>
      <c r="Q3216" t="s">
        <v>6476</v>
      </c>
    </row>
    <row r="3217" spans="1:17" x14ac:dyDescent="0.3">
      <c r="A3217" t="s">
        <v>4446</v>
      </c>
      <c r="B3217" t="str">
        <f>"002491"</f>
        <v>002491</v>
      </c>
      <c r="C3217" t="s">
        <v>6477</v>
      </c>
      <c r="D3217" t="s">
        <v>100</v>
      </c>
      <c r="F3217">
        <v>851530750</v>
      </c>
      <c r="G3217">
        <v>256892524</v>
      </c>
      <c r="H3217">
        <v>267430659</v>
      </c>
      <c r="I3217">
        <v>-856981489</v>
      </c>
      <c r="J3217">
        <v>4438671</v>
      </c>
      <c r="K3217">
        <v>362916742</v>
      </c>
      <c r="L3217">
        <v>241078518</v>
      </c>
      <c r="M3217">
        <v>432224670</v>
      </c>
      <c r="N3217">
        <v>-529299526</v>
      </c>
      <c r="O3217">
        <v>-885211697</v>
      </c>
      <c r="P3217">
        <v>214</v>
      </c>
      <c r="Q3217" t="s">
        <v>6478</v>
      </c>
    </row>
    <row r="3218" spans="1:17" x14ac:dyDescent="0.3">
      <c r="A3218" t="s">
        <v>4446</v>
      </c>
      <c r="B3218" t="str">
        <f>"002492"</f>
        <v>002492</v>
      </c>
      <c r="C3218" t="s">
        <v>6479</v>
      </c>
      <c r="D3218" t="s">
        <v>22</v>
      </c>
      <c r="F3218">
        <v>167125744</v>
      </c>
      <c r="G3218">
        <v>68019252</v>
      </c>
      <c r="H3218">
        <v>124298887</v>
      </c>
      <c r="I3218">
        <v>49677308</v>
      </c>
      <c r="J3218">
        <v>24208276</v>
      </c>
      <c r="K3218">
        <v>32816466</v>
      </c>
      <c r="L3218">
        <v>-100708608</v>
      </c>
      <c r="M3218">
        <v>-9750242</v>
      </c>
      <c r="N3218">
        <v>16440427</v>
      </c>
      <c r="O3218">
        <v>-19069627</v>
      </c>
      <c r="P3218">
        <v>94</v>
      </c>
      <c r="Q3218" t="s">
        <v>6480</v>
      </c>
    </row>
    <row r="3219" spans="1:17" x14ac:dyDescent="0.3">
      <c r="A3219" t="s">
        <v>4446</v>
      </c>
      <c r="B3219" t="str">
        <f>"002493"</f>
        <v>002493</v>
      </c>
      <c r="C3219" t="s">
        <v>6481</v>
      </c>
      <c r="D3219" t="s">
        <v>70</v>
      </c>
      <c r="F3219">
        <v>-24653879098</v>
      </c>
      <c r="G3219">
        <v>-38334778921</v>
      </c>
      <c r="H3219">
        <v>-38912876962</v>
      </c>
      <c r="I3219">
        <v>-32334655974</v>
      </c>
      <c r="J3219">
        <v>-10949584489</v>
      </c>
      <c r="K3219">
        <v>392632200</v>
      </c>
      <c r="L3219">
        <v>-4970471686</v>
      </c>
      <c r="M3219">
        <v>-102162438</v>
      </c>
      <c r="N3219">
        <v>-4162365321</v>
      </c>
      <c r="O3219">
        <v>-2138788472</v>
      </c>
      <c r="P3219">
        <v>852</v>
      </c>
      <c r="Q3219" t="s">
        <v>6482</v>
      </c>
    </row>
    <row r="3220" spans="1:17" x14ac:dyDescent="0.3">
      <c r="A3220" t="s">
        <v>4446</v>
      </c>
      <c r="B3220" t="str">
        <f>"002494"</f>
        <v>002494</v>
      </c>
      <c r="C3220" t="s">
        <v>6483</v>
      </c>
      <c r="D3220" t="s">
        <v>227</v>
      </c>
      <c r="F3220">
        <v>-86254634</v>
      </c>
      <c r="G3220">
        <v>176927512</v>
      </c>
      <c r="H3220">
        <v>-178624463</v>
      </c>
      <c r="I3220">
        <v>-217570149</v>
      </c>
      <c r="J3220">
        <v>226385867</v>
      </c>
      <c r="K3220">
        <v>18812926</v>
      </c>
      <c r="L3220">
        <v>-194913454</v>
      </c>
      <c r="M3220">
        <v>-390535645</v>
      </c>
      <c r="N3220">
        <v>-235166303</v>
      </c>
      <c r="O3220">
        <v>-198094497</v>
      </c>
      <c r="P3220">
        <v>81</v>
      </c>
      <c r="Q3220" t="s">
        <v>6484</v>
      </c>
    </row>
    <row r="3221" spans="1:17" x14ac:dyDescent="0.3">
      <c r="A3221" t="s">
        <v>4446</v>
      </c>
      <c r="B3221" t="str">
        <f>"002495"</f>
        <v>002495</v>
      </c>
      <c r="C3221" t="s">
        <v>6485</v>
      </c>
      <c r="D3221" t="s">
        <v>123</v>
      </c>
      <c r="F3221">
        <v>97501763</v>
      </c>
      <c r="G3221">
        <v>34134389</v>
      </c>
      <c r="H3221">
        <v>-19105200</v>
      </c>
      <c r="I3221">
        <v>-6826528</v>
      </c>
      <c r="J3221">
        <v>-2247291</v>
      </c>
      <c r="K3221">
        <v>-41230185</v>
      </c>
      <c r="L3221">
        <v>13002997</v>
      </c>
      <c r="M3221">
        <v>-3679068</v>
      </c>
      <c r="N3221">
        <v>-51801132</v>
      </c>
      <c r="O3221">
        <v>-117053454</v>
      </c>
      <c r="P3221">
        <v>113</v>
      </c>
      <c r="Q3221" t="s">
        <v>6486</v>
      </c>
    </row>
    <row r="3222" spans="1:17" x14ac:dyDescent="0.3">
      <c r="A3222" t="s">
        <v>4446</v>
      </c>
      <c r="B3222" t="str">
        <f>"002496"</f>
        <v>002496</v>
      </c>
      <c r="C3222" t="s">
        <v>6487</v>
      </c>
      <c r="D3222" t="s">
        <v>133</v>
      </c>
      <c r="F3222">
        <v>-65290172</v>
      </c>
      <c r="G3222">
        <v>68561231</v>
      </c>
      <c r="H3222">
        <v>-105474536</v>
      </c>
      <c r="I3222">
        <v>820448599</v>
      </c>
      <c r="J3222">
        <v>84609135</v>
      </c>
      <c r="K3222">
        <v>-944688809</v>
      </c>
      <c r="L3222">
        <v>-559278343</v>
      </c>
      <c r="M3222">
        <v>-394179837</v>
      </c>
      <c r="N3222">
        <v>-227252897</v>
      </c>
      <c r="O3222">
        <v>-456654382</v>
      </c>
      <c r="P3222">
        <v>158</v>
      </c>
      <c r="Q3222" t="s">
        <v>6488</v>
      </c>
    </row>
    <row r="3223" spans="1:17" x14ac:dyDescent="0.3">
      <c r="A3223" t="s">
        <v>4446</v>
      </c>
      <c r="B3223" t="str">
        <f>"002497"</f>
        <v>002497</v>
      </c>
      <c r="C3223" t="s">
        <v>6489</v>
      </c>
      <c r="D3223" t="s">
        <v>133</v>
      </c>
      <c r="F3223">
        <v>506786494</v>
      </c>
      <c r="G3223">
        <v>410835268</v>
      </c>
      <c r="H3223">
        <v>73381788</v>
      </c>
      <c r="I3223">
        <v>48360511</v>
      </c>
      <c r="J3223">
        <v>13000997</v>
      </c>
      <c r="K3223">
        <v>-83612680</v>
      </c>
      <c r="L3223">
        <v>178610177</v>
      </c>
      <c r="M3223">
        <v>121137431</v>
      </c>
      <c r="N3223">
        <v>156858831</v>
      </c>
      <c r="O3223">
        <v>79651050</v>
      </c>
      <c r="P3223">
        <v>481</v>
      </c>
      <c r="Q3223" t="s">
        <v>6490</v>
      </c>
    </row>
    <row r="3224" spans="1:17" x14ac:dyDescent="0.3">
      <c r="A3224" t="s">
        <v>4446</v>
      </c>
      <c r="B3224" t="str">
        <f>"002498"</f>
        <v>002498</v>
      </c>
      <c r="C3224" t="s">
        <v>6491</v>
      </c>
      <c r="D3224" t="s">
        <v>188</v>
      </c>
      <c r="F3224">
        <v>-13108993</v>
      </c>
      <c r="G3224">
        <v>725283920</v>
      </c>
      <c r="H3224">
        <v>368516708</v>
      </c>
      <c r="I3224">
        <v>438142350</v>
      </c>
      <c r="J3224">
        <v>-351892973</v>
      </c>
      <c r="K3224">
        <v>195284330</v>
      </c>
      <c r="L3224">
        <v>-85533468</v>
      </c>
      <c r="M3224">
        <v>187567509</v>
      </c>
      <c r="N3224">
        <v>145175545</v>
      </c>
      <c r="O3224">
        <v>373940895</v>
      </c>
      <c r="P3224">
        <v>282</v>
      </c>
      <c r="Q3224" t="s">
        <v>6492</v>
      </c>
    </row>
    <row r="3225" spans="1:17" x14ac:dyDescent="0.3">
      <c r="A3225" t="s">
        <v>4446</v>
      </c>
      <c r="B3225" t="str">
        <f>"002499"</f>
        <v>002499</v>
      </c>
      <c r="C3225" t="s">
        <v>6493</v>
      </c>
      <c r="D3225" t="s">
        <v>41</v>
      </c>
      <c r="F3225">
        <v>40188788</v>
      </c>
      <c r="G3225">
        <v>42606661</v>
      </c>
      <c r="H3225">
        <v>-67105740</v>
      </c>
      <c r="I3225">
        <v>-256081523</v>
      </c>
      <c r="J3225">
        <v>-1093491603</v>
      </c>
      <c r="K3225">
        <v>45519112</v>
      </c>
      <c r="L3225">
        <v>10963593</v>
      </c>
      <c r="M3225">
        <v>13905778</v>
      </c>
      <c r="N3225">
        <v>18797597</v>
      </c>
      <c r="O3225">
        <v>-79634076</v>
      </c>
      <c r="P3225">
        <v>51</v>
      </c>
      <c r="Q3225" t="s">
        <v>6494</v>
      </c>
    </row>
    <row r="3226" spans="1:17" x14ac:dyDescent="0.3">
      <c r="A3226" t="s">
        <v>4446</v>
      </c>
      <c r="B3226" t="str">
        <f>"002500"</f>
        <v>002500</v>
      </c>
      <c r="C3226" t="s">
        <v>6495</v>
      </c>
      <c r="D3226" t="s">
        <v>75</v>
      </c>
      <c r="F3226">
        <v>1261091631</v>
      </c>
      <c r="G3226">
        <v>-1571637183</v>
      </c>
      <c r="H3226">
        <v>3880340063</v>
      </c>
      <c r="I3226">
        <v>-3860010849</v>
      </c>
      <c r="J3226">
        <v>-726673426</v>
      </c>
      <c r="K3226">
        <v>-971414683</v>
      </c>
      <c r="L3226">
        <v>3527945898</v>
      </c>
      <c r="M3226">
        <v>2188682895</v>
      </c>
      <c r="N3226">
        <v>-2549852458</v>
      </c>
      <c r="O3226">
        <v>-2501113265</v>
      </c>
      <c r="P3226">
        <v>1130</v>
      </c>
      <c r="Q3226" t="s">
        <v>6496</v>
      </c>
    </row>
    <row r="3227" spans="1:17" x14ac:dyDescent="0.3">
      <c r="A3227" t="s">
        <v>4446</v>
      </c>
      <c r="B3227" t="str">
        <f>"002501"</f>
        <v>002501</v>
      </c>
      <c r="C3227" t="s">
        <v>6497</v>
      </c>
      <c r="D3227" t="s">
        <v>234</v>
      </c>
      <c r="F3227">
        <v>-777683573</v>
      </c>
      <c r="G3227">
        <v>70594150</v>
      </c>
      <c r="H3227">
        <v>66703551</v>
      </c>
      <c r="I3227">
        <v>-392061154</v>
      </c>
      <c r="J3227">
        <v>-2494496339</v>
      </c>
      <c r="K3227">
        <v>-2207623533</v>
      </c>
      <c r="L3227">
        <v>-3125655592</v>
      </c>
      <c r="M3227">
        <v>-99097455</v>
      </c>
      <c r="N3227">
        <v>-2723679</v>
      </c>
      <c r="O3227">
        <v>-465871446</v>
      </c>
      <c r="P3227">
        <v>107</v>
      </c>
      <c r="Q3227" t="s">
        <v>6498</v>
      </c>
    </row>
    <row r="3228" spans="1:17" x14ac:dyDescent="0.3">
      <c r="A3228" t="s">
        <v>4446</v>
      </c>
      <c r="B3228" t="str">
        <f>"002502"</f>
        <v>002502</v>
      </c>
      <c r="C3228" t="s">
        <v>6499</v>
      </c>
      <c r="D3228" t="s">
        <v>89</v>
      </c>
      <c r="F3228">
        <v>-356214663</v>
      </c>
      <c r="G3228">
        <v>92305434</v>
      </c>
      <c r="H3228">
        <v>-71208898</v>
      </c>
      <c r="I3228">
        <v>-124031874</v>
      </c>
      <c r="J3228">
        <v>44740986</v>
      </c>
      <c r="K3228">
        <v>281398036</v>
      </c>
      <c r="L3228">
        <v>136247675</v>
      </c>
      <c r="M3228">
        <v>24053162</v>
      </c>
      <c r="N3228">
        <v>-58080748</v>
      </c>
      <c r="O3228">
        <v>-20590974</v>
      </c>
      <c r="P3228">
        <v>117</v>
      </c>
      <c r="Q3228" t="s">
        <v>6500</v>
      </c>
    </row>
    <row r="3229" spans="1:17" x14ac:dyDescent="0.3">
      <c r="A3229" t="s">
        <v>4446</v>
      </c>
      <c r="B3229" t="str">
        <f>"002503"</f>
        <v>002503</v>
      </c>
      <c r="C3229" t="s">
        <v>6501</v>
      </c>
      <c r="D3229" t="s">
        <v>227</v>
      </c>
      <c r="F3229">
        <v>-749782112</v>
      </c>
      <c r="G3229">
        <v>-1929431700</v>
      </c>
      <c r="H3229">
        <v>-98505273</v>
      </c>
      <c r="I3229">
        <v>-832097537</v>
      </c>
      <c r="J3229">
        <v>-1192061999</v>
      </c>
      <c r="K3229">
        <v>-724779076</v>
      </c>
      <c r="L3229">
        <v>46907408</v>
      </c>
      <c r="M3229">
        <v>-270010620</v>
      </c>
      <c r="N3229">
        <v>-173219768</v>
      </c>
      <c r="O3229">
        <v>96503997</v>
      </c>
      <c r="P3229">
        <v>244</v>
      </c>
      <c r="Q3229" t="s">
        <v>6502</v>
      </c>
    </row>
    <row r="3230" spans="1:17" x14ac:dyDescent="0.3">
      <c r="A3230" t="s">
        <v>4446</v>
      </c>
      <c r="B3230" t="str">
        <f>"002504"</f>
        <v>002504</v>
      </c>
      <c r="C3230" t="s">
        <v>6503</v>
      </c>
      <c r="D3230" t="s">
        <v>95</v>
      </c>
      <c r="F3230">
        <v>-12100299</v>
      </c>
      <c r="G3230">
        <v>-35900487</v>
      </c>
      <c r="H3230">
        <v>-32604433</v>
      </c>
      <c r="I3230">
        <v>48539629</v>
      </c>
      <c r="J3230">
        <v>-535296157</v>
      </c>
      <c r="K3230">
        <v>42319948</v>
      </c>
      <c r="L3230">
        <v>-33215745</v>
      </c>
      <c r="M3230">
        <v>-54953399</v>
      </c>
      <c r="N3230">
        <v>-56344140</v>
      </c>
      <c r="O3230">
        <v>-107665938</v>
      </c>
      <c r="P3230">
        <v>66</v>
      </c>
      <c r="Q3230" t="s">
        <v>6504</v>
      </c>
    </row>
    <row r="3231" spans="1:17" x14ac:dyDescent="0.3">
      <c r="A3231" t="s">
        <v>4446</v>
      </c>
      <c r="B3231" t="str">
        <f>"002505"</f>
        <v>002505</v>
      </c>
      <c r="C3231" t="s">
        <v>6505</v>
      </c>
      <c r="D3231" t="s">
        <v>205</v>
      </c>
      <c r="F3231">
        <v>-939280888</v>
      </c>
      <c r="G3231">
        <v>70661416</v>
      </c>
      <c r="H3231">
        <v>-139554771</v>
      </c>
      <c r="I3231">
        <v>-372782156</v>
      </c>
      <c r="J3231">
        <v>-1232736938</v>
      </c>
      <c r="K3231">
        <v>-551584518</v>
      </c>
      <c r="L3231">
        <v>-226560609</v>
      </c>
      <c r="M3231">
        <v>-649017370</v>
      </c>
      <c r="N3231">
        <v>-99487383</v>
      </c>
      <c r="O3231">
        <v>-194259105</v>
      </c>
      <c r="P3231">
        <v>209</v>
      </c>
      <c r="Q3231" t="s">
        <v>6506</v>
      </c>
    </row>
    <row r="3232" spans="1:17" x14ac:dyDescent="0.3">
      <c r="A3232" t="s">
        <v>4446</v>
      </c>
      <c r="B3232" t="str">
        <f>"002506"</f>
        <v>002506</v>
      </c>
      <c r="C3232" t="s">
        <v>6507</v>
      </c>
      <c r="D3232" t="s">
        <v>188</v>
      </c>
      <c r="F3232">
        <v>-462915062</v>
      </c>
      <c r="G3232">
        <v>644470785</v>
      </c>
      <c r="H3232">
        <v>307896463</v>
      </c>
      <c r="I3232">
        <v>3032038981</v>
      </c>
      <c r="J3232">
        <v>-442107997</v>
      </c>
      <c r="K3232">
        <v>-4910770273</v>
      </c>
      <c r="L3232">
        <v>-1119854053</v>
      </c>
      <c r="M3232">
        <v>-1203552094</v>
      </c>
      <c r="N3232">
        <v>100162260</v>
      </c>
      <c r="O3232">
        <v>-1752031567</v>
      </c>
      <c r="P3232">
        <v>315</v>
      </c>
      <c r="Q3232" t="s">
        <v>6508</v>
      </c>
    </row>
    <row r="3233" spans="1:17" x14ac:dyDescent="0.3">
      <c r="A3233" t="s">
        <v>4446</v>
      </c>
      <c r="B3233" t="str">
        <f>"002507"</f>
        <v>002507</v>
      </c>
      <c r="C3233" t="s">
        <v>6509</v>
      </c>
      <c r="D3233" t="s">
        <v>123</v>
      </c>
      <c r="F3233">
        <v>604777130</v>
      </c>
      <c r="G3233">
        <v>767028954</v>
      </c>
      <c r="H3233">
        <v>-130521538</v>
      </c>
      <c r="I3233">
        <v>267433847</v>
      </c>
      <c r="J3233">
        <v>437594513</v>
      </c>
      <c r="K3233">
        <v>354459692</v>
      </c>
      <c r="L3233">
        <v>142427328</v>
      </c>
      <c r="M3233">
        <v>5881016</v>
      </c>
      <c r="N3233">
        <v>102316832</v>
      </c>
      <c r="O3233">
        <v>60010395</v>
      </c>
      <c r="P3233">
        <v>4504</v>
      </c>
      <c r="Q3233" t="s">
        <v>6510</v>
      </c>
    </row>
    <row r="3234" spans="1:17" x14ac:dyDescent="0.3">
      <c r="A3234" t="s">
        <v>4446</v>
      </c>
      <c r="B3234" t="str">
        <f>"002508"</f>
        <v>002508</v>
      </c>
      <c r="C3234" t="s">
        <v>6511</v>
      </c>
      <c r="D3234" t="s">
        <v>126</v>
      </c>
      <c r="F3234">
        <v>935236985</v>
      </c>
      <c r="G3234">
        <v>1255654679</v>
      </c>
      <c r="H3234">
        <v>1283471283</v>
      </c>
      <c r="I3234">
        <v>1328410905</v>
      </c>
      <c r="J3234">
        <v>1109978129</v>
      </c>
      <c r="K3234">
        <v>1349803474</v>
      </c>
      <c r="L3234">
        <v>845610324</v>
      </c>
      <c r="M3234">
        <v>452213944</v>
      </c>
      <c r="N3234">
        <v>204283751</v>
      </c>
      <c r="O3234">
        <v>158272800</v>
      </c>
      <c r="P3234">
        <v>40626</v>
      </c>
      <c r="Q3234" t="s">
        <v>6512</v>
      </c>
    </row>
    <row r="3235" spans="1:17" x14ac:dyDescent="0.3">
      <c r="A3235" t="s">
        <v>4446</v>
      </c>
      <c r="B3235" t="str">
        <f>"002509"</f>
        <v>002509</v>
      </c>
      <c r="C3235" t="s">
        <v>6513</v>
      </c>
      <c r="H3235">
        <v>-27017985</v>
      </c>
      <c r="I3235">
        <v>-204841069</v>
      </c>
      <c r="J3235">
        <v>-662570911</v>
      </c>
      <c r="K3235">
        <v>-510767842</v>
      </c>
      <c r="L3235">
        <v>-61290855</v>
      </c>
      <c r="M3235">
        <v>-118467448</v>
      </c>
      <c r="N3235">
        <v>-55558304</v>
      </c>
      <c r="O3235">
        <v>1464770</v>
      </c>
      <c r="P3235">
        <v>60</v>
      </c>
      <c r="Q3235" t="s">
        <v>6514</v>
      </c>
    </row>
    <row r="3236" spans="1:17" x14ac:dyDescent="0.3">
      <c r="A3236" t="s">
        <v>4446</v>
      </c>
      <c r="B3236" t="str">
        <f>"002510"</f>
        <v>002510</v>
      </c>
      <c r="C3236" t="s">
        <v>6515</v>
      </c>
      <c r="D3236" t="s">
        <v>27</v>
      </c>
      <c r="F3236">
        <v>175795568</v>
      </c>
      <c r="G3236">
        <v>168942247</v>
      </c>
      <c r="H3236">
        <v>109571823</v>
      </c>
      <c r="I3236">
        <v>-383996880</v>
      </c>
      <c r="J3236">
        <v>-87007586</v>
      </c>
      <c r="K3236">
        <v>-2634180</v>
      </c>
      <c r="L3236">
        <v>-4889889</v>
      </c>
      <c r="M3236">
        <v>-62680832</v>
      </c>
      <c r="N3236">
        <v>48638908</v>
      </c>
      <c r="O3236">
        <v>9828921</v>
      </c>
      <c r="P3236">
        <v>208</v>
      </c>
      <c r="Q3236" t="s">
        <v>6516</v>
      </c>
    </row>
    <row r="3237" spans="1:17" x14ac:dyDescent="0.3">
      <c r="A3237" t="s">
        <v>4446</v>
      </c>
      <c r="B3237" t="str">
        <f>"002511"</f>
        <v>002511</v>
      </c>
      <c r="C3237" t="s">
        <v>6517</v>
      </c>
      <c r="D3237" t="s">
        <v>481</v>
      </c>
      <c r="F3237">
        <v>694501314</v>
      </c>
      <c r="G3237">
        <v>365352152</v>
      </c>
      <c r="H3237">
        <v>758576641</v>
      </c>
      <c r="I3237">
        <v>-130329198</v>
      </c>
      <c r="J3237">
        <v>186985551</v>
      </c>
      <c r="K3237">
        <v>801355381</v>
      </c>
      <c r="L3237">
        <v>252540464</v>
      </c>
      <c r="M3237">
        <v>-103258143</v>
      </c>
      <c r="N3237">
        <v>-689856974</v>
      </c>
      <c r="O3237">
        <v>-322697684</v>
      </c>
      <c r="P3237">
        <v>2513</v>
      </c>
      <c r="Q3237" t="s">
        <v>6518</v>
      </c>
    </row>
    <row r="3238" spans="1:17" x14ac:dyDescent="0.3">
      <c r="A3238" t="s">
        <v>4446</v>
      </c>
      <c r="B3238" t="str">
        <f>"002512"</f>
        <v>002512</v>
      </c>
      <c r="C3238" t="s">
        <v>6519</v>
      </c>
      <c r="D3238" t="s">
        <v>212</v>
      </c>
      <c r="F3238">
        <v>-254306245</v>
      </c>
      <c r="G3238">
        <v>-298894649</v>
      </c>
      <c r="H3238">
        <v>108328467</v>
      </c>
      <c r="I3238">
        <v>-4507011</v>
      </c>
      <c r="J3238">
        <v>-489598426</v>
      </c>
      <c r="K3238">
        <v>28584593</v>
      </c>
      <c r="L3238">
        <v>-326924912</v>
      </c>
      <c r="M3238">
        <v>-98018767</v>
      </c>
      <c r="N3238">
        <v>-286010301</v>
      </c>
      <c r="O3238">
        <v>-21882959</v>
      </c>
      <c r="P3238">
        <v>162</v>
      </c>
      <c r="Q3238" t="s">
        <v>6520</v>
      </c>
    </row>
    <row r="3239" spans="1:17" x14ac:dyDescent="0.3">
      <c r="A3239" t="s">
        <v>4446</v>
      </c>
      <c r="B3239" t="str">
        <f>"002513"</f>
        <v>002513</v>
      </c>
      <c r="C3239" t="s">
        <v>6521</v>
      </c>
      <c r="D3239" t="s">
        <v>133</v>
      </c>
      <c r="F3239">
        <v>-73414788</v>
      </c>
      <c r="G3239">
        <v>73190519</v>
      </c>
      <c r="H3239">
        <v>178954753</v>
      </c>
      <c r="I3239">
        <v>-34733217</v>
      </c>
      <c r="J3239">
        <v>-67589374</v>
      </c>
      <c r="K3239">
        <v>170086439</v>
      </c>
      <c r="L3239">
        <v>142967533</v>
      </c>
      <c r="M3239">
        <v>-55301381</v>
      </c>
      <c r="N3239">
        <v>-209420959</v>
      </c>
      <c r="O3239">
        <v>-370846446</v>
      </c>
      <c r="P3239">
        <v>46</v>
      </c>
      <c r="Q3239" t="s">
        <v>6522</v>
      </c>
    </row>
    <row r="3240" spans="1:17" x14ac:dyDescent="0.3">
      <c r="A3240" t="s">
        <v>4446</v>
      </c>
      <c r="B3240" t="str">
        <f>"002514"</f>
        <v>002514</v>
      </c>
      <c r="C3240" t="s">
        <v>6523</v>
      </c>
      <c r="D3240" t="s">
        <v>78</v>
      </c>
      <c r="F3240">
        <v>91872119</v>
      </c>
      <c r="G3240">
        <v>-42884208</v>
      </c>
      <c r="H3240">
        <v>61301144</v>
      </c>
      <c r="I3240">
        <v>-113672009</v>
      </c>
      <c r="J3240">
        <v>-23785337</v>
      </c>
      <c r="K3240">
        <v>-21856171</v>
      </c>
      <c r="L3240">
        <v>-121236634</v>
      </c>
      <c r="M3240">
        <v>-54867201</v>
      </c>
      <c r="N3240">
        <v>-58448841</v>
      </c>
      <c r="O3240">
        <v>2899446</v>
      </c>
      <c r="P3240">
        <v>61</v>
      </c>
      <c r="Q3240" t="s">
        <v>6524</v>
      </c>
    </row>
    <row r="3241" spans="1:17" x14ac:dyDescent="0.3">
      <c r="A3241" t="s">
        <v>4446</v>
      </c>
      <c r="B3241" t="str">
        <f>"002515"</f>
        <v>002515</v>
      </c>
      <c r="C3241" t="s">
        <v>6525</v>
      </c>
      <c r="D3241" t="s">
        <v>123</v>
      </c>
      <c r="F3241">
        <v>222895456</v>
      </c>
      <c r="G3241">
        <v>-246409552</v>
      </c>
      <c r="H3241">
        <v>-133559052</v>
      </c>
      <c r="I3241">
        <v>-156710501</v>
      </c>
      <c r="J3241">
        <v>-69852782</v>
      </c>
      <c r="K3241">
        <v>93568020</v>
      </c>
      <c r="L3241">
        <v>97688045</v>
      </c>
      <c r="M3241">
        <v>-15476706</v>
      </c>
      <c r="N3241">
        <v>-93327993</v>
      </c>
      <c r="O3241">
        <v>-89847287</v>
      </c>
      <c r="P3241">
        <v>296</v>
      </c>
      <c r="Q3241" t="s">
        <v>6526</v>
      </c>
    </row>
    <row r="3242" spans="1:17" x14ac:dyDescent="0.3">
      <c r="A3242" t="s">
        <v>4446</v>
      </c>
      <c r="B3242" t="str">
        <f>"002516"</f>
        <v>002516</v>
      </c>
      <c r="C3242" t="s">
        <v>6527</v>
      </c>
      <c r="D3242" t="s">
        <v>27</v>
      </c>
      <c r="F3242">
        <v>133062045</v>
      </c>
      <c r="G3242">
        <v>240323050</v>
      </c>
      <c r="H3242">
        <v>234377246</v>
      </c>
      <c r="I3242">
        <v>145072386</v>
      </c>
      <c r="J3242">
        <v>507388212</v>
      </c>
      <c r="K3242">
        <v>-401512798</v>
      </c>
      <c r="L3242">
        <v>-1263356440</v>
      </c>
      <c r="M3242">
        <v>-58761443</v>
      </c>
      <c r="N3242">
        <v>-18938281</v>
      </c>
      <c r="O3242">
        <v>92171016</v>
      </c>
      <c r="P3242">
        <v>160</v>
      </c>
      <c r="Q3242" t="s">
        <v>6528</v>
      </c>
    </row>
    <row r="3243" spans="1:17" x14ac:dyDescent="0.3">
      <c r="A3243" t="s">
        <v>4446</v>
      </c>
      <c r="B3243" t="str">
        <f>"002517"</f>
        <v>002517</v>
      </c>
      <c r="C3243" t="s">
        <v>6529</v>
      </c>
      <c r="D3243" t="s">
        <v>89</v>
      </c>
      <c r="F3243">
        <v>347613518</v>
      </c>
      <c r="G3243">
        <v>39124945</v>
      </c>
      <c r="H3243">
        <v>268876386</v>
      </c>
      <c r="I3243">
        <v>830819042</v>
      </c>
      <c r="J3243">
        <v>506887842</v>
      </c>
      <c r="K3243">
        <v>438756272</v>
      </c>
      <c r="L3243">
        <v>574117521</v>
      </c>
      <c r="M3243">
        <v>-44131968</v>
      </c>
      <c r="N3243">
        <v>-133297123</v>
      </c>
      <c r="O3243">
        <v>-93397159</v>
      </c>
      <c r="P3243">
        <v>289</v>
      </c>
      <c r="Q3243" t="s">
        <v>6530</v>
      </c>
    </row>
    <row r="3244" spans="1:17" x14ac:dyDescent="0.3">
      <c r="A3244" t="s">
        <v>4446</v>
      </c>
      <c r="B3244" t="str">
        <f>"002518"</f>
        <v>002518</v>
      </c>
      <c r="C3244" t="s">
        <v>6531</v>
      </c>
      <c r="D3244" t="s">
        <v>188</v>
      </c>
      <c r="F3244">
        <v>259658698</v>
      </c>
      <c r="G3244">
        <v>173793497</v>
      </c>
      <c r="H3244">
        <v>795212845</v>
      </c>
      <c r="I3244">
        <v>-253641005</v>
      </c>
      <c r="J3244">
        <v>226929077</v>
      </c>
      <c r="K3244">
        <v>78178218</v>
      </c>
      <c r="L3244">
        <v>198556483</v>
      </c>
      <c r="M3244">
        <v>81688641</v>
      </c>
      <c r="N3244">
        <v>-50019942</v>
      </c>
      <c r="O3244">
        <v>-76151822</v>
      </c>
      <c r="P3244">
        <v>401</v>
      </c>
      <c r="Q3244" t="s">
        <v>6532</v>
      </c>
    </row>
    <row r="3245" spans="1:17" x14ac:dyDescent="0.3">
      <c r="A3245" t="s">
        <v>4446</v>
      </c>
      <c r="B3245" t="str">
        <f>"002519"</f>
        <v>002519</v>
      </c>
      <c r="C3245" t="s">
        <v>6533</v>
      </c>
      <c r="D3245" t="s">
        <v>126</v>
      </c>
      <c r="F3245">
        <v>-159928916</v>
      </c>
      <c r="G3245">
        <v>335266021</v>
      </c>
      <c r="H3245">
        <v>105887592</v>
      </c>
      <c r="I3245">
        <v>-133491108</v>
      </c>
      <c r="J3245">
        <v>-126425698</v>
      </c>
      <c r="K3245">
        <v>95191559</v>
      </c>
      <c r="L3245">
        <v>41882595</v>
      </c>
      <c r="M3245">
        <v>109148629</v>
      </c>
      <c r="N3245">
        <v>66524102</v>
      </c>
      <c r="O3245">
        <v>150935207</v>
      </c>
      <c r="P3245">
        <v>160</v>
      </c>
      <c r="Q3245" t="s">
        <v>6534</v>
      </c>
    </row>
    <row r="3246" spans="1:17" x14ac:dyDescent="0.3">
      <c r="A3246" t="s">
        <v>4446</v>
      </c>
      <c r="B3246" t="str">
        <f>"002520"</f>
        <v>002520</v>
      </c>
      <c r="C3246" t="s">
        <v>6535</v>
      </c>
      <c r="D3246" t="s">
        <v>78</v>
      </c>
      <c r="F3246">
        <v>139086364</v>
      </c>
      <c r="G3246">
        <v>-335411620</v>
      </c>
      <c r="H3246">
        <v>-489136903</v>
      </c>
      <c r="I3246">
        <v>-419488510</v>
      </c>
      <c r="J3246">
        <v>97325677</v>
      </c>
      <c r="K3246">
        <v>-83853466</v>
      </c>
      <c r="L3246">
        <v>-8469935</v>
      </c>
      <c r="M3246">
        <v>1746112</v>
      </c>
      <c r="N3246">
        <v>-107272784</v>
      </c>
      <c r="O3246">
        <v>-76503644</v>
      </c>
      <c r="P3246">
        <v>99</v>
      </c>
      <c r="Q3246" t="s">
        <v>6536</v>
      </c>
    </row>
    <row r="3247" spans="1:17" x14ac:dyDescent="0.3">
      <c r="A3247" t="s">
        <v>4446</v>
      </c>
      <c r="B3247" t="str">
        <f>"002521"</f>
        <v>002521</v>
      </c>
      <c r="C3247" t="s">
        <v>6537</v>
      </c>
      <c r="D3247" t="s">
        <v>161</v>
      </c>
      <c r="F3247">
        <v>208397609</v>
      </c>
      <c r="G3247">
        <v>411435107</v>
      </c>
      <c r="H3247">
        <v>258769595</v>
      </c>
      <c r="I3247">
        <v>304827853</v>
      </c>
      <c r="J3247">
        <v>-479783719</v>
      </c>
      <c r="K3247">
        <v>159572290</v>
      </c>
      <c r="L3247">
        <v>-159976273</v>
      </c>
      <c r="M3247">
        <v>228731519</v>
      </c>
      <c r="N3247">
        <v>-301699018</v>
      </c>
      <c r="O3247">
        <v>-309738429</v>
      </c>
      <c r="P3247">
        <v>132</v>
      </c>
      <c r="Q3247" t="s">
        <v>6538</v>
      </c>
    </row>
    <row r="3248" spans="1:17" x14ac:dyDescent="0.3">
      <c r="A3248" t="s">
        <v>4446</v>
      </c>
      <c r="B3248" t="str">
        <f>"002522"</f>
        <v>002522</v>
      </c>
      <c r="C3248" t="s">
        <v>6539</v>
      </c>
      <c r="D3248" t="s">
        <v>133</v>
      </c>
      <c r="F3248">
        <v>-23470802</v>
      </c>
      <c r="G3248">
        <v>265730241</v>
      </c>
      <c r="H3248">
        <v>88760997</v>
      </c>
      <c r="I3248">
        <v>-255932880</v>
      </c>
      <c r="J3248">
        <v>-484600386</v>
      </c>
      <c r="K3248">
        <v>-288070614</v>
      </c>
      <c r="L3248">
        <v>-41841879</v>
      </c>
      <c r="M3248">
        <v>-31402806</v>
      </c>
      <c r="N3248">
        <v>-97350938</v>
      </c>
      <c r="O3248">
        <v>-142625564</v>
      </c>
      <c r="P3248">
        <v>367</v>
      </c>
      <c r="Q3248" t="s">
        <v>6540</v>
      </c>
    </row>
    <row r="3249" spans="1:17" x14ac:dyDescent="0.3">
      <c r="A3249" t="s">
        <v>4446</v>
      </c>
      <c r="B3249" t="str">
        <f>"002523"</f>
        <v>002523</v>
      </c>
      <c r="C3249" t="s">
        <v>6541</v>
      </c>
      <c r="D3249" t="s">
        <v>78</v>
      </c>
      <c r="F3249">
        <v>30890957</v>
      </c>
      <c r="G3249">
        <v>-11769390</v>
      </c>
      <c r="H3249">
        <v>124959255</v>
      </c>
      <c r="I3249">
        <v>-139854549</v>
      </c>
      <c r="J3249">
        <v>158510265</v>
      </c>
      <c r="K3249">
        <v>19457055</v>
      </c>
      <c r="L3249">
        <v>29798982</v>
      </c>
      <c r="M3249">
        <v>-39848046</v>
      </c>
      <c r="N3249">
        <v>-67999013</v>
      </c>
      <c r="O3249">
        <v>-46565336</v>
      </c>
      <c r="P3249">
        <v>53</v>
      </c>
      <c r="Q3249" t="s">
        <v>6542</v>
      </c>
    </row>
    <row r="3250" spans="1:17" x14ac:dyDescent="0.3">
      <c r="A3250" t="s">
        <v>4446</v>
      </c>
      <c r="B3250" t="str">
        <f>"002524"</f>
        <v>002524</v>
      </c>
      <c r="C3250" t="s">
        <v>6543</v>
      </c>
      <c r="D3250" t="s">
        <v>113</v>
      </c>
      <c r="F3250">
        <v>96449671</v>
      </c>
      <c r="G3250">
        <v>98761849</v>
      </c>
      <c r="H3250">
        <v>39611331</v>
      </c>
      <c r="I3250">
        <v>277627400</v>
      </c>
      <c r="J3250">
        <v>76306118</v>
      </c>
      <c r="K3250">
        <v>13855721</v>
      </c>
      <c r="L3250">
        <v>80896673</v>
      </c>
      <c r="M3250">
        <v>-38433642</v>
      </c>
      <c r="N3250">
        <v>-142609371</v>
      </c>
      <c r="O3250">
        <v>-156308001</v>
      </c>
      <c r="P3250">
        <v>180</v>
      </c>
      <c r="Q3250" t="s">
        <v>6544</v>
      </c>
    </row>
    <row r="3251" spans="1:17" x14ac:dyDescent="0.3">
      <c r="A3251" t="s">
        <v>4446</v>
      </c>
      <c r="B3251" t="str">
        <f>"002526"</f>
        <v>002526</v>
      </c>
      <c r="C3251" t="s">
        <v>6545</v>
      </c>
      <c r="D3251" t="s">
        <v>78</v>
      </c>
      <c r="F3251">
        <v>-102675549</v>
      </c>
      <c r="G3251">
        <v>341084151</v>
      </c>
      <c r="H3251">
        <v>327979525</v>
      </c>
      <c r="I3251">
        <v>168694983</v>
      </c>
      <c r="J3251">
        <v>152192878</v>
      </c>
      <c r="K3251">
        <v>125756112</v>
      </c>
      <c r="L3251">
        <v>81305389</v>
      </c>
      <c r="M3251">
        <v>-67230953</v>
      </c>
      <c r="N3251">
        <v>-165807767</v>
      </c>
      <c r="O3251">
        <v>-130492424</v>
      </c>
      <c r="P3251">
        <v>103</v>
      </c>
      <c r="Q3251" t="s">
        <v>6546</v>
      </c>
    </row>
    <row r="3252" spans="1:17" x14ac:dyDescent="0.3">
      <c r="A3252" t="s">
        <v>4446</v>
      </c>
      <c r="B3252" t="str">
        <f>"002527"</f>
        <v>002527</v>
      </c>
      <c r="C3252" t="s">
        <v>6547</v>
      </c>
      <c r="D3252" t="s">
        <v>78</v>
      </c>
      <c r="F3252">
        <v>78018563</v>
      </c>
      <c r="G3252">
        <v>134691199</v>
      </c>
      <c r="H3252">
        <v>142074427</v>
      </c>
      <c r="I3252">
        <v>-126063913</v>
      </c>
      <c r="J3252">
        <v>-29747124</v>
      </c>
      <c r="K3252">
        <v>74115915</v>
      </c>
      <c r="L3252">
        <v>64456278</v>
      </c>
      <c r="M3252">
        <v>22396853</v>
      </c>
      <c r="N3252">
        <v>68884339</v>
      </c>
      <c r="O3252">
        <v>46027644</v>
      </c>
      <c r="P3252">
        <v>161</v>
      </c>
      <c r="Q3252" t="s">
        <v>6548</v>
      </c>
    </row>
    <row r="3253" spans="1:17" x14ac:dyDescent="0.3">
      <c r="A3253" t="s">
        <v>4446</v>
      </c>
      <c r="B3253" t="str">
        <f>"002528"</f>
        <v>002528</v>
      </c>
      <c r="C3253" t="s">
        <v>6549</v>
      </c>
      <c r="D3253" t="s">
        <v>212</v>
      </c>
      <c r="F3253">
        <v>76098098</v>
      </c>
      <c r="G3253">
        <v>-659267666</v>
      </c>
      <c r="H3253">
        <v>-860083941</v>
      </c>
      <c r="I3253">
        <v>-345259448</v>
      </c>
      <c r="J3253">
        <v>-69675360</v>
      </c>
      <c r="K3253">
        <v>-101128620</v>
      </c>
      <c r="L3253">
        <v>-107861796</v>
      </c>
      <c r="M3253">
        <v>-17589424</v>
      </c>
      <c r="N3253">
        <v>-50467304</v>
      </c>
      <c r="O3253">
        <v>74562524</v>
      </c>
      <c r="P3253">
        <v>169</v>
      </c>
      <c r="Q3253" t="s">
        <v>6550</v>
      </c>
    </row>
    <row r="3254" spans="1:17" x14ac:dyDescent="0.3">
      <c r="A3254" t="s">
        <v>4446</v>
      </c>
      <c r="B3254" t="str">
        <f>"002529"</f>
        <v>002529</v>
      </c>
      <c r="C3254" t="s">
        <v>6551</v>
      </c>
      <c r="D3254" t="s">
        <v>78</v>
      </c>
      <c r="F3254">
        <v>-11349473</v>
      </c>
      <c r="G3254">
        <v>302275371</v>
      </c>
      <c r="H3254">
        <v>-124959977</v>
      </c>
      <c r="I3254">
        <v>-209139002</v>
      </c>
      <c r="J3254">
        <v>-170274652</v>
      </c>
      <c r="K3254">
        <v>-245952847</v>
      </c>
      <c r="L3254">
        <v>-47149083</v>
      </c>
      <c r="M3254">
        <v>-138761548</v>
      </c>
      <c r="N3254">
        <v>-102726178</v>
      </c>
      <c r="O3254">
        <v>-158115779</v>
      </c>
      <c r="P3254">
        <v>68</v>
      </c>
      <c r="Q3254" t="s">
        <v>6552</v>
      </c>
    </row>
    <row r="3255" spans="1:17" x14ac:dyDescent="0.3">
      <c r="A3255" t="s">
        <v>4446</v>
      </c>
      <c r="B3255" t="str">
        <f>"002530"</f>
        <v>002530</v>
      </c>
      <c r="C3255" t="s">
        <v>6553</v>
      </c>
      <c r="D3255" t="s">
        <v>212</v>
      </c>
      <c r="F3255">
        <v>-194882914</v>
      </c>
      <c r="G3255">
        <v>-186357429</v>
      </c>
      <c r="H3255">
        <v>-222738517</v>
      </c>
      <c r="I3255">
        <v>-128735550</v>
      </c>
      <c r="J3255">
        <v>69423511</v>
      </c>
      <c r="K3255">
        <v>209861724</v>
      </c>
      <c r="L3255">
        <v>-105058</v>
      </c>
      <c r="M3255">
        <v>-35454051</v>
      </c>
      <c r="N3255">
        <v>-23362098</v>
      </c>
      <c r="O3255">
        <v>-9050196</v>
      </c>
      <c r="P3255">
        <v>135</v>
      </c>
      <c r="Q3255" t="s">
        <v>6554</v>
      </c>
    </row>
    <row r="3256" spans="1:17" x14ac:dyDescent="0.3">
      <c r="A3256" t="s">
        <v>4446</v>
      </c>
      <c r="B3256" t="str">
        <f>"002531"</f>
        <v>002531</v>
      </c>
      <c r="C3256" t="s">
        <v>6555</v>
      </c>
      <c r="D3256" t="s">
        <v>188</v>
      </c>
      <c r="F3256">
        <v>-182670953</v>
      </c>
      <c r="G3256">
        <v>-902724987</v>
      </c>
      <c r="H3256">
        <v>-23140451</v>
      </c>
      <c r="I3256">
        <v>-318018817</v>
      </c>
      <c r="J3256">
        <v>-2895901540</v>
      </c>
      <c r="K3256">
        <v>148089094</v>
      </c>
      <c r="L3256">
        <v>-782076566</v>
      </c>
      <c r="M3256">
        <v>84780297</v>
      </c>
      <c r="N3256">
        <v>-189939820</v>
      </c>
      <c r="O3256">
        <v>-9972040</v>
      </c>
      <c r="P3256">
        <v>599</v>
      </c>
      <c r="Q3256" t="s">
        <v>6556</v>
      </c>
    </row>
    <row r="3257" spans="1:17" x14ac:dyDescent="0.3">
      <c r="A3257" t="s">
        <v>4446</v>
      </c>
      <c r="B3257" t="str">
        <f>"002532"</f>
        <v>002532</v>
      </c>
      <c r="C3257" t="s">
        <v>6557</v>
      </c>
      <c r="D3257" t="s">
        <v>234</v>
      </c>
      <c r="F3257">
        <v>-888796089</v>
      </c>
      <c r="G3257">
        <v>913019813</v>
      </c>
      <c r="H3257">
        <v>157546668</v>
      </c>
      <c r="I3257">
        <v>8370076</v>
      </c>
      <c r="J3257">
        <v>81365</v>
      </c>
      <c r="K3257">
        <v>-37588532</v>
      </c>
      <c r="L3257">
        <v>-23360285</v>
      </c>
      <c r="M3257">
        <v>91640943</v>
      </c>
      <c r="N3257">
        <v>-90594605</v>
      </c>
      <c r="O3257">
        <v>-15951431</v>
      </c>
      <c r="P3257">
        <v>424</v>
      </c>
      <c r="Q3257" t="s">
        <v>6558</v>
      </c>
    </row>
    <row r="3258" spans="1:17" x14ac:dyDescent="0.3">
      <c r="A3258" t="s">
        <v>4446</v>
      </c>
      <c r="B3258" t="str">
        <f>"002533"</f>
        <v>002533</v>
      </c>
      <c r="C3258" t="s">
        <v>6559</v>
      </c>
      <c r="D3258" t="s">
        <v>188</v>
      </c>
      <c r="F3258">
        <v>358842628</v>
      </c>
      <c r="G3258">
        <v>120478493</v>
      </c>
      <c r="H3258">
        <v>107736530</v>
      </c>
      <c r="I3258">
        <v>-71950901</v>
      </c>
      <c r="J3258">
        <v>-378069567</v>
      </c>
      <c r="K3258">
        <v>298169096</v>
      </c>
      <c r="L3258">
        <v>146367232</v>
      </c>
      <c r="M3258">
        <v>68685015</v>
      </c>
      <c r="N3258">
        <v>-1903869</v>
      </c>
      <c r="O3258">
        <v>154807443</v>
      </c>
      <c r="P3258">
        <v>193</v>
      </c>
      <c r="Q3258" t="s">
        <v>6560</v>
      </c>
    </row>
    <row r="3259" spans="1:17" x14ac:dyDescent="0.3">
      <c r="A3259" t="s">
        <v>4446</v>
      </c>
      <c r="B3259" t="str">
        <f>"002534"</f>
        <v>002534</v>
      </c>
      <c r="C3259" t="s">
        <v>6561</v>
      </c>
      <c r="D3259" t="s">
        <v>188</v>
      </c>
      <c r="F3259">
        <v>-146100361</v>
      </c>
      <c r="G3259">
        <v>309154111</v>
      </c>
      <c r="H3259">
        <v>667739963</v>
      </c>
      <c r="I3259">
        <v>305186962</v>
      </c>
      <c r="J3259">
        <v>391599186</v>
      </c>
      <c r="K3259">
        <v>580633554</v>
      </c>
      <c r="L3259">
        <v>271130487</v>
      </c>
      <c r="M3259">
        <v>207987394</v>
      </c>
      <c r="N3259">
        <v>223939486</v>
      </c>
      <c r="O3259">
        <v>-732539965</v>
      </c>
      <c r="P3259">
        <v>192</v>
      </c>
      <c r="Q3259" t="s">
        <v>6562</v>
      </c>
    </row>
    <row r="3260" spans="1:17" x14ac:dyDescent="0.3">
      <c r="A3260" t="s">
        <v>4446</v>
      </c>
      <c r="B3260" t="str">
        <f>"002535"</f>
        <v>002535</v>
      </c>
      <c r="C3260" t="s">
        <v>6563</v>
      </c>
      <c r="D3260" t="s">
        <v>78</v>
      </c>
      <c r="F3260">
        <v>380341127</v>
      </c>
      <c r="G3260">
        <v>108674192</v>
      </c>
      <c r="H3260">
        <v>-982051819</v>
      </c>
      <c r="I3260">
        <v>359150551</v>
      </c>
      <c r="J3260">
        <v>9761691</v>
      </c>
      <c r="K3260">
        <v>-571637773</v>
      </c>
      <c r="L3260">
        <v>-450852489</v>
      </c>
      <c r="M3260">
        <v>-248230572</v>
      </c>
      <c r="N3260">
        <v>-54238752</v>
      </c>
      <c r="O3260">
        <v>-511683065</v>
      </c>
      <c r="P3260">
        <v>89</v>
      </c>
      <c r="Q3260" t="s">
        <v>6564</v>
      </c>
    </row>
    <row r="3261" spans="1:17" x14ac:dyDescent="0.3">
      <c r="A3261" t="s">
        <v>4446</v>
      </c>
      <c r="B3261" t="str">
        <f>"002536"</f>
        <v>002536</v>
      </c>
      <c r="C3261" t="s">
        <v>6565</v>
      </c>
      <c r="D3261" t="s">
        <v>27</v>
      </c>
      <c r="F3261">
        <v>-31637845</v>
      </c>
      <c r="G3261">
        <v>-3725350</v>
      </c>
      <c r="H3261">
        <v>323370833</v>
      </c>
      <c r="I3261">
        <v>109848117</v>
      </c>
      <c r="J3261">
        <v>-12308216</v>
      </c>
      <c r="K3261">
        <v>-85953135</v>
      </c>
      <c r="L3261">
        <v>-54014578</v>
      </c>
      <c r="M3261">
        <v>-12373759</v>
      </c>
      <c r="N3261">
        <v>-59796053</v>
      </c>
      <c r="O3261">
        <v>-130238467</v>
      </c>
      <c r="P3261">
        <v>254</v>
      </c>
      <c r="Q3261" t="s">
        <v>6566</v>
      </c>
    </row>
    <row r="3262" spans="1:17" x14ac:dyDescent="0.3">
      <c r="A3262" t="s">
        <v>4446</v>
      </c>
      <c r="B3262" t="str">
        <f>"002537"</f>
        <v>002537</v>
      </c>
      <c r="C3262" t="s">
        <v>6567</v>
      </c>
      <c r="D3262" t="s">
        <v>27</v>
      </c>
      <c r="F3262">
        <v>200731573</v>
      </c>
      <c r="G3262">
        <v>246353694</v>
      </c>
      <c r="H3262">
        <v>-226437344</v>
      </c>
      <c r="I3262">
        <v>63317708</v>
      </c>
      <c r="J3262">
        <v>-295578925</v>
      </c>
      <c r="K3262">
        <v>349373138</v>
      </c>
      <c r="L3262">
        <v>401238357</v>
      </c>
      <c r="M3262">
        <v>319866395</v>
      </c>
      <c r="N3262">
        <v>-98327683</v>
      </c>
      <c r="O3262">
        <v>-271733855</v>
      </c>
      <c r="P3262">
        <v>182</v>
      </c>
      <c r="Q3262" t="s">
        <v>6568</v>
      </c>
    </row>
    <row r="3263" spans="1:17" x14ac:dyDescent="0.3">
      <c r="A3263" t="s">
        <v>4446</v>
      </c>
      <c r="B3263" t="str">
        <f>"002538"</f>
        <v>002538</v>
      </c>
      <c r="C3263" t="s">
        <v>6569</v>
      </c>
      <c r="D3263" t="s">
        <v>133</v>
      </c>
      <c r="F3263">
        <v>-149308716</v>
      </c>
      <c r="G3263">
        <v>1036219104</v>
      </c>
      <c r="H3263">
        <v>177497173</v>
      </c>
      <c r="I3263">
        <v>-62409604</v>
      </c>
      <c r="J3263">
        <v>-252321692</v>
      </c>
      <c r="K3263">
        <v>366972852</v>
      </c>
      <c r="L3263">
        <v>239169902</v>
      </c>
      <c r="M3263">
        <v>-196252135</v>
      </c>
      <c r="N3263">
        <v>-242870268</v>
      </c>
      <c r="O3263">
        <v>-294547269</v>
      </c>
      <c r="P3263">
        <v>174</v>
      </c>
      <c r="Q3263" t="s">
        <v>6570</v>
      </c>
    </row>
    <row r="3264" spans="1:17" x14ac:dyDescent="0.3">
      <c r="A3264" t="s">
        <v>4446</v>
      </c>
      <c r="B3264" t="str">
        <f>"002539"</f>
        <v>002539</v>
      </c>
      <c r="C3264" t="s">
        <v>6571</v>
      </c>
      <c r="D3264" t="s">
        <v>133</v>
      </c>
      <c r="F3264">
        <v>440274908</v>
      </c>
      <c r="G3264">
        <v>572174633</v>
      </c>
      <c r="H3264">
        <v>608679604</v>
      </c>
      <c r="I3264">
        <v>22262073</v>
      </c>
      <c r="J3264">
        <v>512679683</v>
      </c>
      <c r="K3264">
        <v>30251955</v>
      </c>
      <c r="L3264">
        <v>-617729806</v>
      </c>
      <c r="M3264">
        <v>-718922399</v>
      </c>
      <c r="N3264">
        <v>-295141243</v>
      </c>
      <c r="O3264">
        <v>-642911814</v>
      </c>
      <c r="P3264">
        <v>240</v>
      </c>
      <c r="Q3264" t="s">
        <v>6572</v>
      </c>
    </row>
    <row r="3265" spans="1:17" x14ac:dyDescent="0.3">
      <c r="A3265" t="s">
        <v>4446</v>
      </c>
      <c r="B3265" t="str">
        <f>"002540"</f>
        <v>002540</v>
      </c>
      <c r="C3265" t="s">
        <v>6573</v>
      </c>
      <c r="D3265" t="s">
        <v>234</v>
      </c>
      <c r="F3265">
        <v>-427563719</v>
      </c>
      <c r="G3265">
        <v>-146497277</v>
      </c>
      <c r="H3265">
        <v>72766681</v>
      </c>
      <c r="I3265">
        <v>357917755</v>
      </c>
      <c r="J3265">
        <v>-207190146</v>
      </c>
      <c r="K3265">
        <v>-185927164</v>
      </c>
      <c r="L3265">
        <v>33765412</v>
      </c>
      <c r="M3265">
        <v>45587649</v>
      </c>
      <c r="N3265">
        <v>-92598691</v>
      </c>
      <c r="O3265">
        <v>-168865271</v>
      </c>
      <c r="P3265">
        <v>162</v>
      </c>
      <c r="Q3265" t="s">
        <v>6574</v>
      </c>
    </row>
    <row r="3266" spans="1:17" x14ac:dyDescent="0.3">
      <c r="A3266" t="s">
        <v>4446</v>
      </c>
      <c r="B3266" t="str">
        <f>"002541"</f>
        <v>002541</v>
      </c>
      <c r="C3266" t="s">
        <v>6575</v>
      </c>
      <c r="D3266" t="s">
        <v>95</v>
      </c>
      <c r="F3266">
        <v>-1827387991</v>
      </c>
      <c r="G3266">
        <v>-1004325077</v>
      </c>
      <c r="H3266">
        <v>-481032484</v>
      </c>
      <c r="I3266">
        <v>230506213</v>
      </c>
      <c r="J3266">
        <v>-611978317</v>
      </c>
      <c r="K3266">
        <v>24118672</v>
      </c>
      <c r="L3266">
        <v>-32467260</v>
      </c>
      <c r="M3266">
        <v>-151011334</v>
      </c>
      <c r="N3266">
        <v>-373209452</v>
      </c>
      <c r="O3266">
        <v>-360870108</v>
      </c>
      <c r="P3266">
        <v>443</v>
      </c>
      <c r="Q3266" t="s">
        <v>6576</v>
      </c>
    </row>
    <row r="3267" spans="1:17" x14ac:dyDescent="0.3">
      <c r="A3267" t="s">
        <v>4446</v>
      </c>
      <c r="B3267" t="str">
        <f>"002542"</f>
        <v>002542</v>
      </c>
      <c r="C3267" t="s">
        <v>6577</v>
      </c>
      <c r="D3267" t="s">
        <v>95</v>
      </c>
      <c r="F3267">
        <v>-20238166</v>
      </c>
      <c r="G3267">
        <v>-303037054</v>
      </c>
      <c r="H3267">
        <v>-1139255</v>
      </c>
      <c r="I3267">
        <v>-192025338</v>
      </c>
      <c r="J3267">
        <v>-41435287</v>
      </c>
      <c r="K3267">
        <v>-363837883</v>
      </c>
      <c r="L3267">
        <v>-213764061</v>
      </c>
      <c r="M3267">
        <v>-329130772</v>
      </c>
      <c r="N3267">
        <v>-35785252</v>
      </c>
      <c r="O3267">
        <v>-185302312</v>
      </c>
      <c r="P3267">
        <v>161</v>
      </c>
      <c r="Q3267" t="s">
        <v>6578</v>
      </c>
    </row>
    <row r="3268" spans="1:17" x14ac:dyDescent="0.3">
      <c r="A3268" t="s">
        <v>4446</v>
      </c>
      <c r="B3268" t="str">
        <f>"002543"</f>
        <v>002543</v>
      </c>
      <c r="C3268" t="s">
        <v>6579</v>
      </c>
      <c r="D3268" t="s">
        <v>126</v>
      </c>
      <c r="F3268">
        <v>315373531</v>
      </c>
      <c r="G3268">
        <v>1142746066</v>
      </c>
      <c r="H3268">
        <v>666020027</v>
      </c>
      <c r="I3268">
        <v>-94849226</v>
      </c>
      <c r="J3268">
        <v>507685853</v>
      </c>
      <c r="K3268">
        <v>481718453</v>
      </c>
      <c r="L3268">
        <v>460604016</v>
      </c>
      <c r="M3268">
        <v>10674408</v>
      </c>
      <c r="N3268">
        <v>93142949</v>
      </c>
      <c r="O3268">
        <v>-139016854</v>
      </c>
      <c r="P3268">
        <v>434</v>
      </c>
      <c r="Q3268" t="s">
        <v>6580</v>
      </c>
    </row>
    <row r="3269" spans="1:17" x14ac:dyDescent="0.3">
      <c r="A3269" t="s">
        <v>4446</v>
      </c>
      <c r="B3269" t="str">
        <f>"002544"</f>
        <v>002544</v>
      </c>
      <c r="C3269" t="s">
        <v>6581</v>
      </c>
      <c r="D3269" t="s">
        <v>100</v>
      </c>
      <c r="F3269">
        <v>72695030</v>
      </c>
      <c r="G3269">
        <v>304345140</v>
      </c>
      <c r="H3269">
        <v>-176954934</v>
      </c>
      <c r="I3269">
        <v>35279314</v>
      </c>
      <c r="J3269">
        <v>43801498</v>
      </c>
      <c r="K3269">
        <v>4156003</v>
      </c>
      <c r="L3269">
        <v>-39797768</v>
      </c>
      <c r="M3269">
        <v>-288057973</v>
      </c>
      <c r="N3269">
        <v>-94139078</v>
      </c>
      <c r="O3269">
        <v>-7357593</v>
      </c>
      <c r="P3269">
        <v>324</v>
      </c>
      <c r="Q3269" t="s">
        <v>6582</v>
      </c>
    </row>
    <row r="3270" spans="1:17" x14ac:dyDescent="0.3">
      <c r="A3270" t="s">
        <v>4446</v>
      </c>
      <c r="B3270" t="str">
        <f>"002545"</f>
        <v>002545</v>
      </c>
      <c r="C3270" t="s">
        <v>6583</v>
      </c>
      <c r="D3270" t="s">
        <v>95</v>
      </c>
      <c r="F3270">
        <v>231965321</v>
      </c>
      <c r="G3270">
        <v>99803778</v>
      </c>
      <c r="H3270">
        <v>234601060</v>
      </c>
      <c r="I3270">
        <v>284874443</v>
      </c>
      <c r="J3270">
        <v>-162024611</v>
      </c>
      <c r="K3270">
        <v>294825722</v>
      </c>
      <c r="L3270">
        <v>112084320</v>
      </c>
      <c r="M3270">
        <v>139815963</v>
      </c>
      <c r="N3270">
        <v>45540754</v>
      </c>
      <c r="O3270">
        <v>-155607987</v>
      </c>
      <c r="P3270">
        <v>138</v>
      </c>
      <c r="Q3270" t="s">
        <v>6584</v>
      </c>
    </row>
    <row r="3271" spans="1:17" x14ac:dyDescent="0.3">
      <c r="A3271" t="s">
        <v>4446</v>
      </c>
      <c r="B3271" t="str">
        <f>"002546"</f>
        <v>002546</v>
      </c>
      <c r="C3271" t="s">
        <v>6585</v>
      </c>
      <c r="D3271" t="s">
        <v>188</v>
      </c>
      <c r="F3271">
        <v>11969548</v>
      </c>
      <c r="G3271">
        <v>133661166</v>
      </c>
      <c r="H3271">
        <v>128912260</v>
      </c>
      <c r="I3271">
        <v>109441581</v>
      </c>
      <c r="J3271">
        <v>153084115</v>
      </c>
      <c r="K3271">
        <v>19262341</v>
      </c>
      <c r="L3271">
        <v>114836677</v>
      </c>
      <c r="M3271">
        <v>84520826</v>
      </c>
      <c r="N3271">
        <v>32311491</v>
      </c>
      <c r="O3271">
        <v>135886958</v>
      </c>
      <c r="P3271">
        <v>76</v>
      </c>
      <c r="Q3271" t="s">
        <v>6586</v>
      </c>
    </row>
    <row r="3272" spans="1:17" x14ac:dyDescent="0.3">
      <c r="A3272" t="s">
        <v>4446</v>
      </c>
      <c r="B3272" t="str">
        <f>"002547"</f>
        <v>002547</v>
      </c>
      <c r="C3272" t="s">
        <v>6587</v>
      </c>
      <c r="D3272" t="s">
        <v>150</v>
      </c>
      <c r="F3272">
        <v>-42774734</v>
      </c>
      <c r="G3272">
        <v>277290387</v>
      </c>
      <c r="H3272">
        <v>419110478</v>
      </c>
      <c r="I3272">
        <v>128021955</v>
      </c>
      <c r="J3272">
        <v>-925420822</v>
      </c>
      <c r="K3272">
        <v>-640169892</v>
      </c>
      <c r="L3272">
        <v>-133570272</v>
      </c>
      <c r="M3272">
        <v>16308545</v>
      </c>
      <c r="N3272">
        <v>-200510440</v>
      </c>
      <c r="O3272">
        <v>26178107</v>
      </c>
      <c r="P3272">
        <v>306</v>
      </c>
      <c r="Q3272" t="s">
        <v>6588</v>
      </c>
    </row>
    <row r="3273" spans="1:17" x14ac:dyDescent="0.3">
      <c r="A3273" t="s">
        <v>4446</v>
      </c>
      <c r="B3273" t="str">
        <f>"002548"</f>
        <v>002548</v>
      </c>
      <c r="C3273" t="s">
        <v>6589</v>
      </c>
      <c r="D3273" t="s">
        <v>205</v>
      </c>
      <c r="F3273">
        <v>-467106944</v>
      </c>
      <c r="G3273">
        <v>-579746467</v>
      </c>
      <c r="H3273">
        <v>-205618215</v>
      </c>
      <c r="I3273">
        <v>-423484936</v>
      </c>
      <c r="J3273">
        <v>-23313528</v>
      </c>
      <c r="K3273">
        <v>-176369311</v>
      </c>
      <c r="L3273">
        <v>199941684</v>
      </c>
      <c r="M3273">
        <v>-55051210</v>
      </c>
      <c r="N3273">
        <v>-107516402</v>
      </c>
      <c r="O3273">
        <v>-19469277</v>
      </c>
      <c r="P3273">
        <v>260</v>
      </c>
      <c r="Q3273" t="s">
        <v>6590</v>
      </c>
    </row>
    <row r="3274" spans="1:17" x14ac:dyDescent="0.3">
      <c r="A3274" t="s">
        <v>4446</v>
      </c>
      <c r="B3274" t="str">
        <f>"002549"</f>
        <v>002549</v>
      </c>
      <c r="C3274" t="s">
        <v>6591</v>
      </c>
      <c r="D3274" t="s">
        <v>133</v>
      </c>
      <c r="F3274">
        <v>176176902</v>
      </c>
      <c r="G3274">
        <v>105689639</v>
      </c>
      <c r="H3274">
        <v>-47958426</v>
      </c>
      <c r="I3274">
        <v>39052725</v>
      </c>
      <c r="J3274">
        <v>99371262</v>
      </c>
      <c r="K3274">
        <v>-31809279</v>
      </c>
      <c r="L3274">
        <v>-73290423</v>
      </c>
      <c r="M3274">
        <v>-68650716</v>
      </c>
      <c r="N3274">
        <v>-151834213</v>
      </c>
      <c r="O3274">
        <v>-102581660</v>
      </c>
      <c r="P3274">
        <v>173</v>
      </c>
      <c r="Q3274" t="s">
        <v>6592</v>
      </c>
    </row>
    <row r="3275" spans="1:17" x14ac:dyDescent="0.3">
      <c r="A3275" t="s">
        <v>4446</v>
      </c>
      <c r="B3275" t="str">
        <f>"002550"</f>
        <v>002550</v>
      </c>
      <c r="C3275" t="s">
        <v>6593</v>
      </c>
      <c r="D3275" t="s">
        <v>113</v>
      </c>
      <c r="F3275">
        <v>13188303</v>
      </c>
      <c r="G3275">
        <v>254760116</v>
      </c>
      <c r="H3275">
        <v>62572613</v>
      </c>
      <c r="I3275">
        <v>-78014724</v>
      </c>
      <c r="J3275">
        <v>946906</v>
      </c>
      <c r="K3275">
        <v>82106875</v>
      </c>
      <c r="L3275">
        <v>70733570</v>
      </c>
      <c r="M3275">
        <v>161502584</v>
      </c>
      <c r="N3275">
        <v>32880168</v>
      </c>
      <c r="O3275">
        <v>135677282</v>
      </c>
      <c r="P3275">
        <v>172</v>
      </c>
      <c r="Q3275" t="s">
        <v>6594</v>
      </c>
    </row>
    <row r="3276" spans="1:17" x14ac:dyDescent="0.3">
      <c r="A3276" t="s">
        <v>4446</v>
      </c>
      <c r="B3276" t="str">
        <f>"002551"</f>
        <v>002551</v>
      </c>
      <c r="C3276" t="s">
        <v>6595</v>
      </c>
      <c r="D3276" t="s">
        <v>113</v>
      </c>
      <c r="F3276">
        <v>-186990638</v>
      </c>
      <c r="G3276">
        <v>243952887</v>
      </c>
      <c r="H3276">
        <v>-114297315</v>
      </c>
      <c r="I3276">
        <v>-224990581</v>
      </c>
      <c r="J3276">
        <v>-109239076</v>
      </c>
      <c r="K3276">
        <v>139590530</v>
      </c>
      <c r="L3276">
        <v>133793845</v>
      </c>
      <c r="M3276">
        <v>-91088232</v>
      </c>
      <c r="N3276">
        <v>-169197485</v>
      </c>
      <c r="O3276">
        <v>18977024</v>
      </c>
      <c r="P3276">
        <v>242</v>
      </c>
      <c r="Q3276" t="s">
        <v>6596</v>
      </c>
    </row>
    <row r="3277" spans="1:17" x14ac:dyDescent="0.3">
      <c r="A3277" t="s">
        <v>4446</v>
      </c>
      <c r="B3277" t="str">
        <f>"002552"</f>
        <v>002552</v>
      </c>
      <c r="C3277" t="s">
        <v>6597</v>
      </c>
      <c r="D3277" t="s">
        <v>78</v>
      </c>
      <c r="F3277">
        <v>51335008</v>
      </c>
      <c r="G3277">
        <v>36033344</v>
      </c>
      <c r="H3277">
        <v>6447159</v>
      </c>
      <c r="I3277">
        <v>2491428</v>
      </c>
      <c r="J3277">
        <v>-8694492</v>
      </c>
      <c r="K3277">
        <v>78559931</v>
      </c>
      <c r="L3277">
        <v>29410240</v>
      </c>
      <c r="M3277">
        <v>-18312783</v>
      </c>
      <c r="N3277">
        <v>-86924396</v>
      </c>
      <c r="O3277">
        <v>-98280065</v>
      </c>
      <c r="P3277">
        <v>83</v>
      </c>
      <c r="Q3277" t="s">
        <v>6598</v>
      </c>
    </row>
    <row r="3278" spans="1:17" x14ac:dyDescent="0.3">
      <c r="A3278" t="s">
        <v>4446</v>
      </c>
      <c r="B3278" t="str">
        <f>"002553"</f>
        <v>002553</v>
      </c>
      <c r="C3278" t="s">
        <v>6599</v>
      </c>
      <c r="D3278" t="s">
        <v>27</v>
      </c>
      <c r="F3278">
        <v>36686303</v>
      </c>
      <c r="G3278">
        <v>61133085</v>
      </c>
      <c r="H3278">
        <v>33919150</v>
      </c>
      <c r="I3278">
        <v>28706836</v>
      </c>
      <c r="J3278">
        <v>40044300</v>
      </c>
      <c r="K3278">
        <v>51424492</v>
      </c>
      <c r="L3278">
        <v>34864303</v>
      </c>
      <c r="M3278">
        <v>39820214</v>
      </c>
      <c r="N3278">
        <v>42824029</v>
      </c>
      <c r="O3278">
        <v>34329300</v>
      </c>
      <c r="P3278">
        <v>140</v>
      </c>
      <c r="Q3278" t="s">
        <v>6600</v>
      </c>
    </row>
    <row r="3279" spans="1:17" x14ac:dyDescent="0.3">
      <c r="A3279" t="s">
        <v>4446</v>
      </c>
      <c r="B3279" t="str">
        <f>"002554"</f>
        <v>002554</v>
      </c>
      <c r="C3279" t="s">
        <v>6601</v>
      </c>
      <c r="D3279" t="s">
        <v>70</v>
      </c>
      <c r="F3279">
        <v>191186255</v>
      </c>
      <c r="G3279">
        <v>-222391738</v>
      </c>
      <c r="H3279">
        <v>121037813</v>
      </c>
      <c r="I3279">
        <v>-156142238</v>
      </c>
      <c r="J3279">
        <v>-250815985</v>
      </c>
      <c r="K3279">
        <v>-91885552</v>
      </c>
      <c r="L3279">
        <v>-72133995</v>
      </c>
      <c r="M3279">
        <v>46857257</v>
      </c>
      <c r="N3279">
        <v>-85985699</v>
      </c>
      <c r="O3279">
        <v>-57167748</v>
      </c>
      <c r="P3279">
        <v>112</v>
      </c>
      <c r="Q3279" t="s">
        <v>6602</v>
      </c>
    </row>
    <row r="3280" spans="1:17" x14ac:dyDescent="0.3">
      <c r="A3280" t="s">
        <v>4446</v>
      </c>
      <c r="B3280" t="str">
        <f>"002555"</f>
        <v>002555</v>
      </c>
      <c r="C3280" t="s">
        <v>6603</v>
      </c>
      <c r="D3280" t="s">
        <v>89</v>
      </c>
      <c r="F3280">
        <v>3319232496</v>
      </c>
      <c r="G3280">
        <v>1857355219</v>
      </c>
      <c r="H3280">
        <v>2891861017</v>
      </c>
      <c r="I3280">
        <v>1643151219</v>
      </c>
      <c r="J3280">
        <v>821983982</v>
      </c>
      <c r="K3280">
        <v>855970654</v>
      </c>
      <c r="L3280">
        <v>951328320</v>
      </c>
      <c r="M3280">
        <v>42664404</v>
      </c>
      <c r="N3280">
        <v>30282723</v>
      </c>
      <c r="O3280">
        <v>-23895634</v>
      </c>
      <c r="P3280">
        <v>2929</v>
      </c>
      <c r="Q3280" t="s">
        <v>6604</v>
      </c>
    </row>
    <row r="3281" spans="1:17" x14ac:dyDescent="0.3">
      <c r="A3281" t="s">
        <v>4446</v>
      </c>
      <c r="B3281" t="str">
        <f>"002556"</f>
        <v>002556</v>
      </c>
      <c r="C3281" t="s">
        <v>6605</v>
      </c>
      <c r="D3281" t="s">
        <v>205</v>
      </c>
      <c r="F3281">
        <v>-14617772</v>
      </c>
      <c r="G3281">
        <v>185476956</v>
      </c>
      <c r="H3281">
        <v>1083942492</v>
      </c>
      <c r="I3281">
        <v>-915348433</v>
      </c>
      <c r="J3281">
        <v>382611548</v>
      </c>
      <c r="K3281">
        <v>-246893727</v>
      </c>
      <c r="L3281">
        <v>540786231</v>
      </c>
      <c r="M3281">
        <v>-102794948</v>
      </c>
      <c r="N3281">
        <v>514250281</v>
      </c>
      <c r="O3281">
        <v>894414453</v>
      </c>
      <c r="P3281">
        <v>111</v>
      </c>
      <c r="Q3281" t="s">
        <v>6606</v>
      </c>
    </row>
    <row r="3282" spans="1:17" x14ac:dyDescent="0.3">
      <c r="A3282" t="s">
        <v>4446</v>
      </c>
      <c r="B3282" t="str">
        <f>"002557"</f>
        <v>002557</v>
      </c>
      <c r="C3282" t="s">
        <v>6607</v>
      </c>
      <c r="D3282" t="s">
        <v>123</v>
      </c>
      <c r="F3282">
        <v>1171450791</v>
      </c>
      <c r="G3282">
        <v>389483541</v>
      </c>
      <c r="H3282">
        <v>478471746</v>
      </c>
      <c r="I3282">
        <v>508750028</v>
      </c>
      <c r="J3282">
        <v>167507360</v>
      </c>
      <c r="K3282">
        <v>362243286</v>
      </c>
      <c r="L3282">
        <v>147803956</v>
      </c>
      <c r="M3282">
        <v>-83680009</v>
      </c>
      <c r="N3282">
        <v>-437999483</v>
      </c>
      <c r="O3282">
        <v>20739307</v>
      </c>
      <c r="P3282">
        <v>1825</v>
      </c>
      <c r="Q3282" t="s">
        <v>6608</v>
      </c>
    </row>
    <row r="3283" spans="1:17" x14ac:dyDescent="0.3">
      <c r="A3283" t="s">
        <v>4446</v>
      </c>
      <c r="B3283" t="str">
        <f>"002558"</f>
        <v>002558</v>
      </c>
      <c r="C3283" t="s">
        <v>6609</v>
      </c>
      <c r="D3283" t="s">
        <v>89</v>
      </c>
      <c r="F3283">
        <v>430380763</v>
      </c>
      <c r="G3283">
        <v>878602669</v>
      </c>
      <c r="H3283">
        <v>1400068105</v>
      </c>
      <c r="I3283">
        <v>-114287804</v>
      </c>
      <c r="J3283">
        <v>1324596353</v>
      </c>
      <c r="K3283">
        <v>1009591158</v>
      </c>
      <c r="L3283">
        <v>14671835</v>
      </c>
      <c r="M3283">
        <v>52737202</v>
      </c>
      <c r="N3283">
        <v>-86743821</v>
      </c>
      <c r="O3283">
        <v>-149142434</v>
      </c>
      <c r="P3283">
        <v>458</v>
      </c>
      <c r="Q3283" t="s">
        <v>6610</v>
      </c>
    </row>
    <row r="3284" spans="1:17" x14ac:dyDescent="0.3">
      <c r="A3284" t="s">
        <v>4446</v>
      </c>
      <c r="B3284" t="str">
        <f>"002559"</f>
        <v>002559</v>
      </c>
      <c r="C3284" t="s">
        <v>6611</v>
      </c>
      <c r="D3284" t="s">
        <v>78</v>
      </c>
      <c r="F3284">
        <v>111949781</v>
      </c>
      <c r="G3284">
        <v>210327654</v>
      </c>
      <c r="H3284">
        <v>184465276</v>
      </c>
      <c r="I3284">
        <v>41930757</v>
      </c>
      <c r="J3284">
        <v>47091202</v>
      </c>
      <c r="K3284">
        <v>58996278</v>
      </c>
      <c r="L3284">
        <v>148194241</v>
      </c>
      <c r="M3284">
        <v>15216387</v>
      </c>
      <c r="N3284">
        <v>131242804</v>
      </c>
      <c r="O3284">
        <v>-31588371</v>
      </c>
      <c r="P3284">
        <v>149</v>
      </c>
      <c r="Q3284" t="s">
        <v>6612</v>
      </c>
    </row>
    <row r="3285" spans="1:17" x14ac:dyDescent="0.3">
      <c r="A3285" t="s">
        <v>4446</v>
      </c>
      <c r="B3285" t="str">
        <f>"002560"</f>
        <v>002560</v>
      </c>
      <c r="C3285" t="s">
        <v>6613</v>
      </c>
      <c r="D3285" t="s">
        <v>188</v>
      </c>
      <c r="F3285">
        <v>-272216527</v>
      </c>
      <c r="G3285">
        <v>43804539</v>
      </c>
      <c r="H3285">
        <v>171978223</v>
      </c>
      <c r="I3285">
        <v>-185804668</v>
      </c>
      <c r="J3285">
        <v>-189577655</v>
      </c>
      <c r="K3285">
        <v>-25224776</v>
      </c>
      <c r="L3285">
        <v>-24485769</v>
      </c>
      <c r="M3285">
        <v>-70320631</v>
      </c>
      <c r="N3285">
        <v>-80256738</v>
      </c>
      <c r="O3285">
        <v>-474239338</v>
      </c>
      <c r="P3285">
        <v>138</v>
      </c>
      <c r="Q3285" t="s">
        <v>6614</v>
      </c>
    </row>
    <row r="3286" spans="1:17" x14ac:dyDescent="0.3">
      <c r="A3286" t="s">
        <v>4446</v>
      </c>
      <c r="B3286" t="str">
        <f>"002561"</f>
        <v>002561</v>
      </c>
      <c r="C3286" t="s">
        <v>6615</v>
      </c>
      <c r="D3286" t="s">
        <v>120</v>
      </c>
      <c r="F3286">
        <v>127706875</v>
      </c>
      <c r="G3286">
        <v>90166501</v>
      </c>
      <c r="H3286">
        <v>192398111</v>
      </c>
      <c r="I3286">
        <v>166518940</v>
      </c>
      <c r="J3286">
        <v>262767667</v>
      </c>
      <c r="K3286">
        <v>314552854</v>
      </c>
      <c r="L3286">
        <v>259833555</v>
      </c>
      <c r="M3286">
        <v>268642201</v>
      </c>
      <c r="N3286">
        <v>231303801</v>
      </c>
      <c r="O3286">
        <v>278624906</v>
      </c>
      <c r="P3286">
        <v>183</v>
      </c>
      <c r="Q3286" t="s">
        <v>6616</v>
      </c>
    </row>
    <row r="3287" spans="1:17" x14ac:dyDescent="0.3">
      <c r="A3287" t="s">
        <v>4446</v>
      </c>
      <c r="B3287" t="str">
        <f>"002562"</f>
        <v>002562</v>
      </c>
      <c r="C3287" t="s">
        <v>6617</v>
      </c>
      <c r="D3287" t="s">
        <v>133</v>
      </c>
      <c r="F3287">
        <v>-176127437</v>
      </c>
      <c r="G3287">
        <v>-324058872</v>
      </c>
      <c r="H3287">
        <v>-629382865</v>
      </c>
      <c r="I3287">
        <v>-218071812</v>
      </c>
      <c r="J3287">
        <v>-192437506</v>
      </c>
      <c r="K3287">
        <v>-171879008</v>
      </c>
      <c r="L3287">
        <v>5738848</v>
      </c>
      <c r="M3287">
        <v>727303</v>
      </c>
      <c r="N3287">
        <v>9269204</v>
      </c>
      <c r="O3287">
        <v>65835387</v>
      </c>
      <c r="P3287">
        <v>260</v>
      </c>
      <c r="Q3287" t="s">
        <v>6618</v>
      </c>
    </row>
    <row r="3288" spans="1:17" x14ac:dyDescent="0.3">
      <c r="A3288" t="s">
        <v>4446</v>
      </c>
      <c r="B3288" t="str">
        <f>"002563"</f>
        <v>002563</v>
      </c>
      <c r="C3288" t="s">
        <v>6619</v>
      </c>
      <c r="D3288" t="s">
        <v>227</v>
      </c>
      <c r="F3288">
        <v>1886557018</v>
      </c>
      <c r="G3288">
        <v>4328018746</v>
      </c>
      <c r="H3288">
        <v>1334490348</v>
      </c>
      <c r="I3288">
        <v>484235157</v>
      </c>
      <c r="J3288">
        <v>1388450904</v>
      </c>
      <c r="K3288">
        <v>365878715</v>
      </c>
      <c r="L3288">
        <v>363454448</v>
      </c>
      <c r="M3288">
        <v>659186370</v>
      </c>
      <c r="N3288">
        <v>1094462684</v>
      </c>
      <c r="O3288">
        <v>657988769</v>
      </c>
      <c r="P3288">
        <v>904</v>
      </c>
      <c r="Q3288" t="s">
        <v>6620</v>
      </c>
    </row>
    <row r="3289" spans="1:17" x14ac:dyDescent="0.3">
      <c r="A3289" t="s">
        <v>4446</v>
      </c>
      <c r="B3289" t="str">
        <f>"002564"</f>
        <v>002564</v>
      </c>
      <c r="C3289" t="s">
        <v>6621</v>
      </c>
      <c r="D3289" t="s">
        <v>78</v>
      </c>
      <c r="F3289">
        <v>-848296210</v>
      </c>
      <c r="G3289">
        <v>-84356709</v>
      </c>
      <c r="H3289">
        <v>-154564947</v>
      </c>
      <c r="I3289">
        <v>-2653004262</v>
      </c>
      <c r="J3289">
        <v>-1049957502</v>
      </c>
      <c r="K3289">
        <v>187383514</v>
      </c>
      <c r="L3289">
        <v>-73425071</v>
      </c>
      <c r="M3289">
        <v>-533194720</v>
      </c>
      <c r="N3289">
        <v>-508349143</v>
      </c>
      <c r="O3289">
        <v>-686194417</v>
      </c>
      <c r="P3289">
        <v>130</v>
      </c>
      <c r="Q3289" t="s">
        <v>6622</v>
      </c>
    </row>
    <row r="3290" spans="1:17" x14ac:dyDescent="0.3">
      <c r="A3290" t="s">
        <v>4446</v>
      </c>
      <c r="B3290" t="str">
        <f>"002565"</f>
        <v>002565</v>
      </c>
      <c r="C3290" t="s">
        <v>6623</v>
      </c>
      <c r="D3290" t="s">
        <v>161</v>
      </c>
      <c r="F3290">
        <v>183833448</v>
      </c>
      <c r="G3290">
        <v>44526960</v>
      </c>
      <c r="H3290">
        <v>129411183</v>
      </c>
      <c r="I3290">
        <v>-7420183</v>
      </c>
      <c r="J3290">
        <v>37599862</v>
      </c>
      <c r="K3290">
        <v>38208456</v>
      </c>
      <c r="L3290">
        <v>39601929</v>
      </c>
      <c r="M3290">
        <v>75817788</v>
      </c>
      <c r="N3290">
        <v>77269821</v>
      </c>
      <c r="O3290">
        <v>37748097</v>
      </c>
      <c r="P3290">
        <v>107</v>
      </c>
      <c r="Q3290" t="s">
        <v>6624</v>
      </c>
    </row>
    <row r="3291" spans="1:17" x14ac:dyDescent="0.3">
      <c r="A3291" t="s">
        <v>4446</v>
      </c>
      <c r="B3291" t="str">
        <f>"002566"</f>
        <v>002566</v>
      </c>
      <c r="C3291" t="s">
        <v>6625</v>
      </c>
      <c r="D3291" t="s">
        <v>113</v>
      </c>
      <c r="F3291">
        <v>108035761</v>
      </c>
      <c r="G3291">
        <v>127676553</v>
      </c>
      <c r="H3291">
        <v>189243907</v>
      </c>
      <c r="I3291">
        <v>93775112</v>
      </c>
      <c r="J3291">
        <v>187180159</v>
      </c>
      <c r="K3291">
        <v>-71912034</v>
      </c>
      <c r="L3291">
        <v>-426525169</v>
      </c>
      <c r="M3291">
        <v>-660195805</v>
      </c>
      <c r="N3291">
        <v>-260711195</v>
      </c>
      <c r="O3291">
        <v>-8153683</v>
      </c>
      <c r="P3291">
        <v>134</v>
      </c>
      <c r="Q3291" t="s">
        <v>6626</v>
      </c>
    </row>
    <row r="3292" spans="1:17" x14ac:dyDescent="0.3">
      <c r="A3292" t="s">
        <v>4446</v>
      </c>
      <c r="B3292" t="str">
        <f>"002567"</f>
        <v>002567</v>
      </c>
      <c r="C3292" t="s">
        <v>6627</v>
      </c>
      <c r="D3292" t="s">
        <v>205</v>
      </c>
      <c r="F3292">
        <v>-3855456445</v>
      </c>
      <c r="G3292">
        <v>-853840201</v>
      </c>
      <c r="H3292">
        <v>-209804805</v>
      </c>
      <c r="I3292">
        <v>-84858847</v>
      </c>
      <c r="J3292">
        <v>90794030</v>
      </c>
      <c r="K3292">
        <v>124622579</v>
      </c>
      <c r="L3292">
        <v>335420701</v>
      </c>
      <c r="M3292">
        <v>36137664</v>
      </c>
      <c r="N3292">
        <v>-210486635</v>
      </c>
      <c r="O3292">
        <v>-120163759</v>
      </c>
      <c r="P3292">
        <v>451</v>
      </c>
      <c r="Q3292" t="s">
        <v>6628</v>
      </c>
    </row>
    <row r="3293" spans="1:17" x14ac:dyDescent="0.3">
      <c r="A3293" t="s">
        <v>4446</v>
      </c>
      <c r="B3293" t="str">
        <f>"002568"</f>
        <v>002568</v>
      </c>
      <c r="C3293" t="s">
        <v>6629</v>
      </c>
      <c r="D3293" t="s">
        <v>123</v>
      </c>
      <c r="F3293">
        <v>436093830</v>
      </c>
      <c r="G3293">
        <v>338300876</v>
      </c>
      <c r="H3293">
        <v>164167899</v>
      </c>
      <c r="I3293">
        <v>172580227</v>
      </c>
      <c r="J3293">
        <v>59231240</v>
      </c>
      <c r="K3293">
        <v>-569045557</v>
      </c>
      <c r="L3293">
        <v>-105995109</v>
      </c>
      <c r="M3293">
        <v>37514502</v>
      </c>
      <c r="N3293">
        <v>10928411</v>
      </c>
      <c r="O3293">
        <v>55817410</v>
      </c>
      <c r="P3293">
        <v>1074</v>
      </c>
      <c r="Q3293" t="s">
        <v>6630</v>
      </c>
    </row>
    <row r="3294" spans="1:17" x14ac:dyDescent="0.3">
      <c r="A3294" t="s">
        <v>4446</v>
      </c>
      <c r="B3294" t="str">
        <f>"002569"</f>
        <v>002569</v>
      </c>
      <c r="C3294" t="s">
        <v>6631</v>
      </c>
      <c r="D3294" t="s">
        <v>227</v>
      </c>
      <c r="F3294">
        <v>-31023219</v>
      </c>
      <c r="G3294">
        <v>-14634209</v>
      </c>
      <c r="H3294">
        <v>-18180109</v>
      </c>
      <c r="I3294">
        <v>-50297043</v>
      </c>
      <c r="J3294">
        <v>-16752032</v>
      </c>
      <c r="K3294">
        <v>10992947</v>
      </c>
      <c r="L3294">
        <v>110294371</v>
      </c>
      <c r="M3294">
        <v>-43350101</v>
      </c>
      <c r="N3294">
        <v>-97321856</v>
      </c>
      <c r="O3294">
        <v>-53137842</v>
      </c>
      <c r="P3294">
        <v>59</v>
      </c>
      <c r="Q3294" t="s">
        <v>6632</v>
      </c>
    </row>
    <row r="3295" spans="1:17" x14ac:dyDescent="0.3">
      <c r="A3295" t="s">
        <v>4446</v>
      </c>
      <c r="B3295" t="str">
        <f>"002570"</f>
        <v>002570</v>
      </c>
      <c r="C3295" t="s">
        <v>6633</v>
      </c>
      <c r="D3295" t="s">
        <v>123</v>
      </c>
      <c r="F3295">
        <v>81830309</v>
      </c>
      <c r="G3295">
        <v>-95450037</v>
      </c>
      <c r="H3295">
        <v>-140275050</v>
      </c>
      <c r="I3295">
        <v>289338765</v>
      </c>
      <c r="J3295">
        <v>-183615428</v>
      </c>
      <c r="K3295">
        <v>-602966134</v>
      </c>
      <c r="L3295">
        <v>-357469070</v>
      </c>
      <c r="M3295">
        <v>-525924926</v>
      </c>
      <c r="N3295">
        <v>-160919281</v>
      </c>
      <c r="O3295">
        <v>799123843</v>
      </c>
      <c r="P3295">
        <v>261</v>
      </c>
      <c r="Q3295" t="s">
        <v>6634</v>
      </c>
    </row>
    <row r="3296" spans="1:17" x14ac:dyDescent="0.3">
      <c r="A3296" t="s">
        <v>4446</v>
      </c>
      <c r="B3296" t="str">
        <f>"002571"</f>
        <v>002571</v>
      </c>
      <c r="C3296" t="s">
        <v>6635</v>
      </c>
      <c r="D3296" t="s">
        <v>161</v>
      </c>
      <c r="F3296">
        <v>-435068081</v>
      </c>
      <c r="G3296">
        <v>-92328750</v>
      </c>
      <c r="H3296">
        <v>-28746713</v>
      </c>
      <c r="I3296">
        <v>-52748502</v>
      </c>
      <c r="J3296">
        <v>92155026</v>
      </c>
      <c r="K3296">
        <v>59217282</v>
      </c>
      <c r="L3296">
        <v>-28766605</v>
      </c>
      <c r="M3296">
        <v>-50230135</v>
      </c>
      <c r="N3296">
        <v>-144299439</v>
      </c>
      <c r="O3296">
        <v>-233821735</v>
      </c>
      <c r="P3296">
        <v>92</v>
      </c>
      <c r="Q3296" t="s">
        <v>6636</v>
      </c>
    </row>
    <row r="3297" spans="1:17" x14ac:dyDescent="0.3">
      <c r="A3297" t="s">
        <v>4446</v>
      </c>
      <c r="B3297" t="str">
        <f>"002572"</f>
        <v>002572</v>
      </c>
      <c r="C3297" t="s">
        <v>6637</v>
      </c>
      <c r="D3297" t="s">
        <v>161</v>
      </c>
      <c r="F3297">
        <v>-552348176</v>
      </c>
      <c r="G3297">
        <v>699618679</v>
      </c>
      <c r="H3297">
        <v>618067069</v>
      </c>
      <c r="I3297">
        <v>376533078</v>
      </c>
      <c r="J3297">
        <v>103802109</v>
      </c>
      <c r="K3297">
        <v>591251871</v>
      </c>
      <c r="L3297">
        <v>183451133</v>
      </c>
      <c r="M3297">
        <v>-62339939</v>
      </c>
      <c r="N3297">
        <v>112811357</v>
      </c>
      <c r="O3297">
        <v>-80594205</v>
      </c>
      <c r="P3297">
        <v>9137</v>
      </c>
      <c r="Q3297" t="s">
        <v>6638</v>
      </c>
    </row>
    <row r="3298" spans="1:17" x14ac:dyDescent="0.3">
      <c r="A3298" t="s">
        <v>4446</v>
      </c>
      <c r="B3298" t="str">
        <f>"002573"</f>
        <v>002573</v>
      </c>
      <c r="C3298" t="s">
        <v>6639</v>
      </c>
      <c r="D3298" t="s">
        <v>33</v>
      </c>
      <c r="F3298">
        <v>-228983164</v>
      </c>
      <c r="G3298">
        <v>-239310177</v>
      </c>
      <c r="H3298">
        <v>1149869197</v>
      </c>
      <c r="I3298">
        <v>931970334</v>
      </c>
      <c r="J3298">
        <v>-737665118</v>
      </c>
      <c r="K3298">
        <v>-2108138704</v>
      </c>
      <c r="L3298">
        <v>-491436903</v>
      </c>
      <c r="M3298">
        <v>-711751144</v>
      </c>
      <c r="N3298">
        <v>-663597662</v>
      </c>
      <c r="O3298">
        <v>-266864795</v>
      </c>
      <c r="P3298">
        <v>613</v>
      </c>
      <c r="Q3298" t="s">
        <v>6640</v>
      </c>
    </row>
    <row r="3299" spans="1:17" x14ac:dyDescent="0.3">
      <c r="A3299" t="s">
        <v>4446</v>
      </c>
      <c r="B3299" t="str">
        <f>"002574"</f>
        <v>002574</v>
      </c>
      <c r="C3299" t="s">
        <v>6641</v>
      </c>
      <c r="D3299" t="s">
        <v>227</v>
      </c>
      <c r="F3299">
        <v>95108025</v>
      </c>
      <c r="G3299">
        <v>101581802</v>
      </c>
      <c r="H3299">
        <v>-18007309</v>
      </c>
      <c r="I3299">
        <v>-7078614</v>
      </c>
      <c r="J3299">
        <v>161898985</v>
      </c>
      <c r="K3299">
        <v>222269518</v>
      </c>
      <c r="L3299">
        <v>315385890</v>
      </c>
      <c r="M3299">
        <v>344252037</v>
      </c>
      <c r="N3299">
        <v>819297585</v>
      </c>
      <c r="O3299">
        <v>10157565</v>
      </c>
      <c r="P3299">
        <v>105</v>
      </c>
      <c r="Q3299" t="s">
        <v>6642</v>
      </c>
    </row>
    <row r="3300" spans="1:17" x14ac:dyDescent="0.3">
      <c r="A3300" t="s">
        <v>4446</v>
      </c>
      <c r="B3300" t="str">
        <f>"002575"</f>
        <v>002575</v>
      </c>
      <c r="C3300" t="s">
        <v>6643</v>
      </c>
      <c r="D3300" t="s">
        <v>161</v>
      </c>
      <c r="F3300">
        <v>-20505451</v>
      </c>
      <c r="G3300">
        <v>22389631</v>
      </c>
      <c r="H3300">
        <v>16190845</v>
      </c>
      <c r="I3300">
        <v>19058746</v>
      </c>
      <c r="J3300">
        <v>123842126</v>
      </c>
      <c r="K3300">
        <v>35647236</v>
      </c>
      <c r="L3300">
        <v>89598574</v>
      </c>
      <c r="M3300">
        <v>-54633757</v>
      </c>
      <c r="N3300">
        <v>-25651318</v>
      </c>
      <c r="O3300">
        <v>-118351641</v>
      </c>
      <c r="P3300">
        <v>57</v>
      </c>
      <c r="Q3300" t="s">
        <v>6644</v>
      </c>
    </row>
    <row r="3301" spans="1:17" x14ac:dyDescent="0.3">
      <c r="A3301" t="s">
        <v>4446</v>
      </c>
      <c r="B3301" t="str">
        <f>"002576"</f>
        <v>002576</v>
      </c>
      <c r="C3301" t="s">
        <v>6645</v>
      </c>
      <c r="D3301" t="s">
        <v>188</v>
      </c>
      <c r="F3301">
        <v>-47760032</v>
      </c>
      <c r="G3301">
        <v>-27882539</v>
      </c>
      <c r="H3301">
        <v>37030803</v>
      </c>
      <c r="I3301">
        <v>-8531896</v>
      </c>
      <c r="J3301">
        <v>-14130759</v>
      </c>
      <c r="K3301">
        <v>-26971047</v>
      </c>
      <c r="L3301">
        <v>-15428229</v>
      </c>
      <c r="M3301">
        <v>-92757078</v>
      </c>
      <c r="N3301">
        <v>-16185685</v>
      </c>
      <c r="O3301">
        <v>-4328192</v>
      </c>
      <c r="P3301">
        <v>123</v>
      </c>
      <c r="Q3301" t="s">
        <v>6646</v>
      </c>
    </row>
    <row r="3302" spans="1:17" x14ac:dyDescent="0.3">
      <c r="A3302" t="s">
        <v>4446</v>
      </c>
      <c r="B3302" t="str">
        <f>"002577"</f>
        <v>002577</v>
      </c>
      <c r="C3302" t="s">
        <v>6647</v>
      </c>
      <c r="D3302" t="s">
        <v>212</v>
      </c>
      <c r="F3302">
        <v>52998314</v>
      </c>
      <c r="G3302">
        <v>-5591151</v>
      </c>
      <c r="H3302">
        <v>40760584</v>
      </c>
      <c r="I3302">
        <v>-65255871</v>
      </c>
      <c r="J3302">
        <v>-10061924</v>
      </c>
      <c r="K3302">
        <v>-57215809</v>
      </c>
      <c r="L3302">
        <v>-48142898</v>
      </c>
      <c r="M3302">
        <v>15292296</v>
      </c>
      <c r="N3302">
        <v>-23088147</v>
      </c>
      <c r="O3302">
        <v>-89760477</v>
      </c>
      <c r="P3302">
        <v>83</v>
      </c>
      <c r="Q3302" t="s">
        <v>6648</v>
      </c>
    </row>
    <row r="3303" spans="1:17" x14ac:dyDescent="0.3">
      <c r="A3303" t="s">
        <v>4446</v>
      </c>
      <c r="B3303" t="str">
        <f>"002578"</f>
        <v>002578</v>
      </c>
      <c r="C3303" t="s">
        <v>6649</v>
      </c>
      <c r="D3303" t="s">
        <v>234</v>
      </c>
      <c r="F3303">
        <v>-222627149</v>
      </c>
      <c r="G3303">
        <v>73396196</v>
      </c>
      <c r="H3303">
        <v>147538323</v>
      </c>
      <c r="I3303">
        <v>-110120414</v>
      </c>
      <c r="J3303">
        <v>-53661745</v>
      </c>
      <c r="K3303">
        <v>-42343859</v>
      </c>
      <c r="L3303">
        <v>-97868762</v>
      </c>
      <c r="M3303">
        <v>-140618533</v>
      </c>
      <c r="N3303">
        <v>-31629644</v>
      </c>
      <c r="O3303">
        <v>-24671222</v>
      </c>
      <c r="P3303">
        <v>91</v>
      </c>
      <c r="Q3303" t="s">
        <v>6650</v>
      </c>
    </row>
    <row r="3304" spans="1:17" x14ac:dyDescent="0.3">
      <c r="A3304" t="s">
        <v>4446</v>
      </c>
      <c r="B3304" t="str">
        <f>"002579"</f>
        <v>002579</v>
      </c>
      <c r="C3304" t="s">
        <v>6651</v>
      </c>
      <c r="D3304" t="s">
        <v>150</v>
      </c>
      <c r="F3304">
        <v>-1338069136</v>
      </c>
      <c r="G3304">
        <v>-621219986</v>
      </c>
      <c r="H3304">
        <v>43187406</v>
      </c>
      <c r="I3304">
        <v>-59133564</v>
      </c>
      <c r="J3304">
        <v>3965051</v>
      </c>
      <c r="K3304">
        <v>-129467444</v>
      </c>
      <c r="L3304">
        <v>-8571654</v>
      </c>
      <c r="M3304">
        <v>-239054322</v>
      </c>
      <c r="N3304">
        <v>-119817866</v>
      </c>
      <c r="O3304">
        <v>-24396285</v>
      </c>
      <c r="P3304">
        <v>279</v>
      </c>
      <c r="Q3304" t="s">
        <v>6652</v>
      </c>
    </row>
    <row r="3305" spans="1:17" x14ac:dyDescent="0.3">
      <c r="A3305" t="s">
        <v>4446</v>
      </c>
      <c r="B3305" t="str">
        <f>"002580"</f>
        <v>002580</v>
      </c>
      <c r="C3305" t="s">
        <v>6653</v>
      </c>
      <c r="D3305" t="s">
        <v>188</v>
      </c>
      <c r="F3305">
        <v>-157537639</v>
      </c>
      <c r="G3305">
        <v>134363849</v>
      </c>
      <c r="H3305">
        <v>150854533</v>
      </c>
      <c r="I3305">
        <v>-39542598</v>
      </c>
      <c r="J3305">
        <v>-51667931</v>
      </c>
      <c r="K3305">
        <v>-20575917</v>
      </c>
      <c r="L3305">
        <v>2857154</v>
      </c>
      <c r="M3305">
        <v>70472454</v>
      </c>
      <c r="N3305">
        <v>-175026546</v>
      </c>
      <c r="O3305">
        <v>-270132896</v>
      </c>
      <c r="P3305">
        <v>114</v>
      </c>
      <c r="Q3305" t="s">
        <v>6654</v>
      </c>
    </row>
    <row r="3306" spans="1:17" x14ac:dyDescent="0.3">
      <c r="A3306" t="s">
        <v>4446</v>
      </c>
      <c r="B3306" t="str">
        <f>"002581"</f>
        <v>002581</v>
      </c>
      <c r="C3306" t="s">
        <v>6655</v>
      </c>
      <c r="D3306" t="s">
        <v>113</v>
      </c>
      <c r="F3306">
        <v>-106844700</v>
      </c>
      <c r="G3306">
        <v>-3108221</v>
      </c>
      <c r="H3306">
        <v>12492403</v>
      </c>
      <c r="I3306">
        <v>-533203997</v>
      </c>
      <c r="J3306">
        <v>183356831</v>
      </c>
      <c r="K3306">
        <v>125073701</v>
      </c>
      <c r="L3306">
        <v>92114106</v>
      </c>
      <c r="M3306">
        <v>61673402</v>
      </c>
      <c r="N3306">
        <v>41288490</v>
      </c>
      <c r="O3306">
        <v>984327</v>
      </c>
      <c r="P3306">
        <v>228</v>
      </c>
      <c r="Q3306" t="s">
        <v>6656</v>
      </c>
    </row>
    <row r="3307" spans="1:17" x14ac:dyDescent="0.3">
      <c r="A3307" t="s">
        <v>4446</v>
      </c>
      <c r="B3307" t="str">
        <f>"002582"</f>
        <v>002582</v>
      </c>
      <c r="C3307" t="s">
        <v>6657</v>
      </c>
      <c r="D3307" t="s">
        <v>123</v>
      </c>
      <c r="F3307">
        <v>-119367000</v>
      </c>
      <c r="G3307">
        <v>240993801</v>
      </c>
      <c r="H3307">
        <v>134068861</v>
      </c>
      <c r="I3307">
        <v>233196841</v>
      </c>
      <c r="J3307">
        <v>34548532</v>
      </c>
      <c r="K3307">
        <v>-657900524</v>
      </c>
      <c r="L3307">
        <v>-115684434</v>
      </c>
      <c r="M3307">
        <v>-487064152</v>
      </c>
      <c r="N3307">
        <v>-12333076</v>
      </c>
      <c r="O3307">
        <v>-176168343</v>
      </c>
      <c r="P3307">
        <v>439</v>
      </c>
      <c r="Q3307" t="s">
        <v>6658</v>
      </c>
    </row>
    <row r="3308" spans="1:17" x14ac:dyDescent="0.3">
      <c r="A3308" t="s">
        <v>4446</v>
      </c>
      <c r="B3308" t="str">
        <f>"002583"</f>
        <v>002583</v>
      </c>
      <c r="C3308" t="s">
        <v>6659</v>
      </c>
      <c r="D3308" t="s">
        <v>100</v>
      </c>
      <c r="F3308">
        <v>646746504</v>
      </c>
      <c r="G3308">
        <v>2084643744</v>
      </c>
      <c r="H3308">
        <v>327828264</v>
      </c>
      <c r="I3308">
        <v>-1634642677</v>
      </c>
      <c r="J3308">
        <v>-1662830740</v>
      </c>
      <c r="K3308">
        <v>-1461727460</v>
      </c>
      <c r="L3308">
        <v>-270566128</v>
      </c>
      <c r="M3308">
        <v>-96453914</v>
      </c>
      <c r="N3308">
        <v>-249843775</v>
      </c>
      <c r="O3308">
        <v>-284908475</v>
      </c>
      <c r="P3308">
        <v>397</v>
      </c>
      <c r="Q3308" t="s">
        <v>6660</v>
      </c>
    </row>
    <row r="3309" spans="1:17" x14ac:dyDescent="0.3">
      <c r="A3309" t="s">
        <v>4446</v>
      </c>
      <c r="B3309" t="str">
        <f>"002584"</f>
        <v>002584</v>
      </c>
      <c r="C3309" t="s">
        <v>6661</v>
      </c>
      <c r="D3309" t="s">
        <v>150</v>
      </c>
      <c r="F3309">
        <v>294181968</v>
      </c>
      <c r="G3309">
        <v>155789083</v>
      </c>
      <c r="H3309">
        <v>102339539</v>
      </c>
      <c r="I3309">
        <v>-111460760</v>
      </c>
      <c r="J3309">
        <v>-54946952</v>
      </c>
      <c r="K3309">
        <v>-68305440</v>
      </c>
      <c r="L3309">
        <v>35711630</v>
      </c>
      <c r="M3309">
        <v>8320728</v>
      </c>
      <c r="N3309">
        <v>-85415730</v>
      </c>
      <c r="O3309">
        <v>-79109596</v>
      </c>
      <c r="P3309">
        <v>119</v>
      </c>
      <c r="Q3309" t="s">
        <v>6662</v>
      </c>
    </row>
    <row r="3310" spans="1:17" x14ac:dyDescent="0.3">
      <c r="A3310" t="s">
        <v>4446</v>
      </c>
      <c r="B3310" t="str">
        <f>"002585"</f>
        <v>002585</v>
      </c>
      <c r="C3310" t="s">
        <v>6663</v>
      </c>
      <c r="D3310" t="s">
        <v>133</v>
      </c>
      <c r="F3310">
        <v>-16240389</v>
      </c>
      <c r="G3310">
        <v>470932913</v>
      </c>
      <c r="H3310">
        <v>601519372</v>
      </c>
      <c r="I3310">
        <v>-424964019</v>
      </c>
      <c r="J3310">
        <v>-780096699</v>
      </c>
      <c r="K3310">
        <v>-136293065</v>
      </c>
      <c r="L3310">
        <v>-531575487</v>
      </c>
      <c r="M3310">
        <v>-492983925</v>
      </c>
      <c r="N3310">
        <v>-142735805</v>
      </c>
      <c r="O3310">
        <v>-815409890</v>
      </c>
      <c r="P3310">
        <v>383</v>
      </c>
      <c r="Q3310" t="s">
        <v>6664</v>
      </c>
    </row>
    <row r="3311" spans="1:17" x14ac:dyDescent="0.3">
      <c r="A3311" t="s">
        <v>4446</v>
      </c>
      <c r="B3311" t="str">
        <f>"002586"</f>
        <v>002586</v>
      </c>
      <c r="C3311" t="s">
        <v>6665</v>
      </c>
      <c r="D3311" t="s">
        <v>95</v>
      </c>
      <c r="F3311">
        <v>104470226</v>
      </c>
      <c r="G3311">
        <v>121069006</v>
      </c>
      <c r="H3311">
        <v>-54482451</v>
      </c>
      <c r="I3311">
        <v>37873068</v>
      </c>
      <c r="J3311">
        <v>49785286</v>
      </c>
      <c r="K3311">
        <v>18454092</v>
      </c>
      <c r="L3311">
        <v>78326647</v>
      </c>
      <c r="M3311">
        <v>-32135350</v>
      </c>
      <c r="N3311">
        <v>24267295</v>
      </c>
      <c r="O3311">
        <v>-63019087</v>
      </c>
      <c r="P3311">
        <v>62</v>
      </c>
      <c r="Q3311" t="s">
        <v>6666</v>
      </c>
    </row>
    <row r="3312" spans="1:17" x14ac:dyDescent="0.3">
      <c r="A3312" t="s">
        <v>4446</v>
      </c>
      <c r="B3312" t="str">
        <f>"002587"</f>
        <v>002587</v>
      </c>
      <c r="C3312" t="s">
        <v>6667</v>
      </c>
      <c r="D3312" t="s">
        <v>150</v>
      </c>
      <c r="F3312">
        <v>-90579140</v>
      </c>
      <c r="G3312">
        <v>-39532464</v>
      </c>
      <c r="H3312">
        <v>154213084</v>
      </c>
      <c r="I3312">
        <v>170417440</v>
      </c>
      <c r="J3312">
        <v>-13370682</v>
      </c>
      <c r="K3312">
        <v>144298423</v>
      </c>
      <c r="L3312">
        <v>-78234135</v>
      </c>
      <c r="M3312">
        <v>-37556195</v>
      </c>
      <c r="N3312">
        <v>8994855</v>
      </c>
      <c r="O3312">
        <v>25844196</v>
      </c>
      <c r="P3312">
        <v>142</v>
      </c>
      <c r="Q3312" t="s">
        <v>6668</v>
      </c>
    </row>
    <row r="3313" spans="1:17" x14ac:dyDescent="0.3">
      <c r="A3313" t="s">
        <v>4446</v>
      </c>
      <c r="B3313" t="str">
        <f>"002588"</f>
        <v>002588</v>
      </c>
      <c r="C3313" t="s">
        <v>6669</v>
      </c>
      <c r="D3313" t="s">
        <v>133</v>
      </c>
      <c r="F3313">
        <v>334610490</v>
      </c>
      <c r="G3313">
        <v>1474214346</v>
      </c>
      <c r="H3313">
        <v>1027174992</v>
      </c>
      <c r="I3313">
        <v>-563070348</v>
      </c>
      <c r="J3313">
        <v>-44271937</v>
      </c>
      <c r="K3313">
        <v>383395654</v>
      </c>
      <c r="L3313">
        <v>-539545388</v>
      </c>
      <c r="M3313">
        <v>144681830</v>
      </c>
      <c r="N3313">
        <v>-89624606</v>
      </c>
      <c r="O3313">
        <v>493117962</v>
      </c>
      <c r="P3313">
        <v>164</v>
      </c>
      <c r="Q3313" t="s">
        <v>6670</v>
      </c>
    </row>
    <row r="3314" spans="1:17" x14ac:dyDescent="0.3">
      <c r="A3314" t="s">
        <v>4446</v>
      </c>
      <c r="B3314" t="str">
        <f>"002589"</f>
        <v>002589</v>
      </c>
      <c r="C3314" t="s">
        <v>6671</v>
      </c>
      <c r="D3314" t="s">
        <v>113</v>
      </c>
      <c r="F3314">
        <v>-4779302</v>
      </c>
      <c r="G3314">
        <v>-138667765</v>
      </c>
      <c r="H3314">
        <v>1165168554</v>
      </c>
      <c r="I3314">
        <v>-769209254</v>
      </c>
      <c r="J3314">
        <v>-2801198052</v>
      </c>
      <c r="K3314">
        <v>-2076146233</v>
      </c>
      <c r="L3314">
        <v>-575649026</v>
      </c>
      <c r="M3314">
        <v>-340179702</v>
      </c>
      <c r="N3314">
        <v>-427329726</v>
      </c>
      <c r="O3314">
        <v>-282719922</v>
      </c>
      <c r="P3314">
        <v>460</v>
      </c>
      <c r="Q3314" t="s">
        <v>6672</v>
      </c>
    </row>
    <row r="3315" spans="1:17" x14ac:dyDescent="0.3">
      <c r="A3315" t="s">
        <v>4446</v>
      </c>
      <c r="B3315" t="str">
        <f>"002590"</f>
        <v>002590</v>
      </c>
      <c r="C3315" t="s">
        <v>6673</v>
      </c>
      <c r="D3315" t="s">
        <v>27</v>
      </c>
      <c r="F3315">
        <v>-52895525</v>
      </c>
      <c r="G3315">
        <v>51025259</v>
      </c>
      <c r="H3315">
        <v>62757484</v>
      </c>
      <c r="I3315">
        <v>56769554</v>
      </c>
      <c r="J3315">
        <v>-50742575</v>
      </c>
      <c r="K3315">
        <v>-121655370</v>
      </c>
      <c r="L3315">
        <v>144860205</v>
      </c>
      <c r="M3315">
        <v>15374634</v>
      </c>
      <c r="N3315">
        <v>-59530622</v>
      </c>
      <c r="O3315">
        <v>22003039</v>
      </c>
      <c r="P3315">
        <v>119</v>
      </c>
      <c r="Q3315" t="s">
        <v>6674</v>
      </c>
    </row>
    <row r="3316" spans="1:17" x14ac:dyDescent="0.3">
      <c r="A3316" t="s">
        <v>4446</v>
      </c>
      <c r="B3316" t="str">
        <f>"002591"</f>
        <v>002591</v>
      </c>
      <c r="C3316" t="s">
        <v>6675</v>
      </c>
      <c r="D3316" t="s">
        <v>89</v>
      </c>
      <c r="F3316">
        <v>-52412085</v>
      </c>
      <c r="G3316">
        <v>63767644</v>
      </c>
      <c r="H3316">
        <v>70691107</v>
      </c>
      <c r="I3316">
        <v>-47586206</v>
      </c>
      <c r="J3316">
        <v>19137121</v>
      </c>
      <c r="K3316">
        <v>2095553</v>
      </c>
      <c r="L3316">
        <v>-45532340</v>
      </c>
      <c r="M3316">
        <v>-68524717</v>
      </c>
      <c r="N3316">
        <v>-55208270</v>
      </c>
      <c r="O3316">
        <v>-49391591</v>
      </c>
      <c r="P3316">
        <v>113</v>
      </c>
      <c r="Q3316" t="s">
        <v>6676</v>
      </c>
    </row>
    <row r="3317" spans="1:17" x14ac:dyDescent="0.3">
      <c r="A3317" t="s">
        <v>4446</v>
      </c>
      <c r="B3317" t="str">
        <f>"002592"</f>
        <v>002592</v>
      </c>
      <c r="C3317" t="s">
        <v>6677</v>
      </c>
      <c r="D3317" t="s">
        <v>27</v>
      </c>
      <c r="F3317">
        <v>202249916</v>
      </c>
      <c r="G3317">
        <v>-37312461</v>
      </c>
      <c r="H3317">
        <v>391916691</v>
      </c>
      <c r="I3317">
        <v>80394806</v>
      </c>
      <c r="J3317">
        <v>-36622805</v>
      </c>
      <c r="K3317">
        <v>-50818713</v>
      </c>
      <c r="L3317">
        <v>-115607844</v>
      </c>
      <c r="M3317">
        <v>21583753</v>
      </c>
      <c r="N3317">
        <v>-19012863</v>
      </c>
      <c r="O3317">
        <v>46876541</v>
      </c>
      <c r="P3317">
        <v>76</v>
      </c>
      <c r="Q3317" t="s">
        <v>6678</v>
      </c>
    </row>
    <row r="3318" spans="1:17" x14ac:dyDescent="0.3">
      <c r="A3318" t="s">
        <v>4446</v>
      </c>
      <c r="B3318" t="str">
        <f>"002593"</f>
        <v>002593</v>
      </c>
      <c r="C3318" t="s">
        <v>6679</v>
      </c>
      <c r="D3318" t="s">
        <v>95</v>
      </c>
      <c r="F3318">
        <v>-206663611</v>
      </c>
      <c r="G3318">
        <v>82812212</v>
      </c>
      <c r="H3318">
        <v>-75688728</v>
      </c>
      <c r="I3318">
        <v>-4444528</v>
      </c>
      <c r="J3318">
        <v>-106902920</v>
      </c>
      <c r="K3318">
        <v>76630040</v>
      </c>
      <c r="L3318">
        <v>17429041</v>
      </c>
      <c r="M3318">
        <v>-82931349</v>
      </c>
      <c r="N3318">
        <v>-292604317</v>
      </c>
      <c r="O3318">
        <v>-466446014</v>
      </c>
      <c r="P3318">
        <v>88</v>
      </c>
      <c r="Q3318" t="s">
        <v>6680</v>
      </c>
    </row>
    <row r="3319" spans="1:17" x14ac:dyDescent="0.3">
      <c r="A3319" t="s">
        <v>4446</v>
      </c>
      <c r="B3319" t="str">
        <f>"002594"</f>
        <v>002594</v>
      </c>
      <c r="C3319" t="s">
        <v>6681</v>
      </c>
      <c r="D3319" t="s">
        <v>27</v>
      </c>
      <c r="F3319">
        <v>28949462000</v>
      </c>
      <c r="G3319">
        <v>33877551000</v>
      </c>
      <c r="H3319">
        <v>-5473034000</v>
      </c>
      <c r="I3319">
        <v>-1383407000</v>
      </c>
      <c r="J3319">
        <v>-8194859000</v>
      </c>
      <c r="K3319">
        <v>-14702380000</v>
      </c>
      <c r="L3319">
        <v>-6639506000</v>
      </c>
      <c r="M3319">
        <v>-7743205000</v>
      </c>
      <c r="N3319">
        <v>-3055573000</v>
      </c>
      <c r="O3319">
        <v>1338990000</v>
      </c>
      <c r="P3319">
        <v>5221</v>
      </c>
      <c r="Q3319" t="s">
        <v>6682</v>
      </c>
    </row>
    <row r="3320" spans="1:17" x14ac:dyDescent="0.3">
      <c r="A3320" t="s">
        <v>4446</v>
      </c>
      <c r="B3320" t="str">
        <f>"002595"</f>
        <v>002595</v>
      </c>
      <c r="C3320" t="s">
        <v>6683</v>
      </c>
      <c r="D3320" t="s">
        <v>78</v>
      </c>
      <c r="F3320">
        <v>-88836584</v>
      </c>
      <c r="G3320">
        <v>-339892700</v>
      </c>
      <c r="H3320">
        <v>-475316857</v>
      </c>
      <c r="I3320">
        <v>-143535274</v>
      </c>
      <c r="J3320">
        <v>88190744</v>
      </c>
      <c r="K3320">
        <v>289892791</v>
      </c>
      <c r="L3320">
        <v>430170871</v>
      </c>
      <c r="M3320">
        <v>-220601764</v>
      </c>
      <c r="N3320">
        <v>-11469121</v>
      </c>
      <c r="O3320">
        <v>60339973</v>
      </c>
      <c r="P3320">
        <v>4168</v>
      </c>
      <c r="Q3320" t="s">
        <v>6684</v>
      </c>
    </row>
    <row r="3321" spans="1:17" x14ac:dyDescent="0.3">
      <c r="A3321" t="s">
        <v>4446</v>
      </c>
      <c r="B3321" t="str">
        <f>"002596"</f>
        <v>002596</v>
      </c>
      <c r="C3321" t="s">
        <v>6685</v>
      </c>
      <c r="D3321" t="s">
        <v>350</v>
      </c>
      <c r="F3321">
        <v>-125781353</v>
      </c>
      <c r="G3321">
        <v>162107709</v>
      </c>
      <c r="H3321">
        <v>52697614</v>
      </c>
      <c r="I3321">
        <v>-69522377</v>
      </c>
      <c r="J3321">
        <v>-229336440</v>
      </c>
      <c r="K3321">
        <v>-235928003</v>
      </c>
      <c r="L3321">
        <v>-103517856</v>
      </c>
      <c r="M3321">
        <v>-37753406</v>
      </c>
      <c r="N3321">
        <v>-85638544</v>
      </c>
      <c r="O3321">
        <v>-156314062</v>
      </c>
      <c r="P3321">
        <v>100</v>
      </c>
      <c r="Q3321" t="s">
        <v>6686</v>
      </c>
    </row>
    <row r="3322" spans="1:17" x14ac:dyDescent="0.3">
      <c r="A3322" t="s">
        <v>4446</v>
      </c>
      <c r="B3322" t="str">
        <f>"002597"</f>
        <v>002597</v>
      </c>
      <c r="C3322" t="s">
        <v>6687</v>
      </c>
      <c r="D3322" t="s">
        <v>133</v>
      </c>
      <c r="F3322">
        <v>192225070</v>
      </c>
      <c r="G3322">
        <v>134071541</v>
      </c>
      <c r="H3322">
        <v>491236857</v>
      </c>
      <c r="I3322">
        <v>456694147</v>
      </c>
      <c r="J3322">
        <v>602515040</v>
      </c>
      <c r="K3322">
        <v>411742867</v>
      </c>
      <c r="L3322">
        <v>297340063</v>
      </c>
      <c r="M3322">
        <v>110727612</v>
      </c>
      <c r="N3322">
        <v>-143941577</v>
      </c>
      <c r="O3322">
        <v>-206950269</v>
      </c>
      <c r="P3322">
        <v>1880</v>
      </c>
      <c r="Q3322" t="s">
        <v>6688</v>
      </c>
    </row>
    <row r="3323" spans="1:17" x14ac:dyDescent="0.3">
      <c r="A3323" t="s">
        <v>4446</v>
      </c>
      <c r="B3323" t="str">
        <f>"002598"</f>
        <v>002598</v>
      </c>
      <c r="C3323" t="s">
        <v>6689</v>
      </c>
      <c r="D3323" t="s">
        <v>78</v>
      </c>
      <c r="F3323">
        <v>-43802391</v>
      </c>
      <c r="G3323">
        <v>33692458</v>
      </c>
      <c r="H3323">
        <v>53941560</v>
      </c>
      <c r="I3323">
        <v>9337165</v>
      </c>
      <c r="J3323">
        <v>25931878</v>
      </c>
      <c r="K3323">
        <v>19025143</v>
      </c>
      <c r="L3323">
        <v>-3028335</v>
      </c>
      <c r="M3323">
        <v>39613051</v>
      </c>
      <c r="N3323">
        <v>42787826</v>
      </c>
      <c r="O3323">
        <v>79945344</v>
      </c>
      <c r="P3323">
        <v>88</v>
      </c>
      <c r="Q3323" t="s">
        <v>6690</v>
      </c>
    </row>
    <row r="3324" spans="1:17" x14ac:dyDescent="0.3">
      <c r="A3324" t="s">
        <v>4446</v>
      </c>
      <c r="B3324" t="str">
        <f>"002599"</f>
        <v>002599</v>
      </c>
      <c r="C3324" t="s">
        <v>6691</v>
      </c>
      <c r="D3324" t="s">
        <v>161</v>
      </c>
      <c r="F3324">
        <v>-79710485</v>
      </c>
      <c r="G3324">
        <v>196786840</v>
      </c>
      <c r="H3324">
        <v>196700940</v>
      </c>
      <c r="I3324">
        <v>-175222435</v>
      </c>
      <c r="J3324">
        <v>-109987793</v>
      </c>
      <c r="K3324">
        <v>70869558</v>
      </c>
      <c r="L3324">
        <v>-78345095</v>
      </c>
      <c r="M3324">
        <v>-110001129</v>
      </c>
      <c r="N3324">
        <v>-36991010</v>
      </c>
      <c r="O3324">
        <v>-10659062</v>
      </c>
      <c r="P3324">
        <v>87</v>
      </c>
      <c r="Q3324" t="s">
        <v>6692</v>
      </c>
    </row>
    <row r="3325" spans="1:17" x14ac:dyDescent="0.3">
      <c r="A3325" t="s">
        <v>4446</v>
      </c>
      <c r="B3325" t="str">
        <f>"002600"</f>
        <v>002600</v>
      </c>
      <c r="C3325" t="s">
        <v>6693</v>
      </c>
      <c r="D3325" t="s">
        <v>150</v>
      </c>
      <c r="F3325">
        <v>-4380322117</v>
      </c>
      <c r="G3325">
        <v>-336390238</v>
      </c>
      <c r="H3325">
        <v>1532914754</v>
      </c>
      <c r="I3325">
        <v>76912987</v>
      </c>
      <c r="J3325">
        <v>-407499110</v>
      </c>
      <c r="K3325">
        <v>-751884474</v>
      </c>
      <c r="L3325">
        <v>152676094</v>
      </c>
      <c r="M3325">
        <v>-105506380</v>
      </c>
      <c r="N3325">
        <v>-168247420</v>
      </c>
      <c r="O3325">
        <v>-233647863</v>
      </c>
      <c r="P3325">
        <v>877</v>
      </c>
      <c r="Q3325" t="s">
        <v>6694</v>
      </c>
    </row>
    <row r="3326" spans="1:17" x14ac:dyDescent="0.3">
      <c r="A3326" t="s">
        <v>4446</v>
      </c>
      <c r="B3326" t="str">
        <f>"002601"</f>
        <v>002601</v>
      </c>
      <c r="C3326" t="s">
        <v>6695</v>
      </c>
      <c r="D3326" t="s">
        <v>133</v>
      </c>
      <c r="F3326">
        <v>1579920695</v>
      </c>
      <c r="G3326">
        <v>2185971928</v>
      </c>
      <c r="H3326">
        <v>1008807361</v>
      </c>
      <c r="I3326">
        <v>1578834207</v>
      </c>
      <c r="J3326">
        <v>2206274018</v>
      </c>
      <c r="K3326">
        <v>241044958</v>
      </c>
      <c r="L3326">
        <v>-885450085</v>
      </c>
      <c r="M3326">
        <v>-443153780</v>
      </c>
      <c r="N3326">
        <v>-636419710</v>
      </c>
      <c r="O3326">
        <v>-366989676</v>
      </c>
      <c r="P3326">
        <v>1263</v>
      </c>
      <c r="Q3326" t="s">
        <v>6696</v>
      </c>
    </row>
    <row r="3327" spans="1:17" x14ac:dyDescent="0.3">
      <c r="A3327" t="s">
        <v>4446</v>
      </c>
      <c r="B3327" t="str">
        <f>"002602"</f>
        <v>002602</v>
      </c>
      <c r="C3327" t="s">
        <v>6697</v>
      </c>
      <c r="D3327" t="s">
        <v>89</v>
      </c>
      <c r="F3327">
        <v>-779248608</v>
      </c>
      <c r="G3327">
        <v>1828488287</v>
      </c>
      <c r="H3327">
        <v>1702013363</v>
      </c>
      <c r="I3327">
        <v>682585444</v>
      </c>
      <c r="J3327">
        <v>-60016721</v>
      </c>
      <c r="K3327">
        <v>484613718</v>
      </c>
      <c r="L3327">
        <v>308644383</v>
      </c>
      <c r="M3327">
        <v>-30850534</v>
      </c>
      <c r="N3327">
        <v>-260571708</v>
      </c>
      <c r="O3327">
        <v>-130194886</v>
      </c>
      <c r="P3327">
        <v>718</v>
      </c>
      <c r="Q3327" t="s">
        <v>6698</v>
      </c>
    </row>
    <row r="3328" spans="1:17" x14ac:dyDescent="0.3">
      <c r="A3328" t="s">
        <v>4446</v>
      </c>
      <c r="B3328" t="str">
        <f>"002603"</f>
        <v>002603</v>
      </c>
      <c r="C3328" t="s">
        <v>6699</v>
      </c>
      <c r="D3328" t="s">
        <v>113</v>
      </c>
      <c r="F3328">
        <v>-143667255</v>
      </c>
      <c r="G3328">
        <v>441694106</v>
      </c>
      <c r="H3328">
        <v>-385256080</v>
      </c>
      <c r="I3328">
        <v>-106216347</v>
      </c>
      <c r="J3328">
        <v>-64624205</v>
      </c>
      <c r="K3328">
        <v>258779689</v>
      </c>
      <c r="L3328">
        <v>-346477555</v>
      </c>
      <c r="M3328">
        <v>-343922878</v>
      </c>
      <c r="N3328">
        <v>-354473037</v>
      </c>
      <c r="O3328">
        <v>-226558206</v>
      </c>
      <c r="P3328">
        <v>832</v>
      </c>
      <c r="Q3328" t="s">
        <v>6700</v>
      </c>
    </row>
    <row r="3329" spans="1:17" x14ac:dyDescent="0.3">
      <c r="A3329" t="s">
        <v>4446</v>
      </c>
      <c r="B3329" t="str">
        <f>"002604"</f>
        <v>002604</v>
      </c>
      <c r="C3329" t="s">
        <v>6701</v>
      </c>
      <c r="H3329">
        <v>57816297</v>
      </c>
      <c r="I3329">
        <v>141796773</v>
      </c>
      <c r="J3329">
        <v>-397045185</v>
      </c>
      <c r="K3329">
        <v>-200144259</v>
      </c>
      <c r="L3329">
        <v>-380850024</v>
      </c>
      <c r="M3329">
        <v>-389655094</v>
      </c>
      <c r="N3329">
        <v>157067280</v>
      </c>
      <c r="O3329">
        <v>69527806</v>
      </c>
      <c r="P3329">
        <v>49</v>
      </c>
      <c r="Q3329" t="s">
        <v>6702</v>
      </c>
    </row>
    <row r="3330" spans="1:17" x14ac:dyDescent="0.3">
      <c r="A3330" t="s">
        <v>4446</v>
      </c>
      <c r="B3330" t="str">
        <f>"002605"</f>
        <v>002605</v>
      </c>
      <c r="C3330" t="s">
        <v>6703</v>
      </c>
      <c r="D3330" t="s">
        <v>89</v>
      </c>
      <c r="F3330">
        <v>436051975</v>
      </c>
      <c r="G3330">
        <v>652205264</v>
      </c>
      <c r="H3330">
        <v>636766753</v>
      </c>
      <c r="I3330">
        <v>172374337</v>
      </c>
      <c r="J3330">
        <v>-36625625</v>
      </c>
      <c r="K3330">
        <v>71561130</v>
      </c>
      <c r="L3330">
        <v>96796197</v>
      </c>
      <c r="M3330">
        <v>-211496965</v>
      </c>
      <c r="N3330">
        <v>92170579</v>
      </c>
      <c r="O3330">
        <v>70440143</v>
      </c>
      <c r="P3330">
        <v>433</v>
      </c>
      <c r="Q3330" t="s">
        <v>6704</v>
      </c>
    </row>
    <row r="3331" spans="1:17" x14ac:dyDescent="0.3">
      <c r="A3331" t="s">
        <v>4446</v>
      </c>
      <c r="B3331" t="str">
        <f>"002606"</f>
        <v>002606</v>
      </c>
      <c r="C3331" t="s">
        <v>6705</v>
      </c>
      <c r="D3331" t="s">
        <v>188</v>
      </c>
      <c r="F3331">
        <v>-121801899</v>
      </c>
      <c r="G3331">
        <v>47614965</v>
      </c>
      <c r="H3331">
        <v>46305884</v>
      </c>
      <c r="I3331">
        <v>135741497</v>
      </c>
      <c r="J3331">
        <v>78677684</v>
      </c>
      <c r="K3331">
        <v>49973783</v>
      </c>
      <c r="L3331">
        <v>93123762</v>
      </c>
      <c r="M3331">
        <v>-2553773</v>
      </c>
      <c r="N3331">
        <v>9372283</v>
      </c>
      <c r="O3331">
        <v>-52770249</v>
      </c>
      <c r="P3331">
        <v>160</v>
      </c>
      <c r="Q3331" t="s">
        <v>6706</v>
      </c>
    </row>
    <row r="3332" spans="1:17" x14ac:dyDescent="0.3">
      <c r="A3332" t="s">
        <v>4446</v>
      </c>
      <c r="B3332" t="str">
        <f>"002607"</f>
        <v>002607</v>
      </c>
      <c r="C3332" t="s">
        <v>6707</v>
      </c>
      <c r="D3332" t="s">
        <v>110</v>
      </c>
      <c r="F3332">
        <v>-5461783317</v>
      </c>
      <c r="G3332">
        <v>3557601654</v>
      </c>
      <c r="H3332">
        <v>1754098802</v>
      </c>
      <c r="I3332">
        <v>1144952488</v>
      </c>
      <c r="J3332">
        <v>-217310927</v>
      </c>
      <c r="K3332">
        <v>-137860104</v>
      </c>
      <c r="L3332">
        <v>57548002</v>
      </c>
      <c r="M3332">
        <v>-236978016</v>
      </c>
      <c r="N3332">
        <v>-213868284</v>
      </c>
      <c r="O3332">
        <v>-376001912</v>
      </c>
      <c r="P3332">
        <v>1791</v>
      </c>
      <c r="Q3332" t="s">
        <v>6708</v>
      </c>
    </row>
    <row r="3333" spans="1:17" x14ac:dyDescent="0.3">
      <c r="A3333" t="s">
        <v>4446</v>
      </c>
      <c r="B3333" t="str">
        <f>"002608"</f>
        <v>002608</v>
      </c>
      <c r="C3333" t="s">
        <v>6709</v>
      </c>
      <c r="D3333" t="s">
        <v>41</v>
      </c>
      <c r="F3333">
        <v>-4310982059</v>
      </c>
      <c r="G3333">
        <v>6369915949</v>
      </c>
      <c r="H3333">
        <v>3276914856</v>
      </c>
      <c r="I3333">
        <v>1804134760</v>
      </c>
      <c r="J3333">
        <v>720079824</v>
      </c>
      <c r="K3333">
        <v>2627674470</v>
      </c>
      <c r="L3333">
        <v>-278241822</v>
      </c>
      <c r="M3333">
        <v>-1999008125</v>
      </c>
      <c r="N3333">
        <v>-750234706</v>
      </c>
      <c r="O3333">
        <v>-1039209014</v>
      </c>
      <c r="P3333">
        <v>138</v>
      </c>
      <c r="Q3333" t="s">
        <v>6710</v>
      </c>
    </row>
    <row r="3334" spans="1:17" x14ac:dyDescent="0.3">
      <c r="A3334" t="s">
        <v>4446</v>
      </c>
      <c r="B3334" t="str">
        <f>"002609"</f>
        <v>002609</v>
      </c>
      <c r="C3334" t="s">
        <v>6711</v>
      </c>
      <c r="D3334" t="s">
        <v>212</v>
      </c>
      <c r="F3334">
        <v>-279168256</v>
      </c>
      <c r="G3334">
        <v>41504032</v>
      </c>
      <c r="H3334">
        <v>-225092025</v>
      </c>
      <c r="I3334">
        <v>-102929832</v>
      </c>
      <c r="J3334">
        <v>-7091462</v>
      </c>
      <c r="K3334">
        <v>109785610</v>
      </c>
      <c r="L3334">
        <v>-117292429</v>
      </c>
      <c r="M3334">
        <v>142443451</v>
      </c>
      <c r="N3334">
        <v>89130819</v>
      </c>
      <c r="O3334">
        <v>34129786</v>
      </c>
      <c r="P3334">
        <v>213</v>
      </c>
      <c r="Q3334" t="s">
        <v>6712</v>
      </c>
    </row>
    <row r="3335" spans="1:17" x14ac:dyDescent="0.3">
      <c r="A3335" t="s">
        <v>4446</v>
      </c>
      <c r="B3335" t="str">
        <f>"002610"</f>
        <v>002610</v>
      </c>
      <c r="C3335" t="s">
        <v>6713</v>
      </c>
      <c r="D3335" t="s">
        <v>188</v>
      </c>
      <c r="F3335">
        <v>199331917</v>
      </c>
      <c r="G3335">
        <v>200469664</v>
      </c>
      <c r="H3335">
        <v>114622936</v>
      </c>
      <c r="I3335">
        <v>72441123</v>
      </c>
      <c r="J3335">
        <v>-145364022</v>
      </c>
      <c r="K3335">
        <v>-2504799685</v>
      </c>
      <c r="L3335">
        <v>-1159892961</v>
      </c>
      <c r="M3335">
        <v>-889912297</v>
      </c>
      <c r="N3335">
        <v>-618776824</v>
      </c>
      <c r="O3335">
        <v>-563303836</v>
      </c>
      <c r="P3335">
        <v>301</v>
      </c>
      <c r="Q3335" t="s">
        <v>6714</v>
      </c>
    </row>
    <row r="3336" spans="1:17" x14ac:dyDescent="0.3">
      <c r="A3336" t="s">
        <v>4446</v>
      </c>
      <c r="B3336" t="str">
        <f>"002611"</f>
        <v>002611</v>
      </c>
      <c r="C3336" t="s">
        <v>6715</v>
      </c>
      <c r="D3336" t="s">
        <v>78</v>
      </c>
      <c r="F3336">
        <v>241265359</v>
      </c>
      <c r="G3336">
        <v>402692727</v>
      </c>
      <c r="H3336">
        <v>143979250</v>
      </c>
      <c r="I3336">
        <v>654455324</v>
      </c>
      <c r="J3336">
        <v>-91681921</v>
      </c>
      <c r="K3336">
        <v>296905458</v>
      </c>
      <c r="L3336">
        <v>75249405</v>
      </c>
      <c r="M3336">
        <v>-137926679</v>
      </c>
      <c r="N3336">
        <v>-73553735</v>
      </c>
      <c r="O3336">
        <v>32868141</v>
      </c>
      <c r="P3336">
        <v>208</v>
      </c>
      <c r="Q3336" t="s">
        <v>6716</v>
      </c>
    </row>
    <row r="3337" spans="1:17" x14ac:dyDescent="0.3">
      <c r="A3337" t="s">
        <v>4446</v>
      </c>
      <c r="B3337" t="str">
        <f>"002612"</f>
        <v>002612</v>
      </c>
      <c r="C3337" t="s">
        <v>6717</v>
      </c>
      <c r="D3337" t="s">
        <v>227</v>
      </c>
      <c r="F3337">
        <v>307555156</v>
      </c>
      <c r="G3337">
        <v>283223420</v>
      </c>
      <c r="H3337">
        <v>528393132</v>
      </c>
      <c r="I3337">
        <v>-39611952</v>
      </c>
      <c r="J3337">
        <v>52782865</v>
      </c>
      <c r="K3337">
        <v>91746647</v>
      </c>
      <c r="L3337">
        <v>133426199</v>
      </c>
      <c r="M3337">
        <v>7331828</v>
      </c>
      <c r="N3337">
        <v>-94122324</v>
      </c>
      <c r="O3337">
        <v>-262044178</v>
      </c>
      <c r="P3337">
        <v>370</v>
      </c>
      <c r="Q3337" t="s">
        <v>6718</v>
      </c>
    </row>
    <row r="3338" spans="1:17" x14ac:dyDescent="0.3">
      <c r="A3338" t="s">
        <v>4446</v>
      </c>
      <c r="B3338" t="str">
        <f>"002613"</f>
        <v>002613</v>
      </c>
      <c r="C3338" t="s">
        <v>6719</v>
      </c>
      <c r="D3338" t="s">
        <v>350</v>
      </c>
      <c r="F3338">
        <v>-87849326</v>
      </c>
      <c r="G3338">
        <v>-31388359</v>
      </c>
      <c r="H3338">
        <v>39300868</v>
      </c>
      <c r="I3338">
        <v>19313666</v>
      </c>
      <c r="J3338">
        <v>-38899183</v>
      </c>
      <c r="K3338">
        <v>46491102</v>
      </c>
      <c r="L3338">
        <v>13364910</v>
      </c>
      <c r="M3338">
        <v>-110813478</v>
      </c>
      <c r="N3338">
        <v>-129778953</v>
      </c>
      <c r="O3338">
        <v>-2868839</v>
      </c>
      <c r="P3338">
        <v>91</v>
      </c>
      <c r="Q3338" t="s">
        <v>6720</v>
      </c>
    </row>
    <row r="3339" spans="1:17" x14ac:dyDescent="0.3">
      <c r="A3339" t="s">
        <v>4446</v>
      </c>
      <c r="B3339" t="str">
        <f>"002614"</f>
        <v>002614</v>
      </c>
      <c r="C3339" t="s">
        <v>6721</v>
      </c>
      <c r="D3339" t="s">
        <v>126</v>
      </c>
      <c r="F3339">
        <v>-407995626</v>
      </c>
      <c r="G3339">
        <v>300760317</v>
      </c>
      <c r="H3339">
        <v>-811891843</v>
      </c>
      <c r="I3339">
        <v>197876408</v>
      </c>
      <c r="J3339">
        <v>189487100</v>
      </c>
      <c r="K3339">
        <v>41008037</v>
      </c>
      <c r="L3339">
        <v>-55870475</v>
      </c>
      <c r="M3339">
        <v>-102818845</v>
      </c>
      <c r="N3339">
        <v>176433975</v>
      </c>
      <c r="O3339">
        <v>-113390224</v>
      </c>
      <c r="P3339">
        <v>525</v>
      </c>
      <c r="Q3339" t="s">
        <v>6722</v>
      </c>
    </row>
    <row r="3340" spans="1:17" x14ac:dyDescent="0.3">
      <c r="A3340" t="s">
        <v>4446</v>
      </c>
      <c r="B3340" t="str">
        <f>"002615"</f>
        <v>002615</v>
      </c>
      <c r="C3340" t="s">
        <v>6723</v>
      </c>
      <c r="D3340" t="s">
        <v>161</v>
      </c>
      <c r="F3340">
        <v>280880617</v>
      </c>
      <c r="G3340">
        <v>247574185</v>
      </c>
      <c r="H3340">
        <v>39961314</v>
      </c>
      <c r="I3340">
        <v>-80179379</v>
      </c>
      <c r="J3340">
        <v>-100249283</v>
      </c>
      <c r="K3340">
        <v>84955356</v>
      </c>
      <c r="L3340">
        <v>-116360189</v>
      </c>
      <c r="M3340">
        <v>-69652913</v>
      </c>
      <c r="N3340">
        <v>10366715</v>
      </c>
      <c r="O3340">
        <v>12397961</v>
      </c>
      <c r="P3340">
        <v>178</v>
      </c>
      <c r="Q3340" t="s">
        <v>6724</v>
      </c>
    </row>
    <row r="3341" spans="1:17" x14ac:dyDescent="0.3">
      <c r="A3341" t="s">
        <v>4446</v>
      </c>
      <c r="B3341" t="str">
        <f>"002616"</f>
        <v>002616</v>
      </c>
      <c r="C3341" t="s">
        <v>6725</v>
      </c>
      <c r="D3341" t="s">
        <v>41</v>
      </c>
      <c r="F3341">
        <v>-660157853</v>
      </c>
      <c r="G3341">
        <v>-1637227410</v>
      </c>
      <c r="H3341">
        <v>-1063244262</v>
      </c>
      <c r="I3341">
        <v>-257863973</v>
      </c>
      <c r="J3341">
        <v>-691935354</v>
      </c>
      <c r="K3341">
        <v>-318743270</v>
      </c>
      <c r="L3341">
        <v>-300801205</v>
      </c>
      <c r="M3341">
        <v>-127409418</v>
      </c>
      <c r="N3341">
        <v>-102885631</v>
      </c>
      <c r="O3341">
        <v>-239315043</v>
      </c>
      <c r="P3341">
        <v>202</v>
      </c>
      <c r="Q3341" t="s">
        <v>6726</v>
      </c>
    </row>
    <row r="3342" spans="1:17" x14ac:dyDescent="0.3">
      <c r="A3342" t="s">
        <v>4446</v>
      </c>
      <c r="B3342" t="str">
        <f>"002617"</f>
        <v>002617</v>
      </c>
      <c r="C3342" t="s">
        <v>6727</v>
      </c>
      <c r="D3342" t="s">
        <v>41</v>
      </c>
      <c r="F3342">
        <v>-942895401</v>
      </c>
      <c r="G3342">
        <v>-341931910</v>
      </c>
      <c r="H3342">
        <v>-245922665</v>
      </c>
      <c r="I3342">
        <v>100570908</v>
      </c>
      <c r="J3342">
        <v>-1080641408</v>
      </c>
      <c r="K3342">
        <v>-356008845</v>
      </c>
      <c r="L3342">
        <v>476562987</v>
      </c>
      <c r="M3342">
        <v>251640954</v>
      </c>
      <c r="N3342">
        <v>-23003096</v>
      </c>
      <c r="O3342">
        <v>-299772995</v>
      </c>
      <c r="P3342">
        <v>321</v>
      </c>
      <c r="Q3342" t="s">
        <v>6728</v>
      </c>
    </row>
    <row r="3343" spans="1:17" x14ac:dyDescent="0.3">
      <c r="A3343" t="s">
        <v>4446</v>
      </c>
      <c r="B3343" t="str">
        <f>"002618"</f>
        <v>002618</v>
      </c>
      <c r="C3343" t="s">
        <v>6729</v>
      </c>
      <c r="D3343" t="s">
        <v>150</v>
      </c>
      <c r="F3343">
        <v>-18325551</v>
      </c>
      <c r="G3343">
        <v>-24587725</v>
      </c>
      <c r="H3343">
        <v>-31936138</v>
      </c>
      <c r="I3343">
        <v>171110319</v>
      </c>
      <c r="J3343">
        <v>-236628644</v>
      </c>
      <c r="K3343">
        <v>-61728176</v>
      </c>
      <c r="L3343">
        <v>-29657233</v>
      </c>
      <c r="M3343">
        <v>-326583362</v>
      </c>
      <c r="N3343">
        <v>-200962496</v>
      </c>
      <c r="O3343">
        <v>-364564798</v>
      </c>
      <c r="P3343">
        <v>135</v>
      </c>
      <c r="Q3343" t="s">
        <v>6730</v>
      </c>
    </row>
    <row r="3344" spans="1:17" x14ac:dyDescent="0.3">
      <c r="A3344" t="s">
        <v>4446</v>
      </c>
      <c r="B3344" t="str">
        <f>"002619"</f>
        <v>002619</v>
      </c>
      <c r="C3344" t="s">
        <v>6731</v>
      </c>
      <c r="D3344" t="s">
        <v>89</v>
      </c>
      <c r="G3344">
        <v>-301510741</v>
      </c>
      <c r="H3344">
        <v>17968022</v>
      </c>
      <c r="I3344">
        <v>221713426</v>
      </c>
      <c r="J3344">
        <v>381152832</v>
      </c>
      <c r="K3344">
        <v>231143438</v>
      </c>
      <c r="L3344">
        <v>106156891</v>
      </c>
      <c r="M3344">
        <v>-20739565</v>
      </c>
      <c r="N3344">
        <v>-67754985</v>
      </c>
      <c r="O3344">
        <v>-111620340</v>
      </c>
      <c r="P3344">
        <v>124</v>
      </c>
      <c r="Q3344" t="s">
        <v>6732</v>
      </c>
    </row>
    <row r="3345" spans="1:17" x14ac:dyDescent="0.3">
      <c r="A3345" t="s">
        <v>4446</v>
      </c>
      <c r="B3345" t="str">
        <f>"002620"</f>
        <v>002620</v>
      </c>
      <c r="C3345" t="s">
        <v>6733</v>
      </c>
      <c r="D3345" t="s">
        <v>95</v>
      </c>
      <c r="F3345">
        <v>-132389429</v>
      </c>
      <c r="G3345">
        <v>-90145396</v>
      </c>
      <c r="H3345">
        <v>-71137196</v>
      </c>
      <c r="I3345">
        <v>-321320346</v>
      </c>
      <c r="J3345">
        <v>-85819773</v>
      </c>
      <c r="K3345">
        <v>-224989948</v>
      </c>
      <c r="L3345">
        <v>-152458917</v>
      </c>
      <c r="M3345">
        <v>-50676173</v>
      </c>
      <c r="N3345">
        <v>-288649255</v>
      </c>
      <c r="O3345">
        <v>-22549524</v>
      </c>
      <c r="P3345">
        <v>90</v>
      </c>
      <c r="Q3345" t="s">
        <v>6734</v>
      </c>
    </row>
    <row r="3346" spans="1:17" x14ac:dyDescent="0.3">
      <c r="A3346" t="s">
        <v>4446</v>
      </c>
      <c r="B3346" t="str">
        <f>"002621"</f>
        <v>002621</v>
      </c>
      <c r="C3346" t="s">
        <v>6735</v>
      </c>
      <c r="D3346" t="s">
        <v>110</v>
      </c>
      <c r="F3346">
        <v>29929094</v>
      </c>
      <c r="G3346">
        <v>-78721104</v>
      </c>
      <c r="H3346">
        <v>229936425</v>
      </c>
      <c r="I3346">
        <v>177425142</v>
      </c>
      <c r="J3346">
        <v>30182514</v>
      </c>
      <c r="K3346">
        <v>-15337351</v>
      </c>
      <c r="L3346">
        <v>17157748</v>
      </c>
      <c r="M3346">
        <v>66946745</v>
      </c>
      <c r="N3346">
        <v>64324437</v>
      </c>
      <c r="O3346">
        <v>95319174</v>
      </c>
      <c r="P3346">
        <v>143</v>
      </c>
      <c r="Q3346" t="s">
        <v>6736</v>
      </c>
    </row>
    <row r="3347" spans="1:17" x14ac:dyDescent="0.3">
      <c r="A3347" t="s">
        <v>4446</v>
      </c>
      <c r="B3347" t="str">
        <f>"002622"</f>
        <v>002622</v>
      </c>
      <c r="C3347" t="s">
        <v>6737</v>
      </c>
      <c r="D3347" t="s">
        <v>188</v>
      </c>
      <c r="F3347">
        <v>12676635</v>
      </c>
      <c r="G3347">
        <v>64752969</v>
      </c>
      <c r="H3347">
        <v>24330732</v>
      </c>
      <c r="I3347">
        <v>236880186</v>
      </c>
      <c r="J3347">
        <v>-154919526</v>
      </c>
      <c r="K3347">
        <v>-40443294</v>
      </c>
      <c r="L3347">
        <v>-13529605</v>
      </c>
      <c r="M3347">
        <v>-66402666</v>
      </c>
      <c r="N3347">
        <v>35028492</v>
      </c>
      <c r="O3347">
        <v>-2690796</v>
      </c>
      <c r="P3347">
        <v>120</v>
      </c>
      <c r="Q3347" t="s">
        <v>6738</v>
      </c>
    </row>
    <row r="3348" spans="1:17" x14ac:dyDescent="0.3">
      <c r="A3348" t="s">
        <v>4446</v>
      </c>
      <c r="B3348" t="str">
        <f>"002623"</f>
        <v>002623</v>
      </c>
      <c r="C3348" t="s">
        <v>6739</v>
      </c>
      <c r="D3348" t="s">
        <v>188</v>
      </c>
      <c r="F3348">
        <v>-304222789</v>
      </c>
      <c r="G3348">
        <v>162046876</v>
      </c>
      <c r="H3348">
        <v>197538654</v>
      </c>
      <c r="I3348">
        <v>-145600542</v>
      </c>
      <c r="J3348">
        <v>-548530965</v>
      </c>
      <c r="K3348">
        <v>-630772843</v>
      </c>
      <c r="L3348">
        <v>-407806964</v>
      </c>
      <c r="M3348">
        <v>-153624409</v>
      </c>
      <c r="N3348">
        <v>-129152141</v>
      </c>
      <c r="O3348">
        <v>-278112385</v>
      </c>
      <c r="P3348">
        <v>172</v>
      </c>
      <c r="Q3348" t="s">
        <v>6740</v>
      </c>
    </row>
    <row r="3349" spans="1:17" x14ac:dyDescent="0.3">
      <c r="A3349" t="s">
        <v>4446</v>
      </c>
      <c r="B3349" t="str">
        <f>"002624"</f>
        <v>002624</v>
      </c>
      <c r="C3349" t="s">
        <v>6741</v>
      </c>
      <c r="D3349" t="s">
        <v>89</v>
      </c>
      <c r="F3349">
        <v>759168940</v>
      </c>
      <c r="G3349">
        <v>3121765468</v>
      </c>
      <c r="H3349">
        <v>1578556057</v>
      </c>
      <c r="I3349">
        <v>-225558248</v>
      </c>
      <c r="J3349">
        <v>616369035</v>
      </c>
      <c r="K3349">
        <v>999163667</v>
      </c>
      <c r="L3349">
        <v>196212451</v>
      </c>
      <c r="M3349">
        <v>-258272846</v>
      </c>
      <c r="N3349">
        <v>-81788431</v>
      </c>
      <c r="O3349">
        <v>-108401429</v>
      </c>
      <c r="P3349">
        <v>2399</v>
      </c>
      <c r="Q3349" t="s">
        <v>6742</v>
      </c>
    </row>
    <row r="3350" spans="1:17" x14ac:dyDescent="0.3">
      <c r="A3350" t="s">
        <v>4446</v>
      </c>
      <c r="B3350" t="str">
        <f>"002625"</f>
        <v>002625</v>
      </c>
      <c r="C3350" t="s">
        <v>6743</v>
      </c>
      <c r="D3350" t="s">
        <v>92</v>
      </c>
      <c r="F3350">
        <v>-440802051</v>
      </c>
      <c r="G3350">
        <v>-225639867</v>
      </c>
      <c r="H3350">
        <v>-237555120</v>
      </c>
      <c r="I3350">
        <v>-89971420</v>
      </c>
      <c r="J3350">
        <v>-64151853</v>
      </c>
      <c r="K3350">
        <v>38188255</v>
      </c>
      <c r="L3350">
        <v>30747469</v>
      </c>
      <c r="M3350">
        <v>-39015005</v>
      </c>
      <c r="N3350">
        <v>-63824678</v>
      </c>
      <c r="O3350">
        <v>-24474833</v>
      </c>
      <c r="P3350">
        <v>259</v>
      </c>
      <c r="Q3350" t="s">
        <v>6744</v>
      </c>
    </row>
    <row r="3351" spans="1:17" x14ac:dyDescent="0.3">
      <c r="A3351" t="s">
        <v>4446</v>
      </c>
      <c r="B3351" t="str">
        <f>"002626"</f>
        <v>002626</v>
      </c>
      <c r="C3351" t="s">
        <v>6745</v>
      </c>
      <c r="D3351" t="s">
        <v>123</v>
      </c>
      <c r="F3351">
        <v>506093995</v>
      </c>
      <c r="G3351">
        <v>719868618</v>
      </c>
      <c r="H3351">
        <v>743405899</v>
      </c>
      <c r="I3351">
        <v>809348314</v>
      </c>
      <c r="J3351">
        <v>398537261</v>
      </c>
      <c r="K3351">
        <v>356198904</v>
      </c>
      <c r="L3351">
        <v>-637417709</v>
      </c>
      <c r="M3351">
        <v>77007001</v>
      </c>
      <c r="N3351">
        <v>64945007</v>
      </c>
      <c r="O3351">
        <v>16263831</v>
      </c>
      <c r="P3351">
        <v>1113</v>
      </c>
      <c r="Q3351" t="s">
        <v>6746</v>
      </c>
    </row>
    <row r="3352" spans="1:17" x14ac:dyDescent="0.3">
      <c r="A3352" t="s">
        <v>4446</v>
      </c>
      <c r="B3352" t="str">
        <f>"002627"</f>
        <v>002627</v>
      </c>
      <c r="C3352" t="s">
        <v>6747</v>
      </c>
      <c r="D3352" t="s">
        <v>22</v>
      </c>
      <c r="F3352">
        <v>364523078</v>
      </c>
      <c r="G3352">
        <v>-304053543</v>
      </c>
      <c r="H3352">
        <v>-443207182</v>
      </c>
      <c r="I3352">
        <v>-450435814</v>
      </c>
      <c r="J3352">
        <v>-617128</v>
      </c>
      <c r="K3352">
        <v>-3686163</v>
      </c>
      <c r="L3352">
        <v>-70599664</v>
      </c>
      <c r="M3352">
        <v>-11062240</v>
      </c>
      <c r="N3352">
        <v>4199058</v>
      </c>
      <c r="O3352">
        <v>-91743962</v>
      </c>
      <c r="P3352">
        <v>99</v>
      </c>
      <c r="Q3352" t="s">
        <v>6748</v>
      </c>
    </row>
    <row r="3353" spans="1:17" x14ac:dyDescent="0.3">
      <c r="A3353" t="s">
        <v>4446</v>
      </c>
      <c r="B3353" t="str">
        <f>"002628"</f>
        <v>002628</v>
      </c>
      <c r="C3353" t="s">
        <v>6749</v>
      </c>
      <c r="D3353" t="s">
        <v>95</v>
      </c>
      <c r="F3353">
        <v>-393611831</v>
      </c>
      <c r="G3353">
        <v>-1052739035</v>
      </c>
      <c r="H3353">
        <v>-817190767</v>
      </c>
      <c r="I3353">
        <v>-56353563</v>
      </c>
      <c r="J3353">
        <v>212702848</v>
      </c>
      <c r="K3353">
        <v>579693788</v>
      </c>
      <c r="L3353">
        <v>377518674</v>
      </c>
      <c r="M3353">
        <v>-72855052</v>
      </c>
      <c r="N3353">
        <v>-436230638</v>
      </c>
      <c r="O3353">
        <v>-748349831</v>
      </c>
      <c r="P3353">
        <v>91</v>
      </c>
      <c r="Q3353" t="s">
        <v>6750</v>
      </c>
    </row>
    <row r="3354" spans="1:17" x14ac:dyDescent="0.3">
      <c r="A3354" t="s">
        <v>4446</v>
      </c>
      <c r="B3354" t="str">
        <f>"002629"</f>
        <v>002629</v>
      </c>
      <c r="C3354" t="s">
        <v>6751</v>
      </c>
      <c r="D3354" t="s">
        <v>70</v>
      </c>
      <c r="F3354">
        <v>-40304466</v>
      </c>
      <c r="G3354">
        <v>-18476329</v>
      </c>
      <c r="H3354">
        <v>67055792</v>
      </c>
      <c r="I3354">
        <v>1306488</v>
      </c>
      <c r="J3354">
        <v>-198766640</v>
      </c>
      <c r="K3354">
        <v>94933701</v>
      </c>
      <c r="L3354">
        <v>-29895943</v>
      </c>
      <c r="M3354">
        <v>55331337</v>
      </c>
      <c r="N3354">
        <v>-73640662</v>
      </c>
      <c r="O3354">
        <v>-225776645</v>
      </c>
      <c r="P3354">
        <v>60</v>
      </c>
      <c r="Q3354" t="s">
        <v>6752</v>
      </c>
    </row>
    <row r="3355" spans="1:17" x14ac:dyDescent="0.3">
      <c r="A3355" t="s">
        <v>4446</v>
      </c>
      <c r="B3355" t="str">
        <f>"002630"</f>
        <v>002630</v>
      </c>
      <c r="C3355" t="s">
        <v>6753</v>
      </c>
      <c r="D3355" t="s">
        <v>188</v>
      </c>
      <c r="F3355">
        <v>-193437816</v>
      </c>
      <c r="G3355">
        <v>-1233177022</v>
      </c>
      <c r="H3355">
        <v>39166755</v>
      </c>
      <c r="I3355">
        <v>-943844345</v>
      </c>
      <c r="J3355">
        <v>-636148506</v>
      </c>
      <c r="K3355">
        <v>-739406187</v>
      </c>
      <c r="L3355">
        <v>-205280522</v>
      </c>
      <c r="M3355">
        <v>-846612069</v>
      </c>
      <c r="N3355">
        <v>-63350869</v>
      </c>
      <c r="O3355">
        <v>-396257022</v>
      </c>
      <c r="P3355">
        <v>109</v>
      </c>
      <c r="Q3355" t="s">
        <v>6754</v>
      </c>
    </row>
    <row r="3356" spans="1:17" x14ac:dyDescent="0.3">
      <c r="A3356" t="s">
        <v>4446</v>
      </c>
      <c r="B3356" t="str">
        <f>"002631"</f>
        <v>002631</v>
      </c>
      <c r="C3356" t="s">
        <v>6755</v>
      </c>
      <c r="D3356" t="s">
        <v>161</v>
      </c>
      <c r="F3356">
        <v>110099724</v>
      </c>
      <c r="G3356">
        <v>-48478232</v>
      </c>
      <c r="H3356">
        <v>-48426518</v>
      </c>
      <c r="I3356">
        <v>128012907</v>
      </c>
      <c r="J3356">
        <v>142600467</v>
      </c>
      <c r="K3356">
        <v>188550428</v>
      </c>
      <c r="L3356">
        <v>151869599</v>
      </c>
      <c r="M3356">
        <v>-8443978</v>
      </c>
      <c r="N3356">
        <v>5830045</v>
      </c>
      <c r="O3356">
        <v>-66830362</v>
      </c>
      <c r="P3356">
        <v>156</v>
      </c>
      <c r="Q3356" t="s">
        <v>6756</v>
      </c>
    </row>
    <row r="3357" spans="1:17" x14ac:dyDescent="0.3">
      <c r="A3357" t="s">
        <v>4446</v>
      </c>
      <c r="B3357" t="str">
        <f>"002632"</f>
        <v>002632</v>
      </c>
      <c r="C3357" t="s">
        <v>6757</v>
      </c>
      <c r="D3357" t="s">
        <v>133</v>
      </c>
      <c r="F3357">
        <v>390253257</v>
      </c>
      <c r="G3357">
        <v>647173962</v>
      </c>
      <c r="H3357">
        <v>-536969161</v>
      </c>
      <c r="I3357">
        <v>98901384</v>
      </c>
      <c r="J3357">
        <v>5097323</v>
      </c>
      <c r="K3357">
        <v>18976429</v>
      </c>
      <c r="L3357">
        <v>-24948052</v>
      </c>
      <c r="M3357">
        <v>22091779</v>
      </c>
      <c r="N3357">
        <v>-169725733</v>
      </c>
      <c r="O3357">
        <v>-210464313</v>
      </c>
      <c r="P3357">
        <v>144</v>
      </c>
      <c r="Q3357" t="s">
        <v>6758</v>
      </c>
    </row>
    <row r="3358" spans="1:17" x14ac:dyDescent="0.3">
      <c r="A3358" t="s">
        <v>4446</v>
      </c>
      <c r="B3358" t="str">
        <f>"002633"</f>
        <v>002633</v>
      </c>
      <c r="C3358" t="s">
        <v>6759</v>
      </c>
      <c r="D3358" t="s">
        <v>78</v>
      </c>
      <c r="F3358">
        <v>-56613472</v>
      </c>
      <c r="G3358">
        <v>-24973811</v>
      </c>
      <c r="H3358">
        <v>-30808129</v>
      </c>
      <c r="I3358">
        <v>-4706091</v>
      </c>
      <c r="J3358">
        <v>-2780316</v>
      </c>
      <c r="K3358">
        <v>42840808</v>
      </c>
      <c r="L3358">
        <v>-376564</v>
      </c>
      <c r="M3358">
        <v>16954169</v>
      </c>
      <c r="N3358">
        <v>1026264</v>
      </c>
      <c r="O3358">
        <v>-92485871</v>
      </c>
      <c r="P3358">
        <v>44</v>
      </c>
      <c r="Q3358" t="s">
        <v>6760</v>
      </c>
    </row>
    <row r="3359" spans="1:17" x14ac:dyDescent="0.3">
      <c r="A3359" t="s">
        <v>4446</v>
      </c>
      <c r="B3359" t="str">
        <f>"002634"</f>
        <v>002634</v>
      </c>
      <c r="C3359" t="s">
        <v>6761</v>
      </c>
      <c r="D3359" t="s">
        <v>227</v>
      </c>
      <c r="F3359">
        <v>17306569</v>
      </c>
      <c r="G3359">
        <v>42415214</v>
      </c>
      <c r="H3359">
        <v>-20107690</v>
      </c>
      <c r="I3359">
        <v>-40876141</v>
      </c>
      <c r="J3359">
        <v>83689672</v>
      </c>
      <c r="K3359">
        <v>85812463</v>
      </c>
      <c r="L3359">
        <v>-646791</v>
      </c>
      <c r="M3359">
        <v>48707971</v>
      </c>
      <c r="N3359">
        <v>27369912</v>
      </c>
      <c r="O3359">
        <v>-15549263</v>
      </c>
      <c r="P3359">
        <v>88</v>
      </c>
      <c r="Q3359" t="s">
        <v>6762</v>
      </c>
    </row>
    <row r="3360" spans="1:17" x14ac:dyDescent="0.3">
      <c r="A3360" t="s">
        <v>4446</v>
      </c>
      <c r="B3360" t="str">
        <f>"002635"</f>
        <v>002635</v>
      </c>
      <c r="C3360" t="s">
        <v>6763</v>
      </c>
      <c r="D3360" t="s">
        <v>150</v>
      </c>
      <c r="F3360">
        <v>-575179617</v>
      </c>
      <c r="G3360">
        <v>5449999</v>
      </c>
      <c r="H3360">
        <v>555510441</v>
      </c>
      <c r="I3360">
        <v>113571797</v>
      </c>
      <c r="J3360">
        <v>-101167050</v>
      </c>
      <c r="K3360">
        <v>465635300</v>
      </c>
      <c r="L3360">
        <v>72826658</v>
      </c>
      <c r="M3360">
        <v>77174079</v>
      </c>
      <c r="N3360">
        <v>58744409</v>
      </c>
      <c r="O3360">
        <v>62176706</v>
      </c>
      <c r="P3360">
        <v>513</v>
      </c>
      <c r="Q3360" t="s">
        <v>6764</v>
      </c>
    </row>
    <row r="3361" spans="1:17" x14ac:dyDescent="0.3">
      <c r="A3361" t="s">
        <v>4446</v>
      </c>
      <c r="B3361" t="str">
        <f>"002636"</f>
        <v>002636</v>
      </c>
      <c r="C3361" t="s">
        <v>6765</v>
      </c>
      <c r="D3361" t="s">
        <v>150</v>
      </c>
      <c r="F3361">
        <v>421859240</v>
      </c>
      <c r="G3361">
        <v>330937885</v>
      </c>
      <c r="H3361">
        <v>484283687</v>
      </c>
      <c r="I3361">
        <v>369570816</v>
      </c>
      <c r="J3361">
        <v>655211523</v>
      </c>
      <c r="K3361">
        <v>333145226</v>
      </c>
      <c r="L3361">
        <v>70893191</v>
      </c>
      <c r="M3361">
        <v>-76002933</v>
      </c>
      <c r="N3361">
        <v>-72173372</v>
      </c>
      <c r="O3361">
        <v>86244698</v>
      </c>
      <c r="P3361">
        <v>305</v>
      </c>
      <c r="Q3361" t="s">
        <v>6766</v>
      </c>
    </row>
    <row r="3362" spans="1:17" x14ac:dyDescent="0.3">
      <c r="A3362" t="s">
        <v>4446</v>
      </c>
      <c r="B3362" t="str">
        <f>"002637"</f>
        <v>002637</v>
      </c>
      <c r="C3362" t="s">
        <v>6767</v>
      </c>
      <c r="D3362" t="s">
        <v>133</v>
      </c>
      <c r="F3362">
        <v>-566054610</v>
      </c>
      <c r="G3362">
        <v>43970395</v>
      </c>
      <c r="H3362">
        <v>-250102060</v>
      </c>
      <c r="I3362">
        <v>405371260</v>
      </c>
      <c r="J3362">
        <v>36384029</v>
      </c>
      <c r="K3362">
        <v>-131375433</v>
      </c>
      <c r="L3362">
        <v>131634493</v>
      </c>
      <c r="M3362">
        <v>-11721825</v>
      </c>
      <c r="N3362">
        <v>-45202482</v>
      </c>
      <c r="O3362">
        <v>-221917201</v>
      </c>
      <c r="P3362">
        <v>145</v>
      </c>
      <c r="Q3362" t="s">
        <v>6768</v>
      </c>
    </row>
    <row r="3363" spans="1:17" x14ac:dyDescent="0.3">
      <c r="A3363" t="s">
        <v>4446</v>
      </c>
      <c r="B3363" t="str">
        <f>"002638"</f>
        <v>002638</v>
      </c>
      <c r="C3363" t="s">
        <v>6769</v>
      </c>
      <c r="D3363" t="s">
        <v>110</v>
      </c>
      <c r="F3363">
        <v>-256838071</v>
      </c>
      <c r="G3363">
        <v>-111048660</v>
      </c>
      <c r="H3363">
        <v>-276007884</v>
      </c>
      <c r="I3363">
        <v>-213667503</v>
      </c>
      <c r="J3363">
        <v>-167878390</v>
      </c>
      <c r="K3363">
        <v>103643101</v>
      </c>
      <c r="L3363">
        <v>-42280443</v>
      </c>
      <c r="M3363">
        <v>-31158459</v>
      </c>
      <c r="N3363">
        <v>-111316208</v>
      </c>
      <c r="O3363">
        <v>38966687</v>
      </c>
      <c r="P3363">
        <v>83</v>
      </c>
      <c r="Q3363" t="s">
        <v>6770</v>
      </c>
    </row>
    <row r="3364" spans="1:17" x14ac:dyDescent="0.3">
      <c r="A3364" t="s">
        <v>4446</v>
      </c>
      <c r="B3364" t="str">
        <f>"002639"</f>
        <v>002639</v>
      </c>
      <c r="C3364" t="s">
        <v>6771</v>
      </c>
      <c r="D3364" t="s">
        <v>78</v>
      </c>
      <c r="F3364">
        <v>-142261664</v>
      </c>
      <c r="G3364">
        <v>66352130</v>
      </c>
      <c r="H3364">
        <v>28701157</v>
      </c>
      <c r="I3364">
        <v>-142347120</v>
      </c>
      <c r="J3364">
        <v>-91437264</v>
      </c>
      <c r="K3364">
        <v>-312750941</v>
      </c>
      <c r="L3364">
        <v>-249253141</v>
      </c>
      <c r="M3364">
        <v>-267637620</v>
      </c>
      <c r="N3364">
        <v>-294060624</v>
      </c>
      <c r="O3364">
        <v>-192494270</v>
      </c>
      <c r="P3364">
        <v>228</v>
      </c>
      <c r="Q3364" t="s">
        <v>6772</v>
      </c>
    </row>
    <row r="3365" spans="1:17" x14ac:dyDescent="0.3">
      <c r="A3365" t="s">
        <v>4446</v>
      </c>
      <c r="B3365" t="str">
        <f>"002640"</f>
        <v>002640</v>
      </c>
      <c r="C3365" t="s">
        <v>6773</v>
      </c>
      <c r="D3365" t="s">
        <v>120</v>
      </c>
      <c r="F3365">
        <v>-278103733</v>
      </c>
      <c r="G3365">
        <v>-209196562</v>
      </c>
      <c r="H3365">
        <v>-4576832</v>
      </c>
      <c r="I3365">
        <v>-133920564</v>
      </c>
      <c r="J3365">
        <v>-441930224</v>
      </c>
      <c r="K3365">
        <v>-1140569012</v>
      </c>
      <c r="L3365">
        <v>-39001962</v>
      </c>
      <c r="M3365">
        <v>-20102546</v>
      </c>
      <c r="N3365">
        <v>-79220238</v>
      </c>
      <c r="O3365">
        <v>-229750082</v>
      </c>
      <c r="P3365">
        <v>263</v>
      </c>
      <c r="Q3365" t="s">
        <v>6774</v>
      </c>
    </row>
    <row r="3366" spans="1:17" x14ac:dyDescent="0.3">
      <c r="A3366" t="s">
        <v>4446</v>
      </c>
      <c r="B3366" t="str">
        <f>"002641"</f>
        <v>002641</v>
      </c>
      <c r="C3366" t="s">
        <v>6775</v>
      </c>
      <c r="D3366" t="s">
        <v>350</v>
      </c>
      <c r="F3366">
        <v>-348959170</v>
      </c>
      <c r="G3366">
        <v>563350315</v>
      </c>
      <c r="H3366">
        <v>531636874</v>
      </c>
      <c r="I3366">
        <v>250519815</v>
      </c>
      <c r="J3366">
        <v>19140743</v>
      </c>
      <c r="K3366">
        <v>254451482</v>
      </c>
      <c r="L3366">
        <v>122665360</v>
      </c>
      <c r="M3366">
        <v>-181900981</v>
      </c>
      <c r="N3366">
        <v>-240241203</v>
      </c>
      <c r="O3366">
        <v>-6772280</v>
      </c>
      <c r="P3366">
        <v>360</v>
      </c>
      <c r="Q3366" t="s">
        <v>6776</v>
      </c>
    </row>
    <row r="3367" spans="1:17" x14ac:dyDescent="0.3">
      <c r="A3367" t="s">
        <v>4446</v>
      </c>
      <c r="B3367" t="str">
        <f>"002642"</f>
        <v>002642</v>
      </c>
      <c r="C3367" t="s">
        <v>6777</v>
      </c>
      <c r="D3367" t="s">
        <v>212</v>
      </c>
      <c r="F3367">
        <v>-80698952</v>
      </c>
      <c r="G3367">
        <v>178245812</v>
      </c>
      <c r="H3367">
        <v>-97970432</v>
      </c>
      <c r="I3367">
        <v>-185377901</v>
      </c>
      <c r="J3367">
        <v>21096926</v>
      </c>
      <c r="K3367">
        <v>38347083</v>
      </c>
      <c r="L3367">
        <v>-477158555</v>
      </c>
      <c r="M3367">
        <v>94081481</v>
      </c>
      <c r="N3367">
        <v>14343084</v>
      </c>
      <c r="O3367">
        <v>-132194199</v>
      </c>
      <c r="P3367">
        <v>221</v>
      </c>
      <c r="Q3367" t="s">
        <v>6778</v>
      </c>
    </row>
    <row r="3368" spans="1:17" x14ac:dyDescent="0.3">
      <c r="A3368" t="s">
        <v>4446</v>
      </c>
      <c r="B3368" t="str">
        <f>"002643"</f>
        <v>002643</v>
      </c>
      <c r="C3368" t="s">
        <v>6779</v>
      </c>
      <c r="D3368" t="s">
        <v>150</v>
      </c>
      <c r="F3368">
        <v>314909253</v>
      </c>
      <c r="G3368">
        <v>-99480538</v>
      </c>
      <c r="H3368">
        <v>-95135224</v>
      </c>
      <c r="I3368">
        <v>-115667240</v>
      </c>
      <c r="J3368">
        <v>229298630</v>
      </c>
      <c r="K3368">
        <v>-291121612</v>
      </c>
      <c r="L3368">
        <v>11348108</v>
      </c>
      <c r="M3368">
        <v>-45413288</v>
      </c>
      <c r="N3368">
        <v>7974138</v>
      </c>
      <c r="O3368">
        <v>-177534906</v>
      </c>
      <c r="P3368">
        <v>388</v>
      </c>
      <c r="Q3368" t="s">
        <v>6780</v>
      </c>
    </row>
    <row r="3369" spans="1:17" x14ac:dyDescent="0.3">
      <c r="A3369" t="s">
        <v>4446</v>
      </c>
      <c r="B3369" t="str">
        <f>"002644"</f>
        <v>002644</v>
      </c>
      <c r="C3369" t="s">
        <v>6781</v>
      </c>
      <c r="D3369" t="s">
        <v>113</v>
      </c>
      <c r="F3369">
        <v>20347263</v>
      </c>
      <c r="G3369">
        <v>33446109</v>
      </c>
      <c r="H3369">
        <v>-43413393</v>
      </c>
      <c r="I3369">
        <v>-224277202</v>
      </c>
      <c r="J3369">
        <v>-376347790</v>
      </c>
      <c r="K3369">
        <v>286203419</v>
      </c>
      <c r="L3369">
        <v>16741371</v>
      </c>
      <c r="M3369">
        <v>218199719</v>
      </c>
      <c r="N3369">
        <v>-96188351</v>
      </c>
      <c r="O3369">
        <v>-124786090</v>
      </c>
      <c r="P3369">
        <v>163</v>
      </c>
      <c r="Q3369" t="s">
        <v>6782</v>
      </c>
    </row>
    <row r="3370" spans="1:17" x14ac:dyDescent="0.3">
      <c r="A3370" t="s">
        <v>4446</v>
      </c>
      <c r="B3370" t="str">
        <f>"002645"</f>
        <v>002645</v>
      </c>
      <c r="C3370" t="s">
        <v>6783</v>
      </c>
      <c r="D3370" t="s">
        <v>33</v>
      </c>
      <c r="F3370">
        <v>22936902</v>
      </c>
      <c r="G3370">
        <v>206164067</v>
      </c>
      <c r="H3370">
        <v>-67929376</v>
      </c>
      <c r="I3370">
        <v>-33774252</v>
      </c>
      <c r="J3370">
        <v>144264770</v>
      </c>
      <c r="K3370">
        <v>16966477</v>
      </c>
      <c r="L3370">
        <v>19737319</v>
      </c>
      <c r="M3370">
        <v>-77385435</v>
      </c>
      <c r="N3370">
        <v>37079231</v>
      </c>
      <c r="O3370">
        <v>-42238089</v>
      </c>
      <c r="P3370">
        <v>205</v>
      </c>
      <c r="Q3370" t="s">
        <v>6784</v>
      </c>
    </row>
    <row r="3371" spans="1:17" x14ac:dyDescent="0.3">
      <c r="A3371" t="s">
        <v>4446</v>
      </c>
      <c r="B3371" t="str">
        <f>"002646"</f>
        <v>002646</v>
      </c>
      <c r="C3371" t="s">
        <v>6785</v>
      </c>
      <c r="D3371" t="s">
        <v>123</v>
      </c>
      <c r="F3371">
        <v>-14982759</v>
      </c>
      <c r="G3371">
        <v>-158513144</v>
      </c>
      <c r="H3371">
        <v>-221728104</v>
      </c>
      <c r="I3371">
        <v>26086741</v>
      </c>
      <c r="J3371">
        <v>-161429726</v>
      </c>
      <c r="K3371">
        <v>160958573</v>
      </c>
      <c r="L3371">
        <v>-13228395</v>
      </c>
      <c r="M3371">
        <v>-23487405</v>
      </c>
      <c r="N3371">
        <v>-27427979</v>
      </c>
      <c r="O3371">
        <v>117116158</v>
      </c>
      <c r="P3371">
        <v>254</v>
      </c>
      <c r="Q3371" t="s">
        <v>6786</v>
      </c>
    </row>
    <row r="3372" spans="1:17" x14ac:dyDescent="0.3">
      <c r="A3372" t="s">
        <v>4446</v>
      </c>
      <c r="B3372" t="str">
        <f>"002647"</f>
        <v>002647</v>
      </c>
      <c r="C3372" t="s">
        <v>6787</v>
      </c>
      <c r="D3372" t="s">
        <v>75</v>
      </c>
      <c r="F3372">
        <v>63532347</v>
      </c>
      <c r="G3372">
        <v>-19481547</v>
      </c>
      <c r="H3372">
        <v>-72143848</v>
      </c>
      <c r="I3372">
        <v>232238492</v>
      </c>
      <c r="J3372">
        <v>-207893936</v>
      </c>
      <c r="K3372">
        <v>718159739</v>
      </c>
      <c r="L3372">
        <v>137190647</v>
      </c>
      <c r="M3372">
        <v>-858987179</v>
      </c>
      <c r="N3372">
        <v>266359805</v>
      </c>
      <c r="O3372">
        <v>-684170132</v>
      </c>
      <c r="P3372">
        <v>180</v>
      </c>
      <c r="Q3372" t="s">
        <v>6788</v>
      </c>
    </row>
    <row r="3373" spans="1:17" x14ac:dyDescent="0.3">
      <c r="A3373" t="s">
        <v>4446</v>
      </c>
      <c r="B3373" t="str">
        <f>"002648"</f>
        <v>002648</v>
      </c>
      <c r="C3373" t="s">
        <v>6789</v>
      </c>
      <c r="D3373" t="s">
        <v>133</v>
      </c>
      <c r="F3373">
        <v>-391910140</v>
      </c>
      <c r="G3373">
        <v>-5796801241</v>
      </c>
      <c r="H3373">
        <v>-1194092265</v>
      </c>
      <c r="I3373">
        <v>-415158260</v>
      </c>
      <c r="J3373">
        <v>44189107</v>
      </c>
      <c r="K3373">
        <v>442507107</v>
      </c>
      <c r="L3373">
        <v>1081775833</v>
      </c>
      <c r="M3373">
        <v>-1525434624</v>
      </c>
      <c r="N3373">
        <v>-1653732678</v>
      </c>
      <c r="O3373">
        <v>-121910736</v>
      </c>
      <c r="P3373">
        <v>526</v>
      </c>
      <c r="Q3373" t="s">
        <v>6790</v>
      </c>
    </row>
    <row r="3374" spans="1:17" x14ac:dyDescent="0.3">
      <c r="A3374" t="s">
        <v>4446</v>
      </c>
      <c r="B3374" t="str">
        <f>"002649"</f>
        <v>002649</v>
      </c>
      <c r="C3374" t="s">
        <v>6791</v>
      </c>
      <c r="D3374" t="s">
        <v>212</v>
      </c>
      <c r="F3374">
        <v>349780962</v>
      </c>
      <c r="G3374">
        <v>529336080</v>
      </c>
      <c r="H3374">
        <v>200264457</v>
      </c>
      <c r="I3374">
        <v>103451384</v>
      </c>
      <c r="J3374">
        <v>84057249</v>
      </c>
      <c r="K3374">
        <v>84301838</v>
      </c>
      <c r="L3374">
        <v>130515165</v>
      </c>
      <c r="M3374">
        <v>96522900</v>
      </c>
      <c r="N3374">
        <v>6685390</v>
      </c>
      <c r="O3374">
        <v>23051926</v>
      </c>
      <c r="P3374">
        <v>274</v>
      </c>
      <c r="Q3374" t="s">
        <v>6792</v>
      </c>
    </row>
    <row r="3375" spans="1:17" x14ac:dyDescent="0.3">
      <c r="A3375" t="s">
        <v>4446</v>
      </c>
      <c r="B3375" t="str">
        <f>"002650"</f>
        <v>002650</v>
      </c>
      <c r="C3375" t="s">
        <v>6793</v>
      </c>
      <c r="D3375" t="s">
        <v>123</v>
      </c>
      <c r="F3375">
        <v>143067543</v>
      </c>
      <c r="G3375">
        <v>214432655</v>
      </c>
      <c r="H3375">
        <v>-13060330</v>
      </c>
      <c r="I3375">
        <v>105284741</v>
      </c>
      <c r="J3375">
        <v>-161178503</v>
      </c>
      <c r="K3375">
        <v>-7208354</v>
      </c>
      <c r="L3375">
        <v>-155567397</v>
      </c>
      <c r="M3375">
        <v>71800126</v>
      </c>
      <c r="N3375">
        <v>-441654671</v>
      </c>
      <c r="O3375">
        <v>71056381</v>
      </c>
      <c r="P3375">
        <v>207</v>
      </c>
      <c r="Q3375" t="s">
        <v>6794</v>
      </c>
    </row>
    <row r="3376" spans="1:17" x14ac:dyDescent="0.3">
      <c r="A3376" t="s">
        <v>4446</v>
      </c>
      <c r="B3376" t="str">
        <f>"002651"</f>
        <v>002651</v>
      </c>
      <c r="C3376" t="s">
        <v>6795</v>
      </c>
      <c r="D3376" t="s">
        <v>78</v>
      </c>
      <c r="F3376">
        <v>64109635</v>
      </c>
      <c r="G3376">
        <v>-31129990</v>
      </c>
      <c r="H3376">
        <v>92773495</v>
      </c>
      <c r="I3376">
        <v>90688947</v>
      </c>
      <c r="J3376">
        <v>85632252</v>
      </c>
      <c r="K3376">
        <v>47119076</v>
      </c>
      <c r="L3376">
        <v>75094955</v>
      </c>
      <c r="M3376">
        <v>267669981</v>
      </c>
      <c r="N3376">
        <v>143547927</v>
      </c>
      <c r="O3376">
        <v>176331353</v>
      </c>
      <c r="P3376">
        <v>121</v>
      </c>
      <c r="Q3376" t="s">
        <v>6796</v>
      </c>
    </row>
    <row r="3377" spans="1:17" x14ac:dyDescent="0.3">
      <c r="A3377" t="s">
        <v>4446</v>
      </c>
      <c r="B3377" t="str">
        <f>"002652"</f>
        <v>002652</v>
      </c>
      <c r="C3377" t="s">
        <v>6797</v>
      </c>
      <c r="D3377" t="s">
        <v>350</v>
      </c>
      <c r="F3377">
        <v>-133717338</v>
      </c>
      <c r="G3377">
        <v>54614054</v>
      </c>
      <c r="H3377">
        <v>-262319362</v>
      </c>
      <c r="I3377">
        <v>182033271</v>
      </c>
      <c r="J3377">
        <v>-41869800</v>
      </c>
      <c r="K3377">
        <v>-163228350</v>
      </c>
      <c r="L3377">
        <v>-162205205</v>
      </c>
      <c r="M3377">
        <v>70449306</v>
      </c>
      <c r="N3377">
        <v>-107502029</v>
      </c>
      <c r="O3377">
        <v>-224820619</v>
      </c>
      <c r="P3377">
        <v>58</v>
      </c>
      <c r="Q3377" t="s">
        <v>6798</v>
      </c>
    </row>
    <row r="3378" spans="1:17" x14ac:dyDescent="0.3">
      <c r="A3378" t="s">
        <v>4446</v>
      </c>
      <c r="B3378" t="str">
        <f>"002653"</f>
        <v>002653</v>
      </c>
      <c r="C3378" t="s">
        <v>6799</v>
      </c>
      <c r="D3378" t="s">
        <v>113</v>
      </c>
      <c r="F3378">
        <v>-666809078</v>
      </c>
      <c r="G3378">
        <v>-393726963</v>
      </c>
      <c r="H3378">
        <v>182153391</v>
      </c>
      <c r="I3378">
        <v>124172668</v>
      </c>
      <c r="J3378">
        <v>-1193793</v>
      </c>
      <c r="K3378">
        <v>219731992</v>
      </c>
      <c r="L3378">
        <v>160486106</v>
      </c>
      <c r="M3378">
        <v>267750003</v>
      </c>
      <c r="N3378">
        <v>404883115</v>
      </c>
      <c r="O3378">
        <v>350728778</v>
      </c>
      <c r="P3378">
        <v>549</v>
      </c>
      <c r="Q3378" t="s">
        <v>6800</v>
      </c>
    </row>
    <row r="3379" spans="1:17" x14ac:dyDescent="0.3">
      <c r="A3379" t="s">
        <v>4446</v>
      </c>
      <c r="B3379" t="str">
        <f>"002654"</f>
        <v>002654</v>
      </c>
      <c r="C3379" t="s">
        <v>6801</v>
      </c>
      <c r="D3379" t="s">
        <v>150</v>
      </c>
      <c r="F3379">
        <v>-203026116</v>
      </c>
      <c r="G3379">
        <v>144353953</v>
      </c>
      <c r="H3379">
        <v>6165857</v>
      </c>
      <c r="I3379">
        <v>-14728532</v>
      </c>
      <c r="J3379">
        <v>-138492628</v>
      </c>
      <c r="K3379">
        <v>67231362</v>
      </c>
      <c r="L3379">
        <v>-171000820</v>
      </c>
      <c r="M3379">
        <v>-65163267</v>
      </c>
      <c r="N3379">
        <v>-42556780</v>
      </c>
      <c r="O3379">
        <v>-57426129</v>
      </c>
      <c r="P3379">
        <v>124</v>
      </c>
      <c r="Q3379" t="s">
        <v>6802</v>
      </c>
    </row>
    <row r="3380" spans="1:17" x14ac:dyDescent="0.3">
      <c r="A3380" t="s">
        <v>4446</v>
      </c>
      <c r="B3380" t="str">
        <f>"002655"</f>
        <v>002655</v>
      </c>
      <c r="C3380" t="s">
        <v>6803</v>
      </c>
      <c r="D3380" t="s">
        <v>150</v>
      </c>
      <c r="F3380">
        <v>-17688140</v>
      </c>
      <c r="G3380">
        <v>121916852</v>
      </c>
      <c r="H3380">
        <v>29364034</v>
      </c>
      <c r="I3380">
        <v>22268420</v>
      </c>
      <c r="J3380">
        <v>36801867</v>
      </c>
      <c r="K3380">
        <v>-56743527</v>
      </c>
      <c r="L3380">
        <v>454344</v>
      </c>
      <c r="M3380">
        <v>23988249</v>
      </c>
      <c r="N3380">
        <v>-104253918</v>
      </c>
      <c r="O3380">
        <v>-153692459</v>
      </c>
      <c r="P3380">
        <v>231</v>
      </c>
      <c r="Q3380" t="s">
        <v>6804</v>
      </c>
    </row>
    <row r="3381" spans="1:17" x14ac:dyDescent="0.3">
      <c r="A3381" t="s">
        <v>4446</v>
      </c>
      <c r="B3381" t="str">
        <f>"002656"</f>
        <v>002656</v>
      </c>
      <c r="C3381" t="s">
        <v>6805</v>
      </c>
      <c r="D3381" t="s">
        <v>227</v>
      </c>
      <c r="F3381">
        <v>156429085</v>
      </c>
      <c r="G3381">
        <v>509221349</v>
      </c>
      <c r="H3381">
        <v>103778717</v>
      </c>
      <c r="I3381">
        <v>-264234881</v>
      </c>
      <c r="J3381">
        <v>161978847</v>
      </c>
      <c r="K3381">
        <v>-355706333</v>
      </c>
      <c r="L3381">
        <v>-295097644</v>
      </c>
      <c r="M3381">
        <v>-208112125</v>
      </c>
      <c r="N3381">
        <v>-452295496</v>
      </c>
      <c r="O3381">
        <v>-137607675</v>
      </c>
      <c r="P3381">
        <v>62</v>
      </c>
      <c r="Q3381" t="s">
        <v>6806</v>
      </c>
    </row>
    <row r="3382" spans="1:17" x14ac:dyDescent="0.3">
      <c r="A3382" t="s">
        <v>4446</v>
      </c>
      <c r="B3382" t="str">
        <f>"002657"</f>
        <v>002657</v>
      </c>
      <c r="C3382" t="s">
        <v>6807</v>
      </c>
      <c r="D3382" t="s">
        <v>212</v>
      </c>
      <c r="F3382">
        <v>-209572310</v>
      </c>
      <c r="G3382">
        <v>-23003644</v>
      </c>
      <c r="H3382">
        <v>-145577963</v>
      </c>
      <c r="I3382">
        <v>-60307255</v>
      </c>
      <c r="J3382">
        <v>64250586</v>
      </c>
      <c r="K3382">
        <v>243078703</v>
      </c>
      <c r="L3382">
        <v>336035708</v>
      </c>
      <c r="M3382">
        <v>190610926</v>
      </c>
      <c r="N3382">
        <v>74999461</v>
      </c>
      <c r="O3382">
        <v>-142570519</v>
      </c>
      <c r="P3382">
        <v>154</v>
      </c>
      <c r="Q3382" t="s">
        <v>6808</v>
      </c>
    </row>
    <row r="3383" spans="1:17" x14ac:dyDescent="0.3">
      <c r="A3383" t="s">
        <v>4446</v>
      </c>
      <c r="B3383" t="str">
        <f>"002658"</f>
        <v>002658</v>
      </c>
      <c r="C3383" t="s">
        <v>6809</v>
      </c>
      <c r="D3383" t="s">
        <v>33</v>
      </c>
      <c r="F3383">
        <v>162421435</v>
      </c>
      <c r="G3383">
        <v>206291165</v>
      </c>
      <c r="H3383">
        <v>225487780</v>
      </c>
      <c r="I3383">
        <v>110581102</v>
      </c>
      <c r="J3383">
        <v>232142067</v>
      </c>
      <c r="K3383">
        <v>114081178</v>
      </c>
      <c r="L3383">
        <v>55093233</v>
      </c>
      <c r="M3383">
        <v>-904667</v>
      </c>
      <c r="N3383">
        <v>-35920517</v>
      </c>
      <c r="O3383">
        <v>-38184526</v>
      </c>
      <c r="P3383">
        <v>231</v>
      </c>
      <c r="Q3383" t="s">
        <v>6810</v>
      </c>
    </row>
    <row r="3384" spans="1:17" x14ac:dyDescent="0.3">
      <c r="A3384" t="s">
        <v>4446</v>
      </c>
      <c r="B3384" t="str">
        <f>"002659"</f>
        <v>002659</v>
      </c>
      <c r="C3384" t="s">
        <v>6811</v>
      </c>
      <c r="D3384" t="s">
        <v>110</v>
      </c>
      <c r="F3384">
        <v>61458191</v>
      </c>
      <c r="G3384">
        <v>-23245294</v>
      </c>
      <c r="H3384">
        <v>281857838</v>
      </c>
      <c r="I3384">
        <v>-564940178</v>
      </c>
      <c r="J3384">
        <v>-1050987902</v>
      </c>
      <c r="K3384">
        <v>-1141719779</v>
      </c>
      <c r="L3384">
        <v>178259642</v>
      </c>
      <c r="M3384">
        <v>43619435</v>
      </c>
      <c r="N3384">
        <v>-210002871</v>
      </c>
      <c r="O3384">
        <v>-506858787</v>
      </c>
      <c r="P3384">
        <v>96</v>
      </c>
      <c r="Q3384" t="s">
        <v>6812</v>
      </c>
    </row>
    <row r="3385" spans="1:17" x14ac:dyDescent="0.3">
      <c r="A3385" t="s">
        <v>4446</v>
      </c>
      <c r="B3385" t="str">
        <f>"002660"</f>
        <v>002660</v>
      </c>
      <c r="C3385" t="s">
        <v>6813</v>
      </c>
      <c r="D3385" t="s">
        <v>150</v>
      </c>
      <c r="F3385">
        <v>-10013468</v>
      </c>
      <c r="G3385">
        <v>36728111</v>
      </c>
      <c r="H3385">
        <v>6525572</v>
      </c>
      <c r="I3385">
        <v>57890516</v>
      </c>
      <c r="J3385">
        <v>140399405</v>
      </c>
      <c r="K3385">
        <v>-142905334</v>
      </c>
      <c r="L3385">
        <v>-95898339</v>
      </c>
      <c r="M3385">
        <v>-255982429</v>
      </c>
      <c r="N3385">
        <v>-55657144</v>
      </c>
      <c r="O3385">
        <v>-77765336</v>
      </c>
      <c r="P3385">
        <v>122</v>
      </c>
      <c r="Q3385" t="s">
        <v>6814</v>
      </c>
    </row>
    <row r="3386" spans="1:17" x14ac:dyDescent="0.3">
      <c r="A3386" t="s">
        <v>4446</v>
      </c>
      <c r="B3386" t="str">
        <f>"002661"</f>
        <v>002661</v>
      </c>
      <c r="C3386" t="s">
        <v>6815</v>
      </c>
      <c r="D3386" t="s">
        <v>205</v>
      </c>
      <c r="F3386">
        <v>-31786269</v>
      </c>
      <c r="G3386">
        <v>9615572</v>
      </c>
      <c r="H3386">
        <v>-16588888</v>
      </c>
      <c r="I3386">
        <v>-304913367</v>
      </c>
      <c r="J3386">
        <v>-298674896</v>
      </c>
      <c r="K3386">
        <v>-213679253</v>
      </c>
      <c r="L3386">
        <v>-168028149</v>
      </c>
      <c r="M3386">
        <v>-52443529</v>
      </c>
      <c r="N3386">
        <v>-57869685</v>
      </c>
      <c r="O3386">
        <v>5625622</v>
      </c>
      <c r="P3386">
        <v>511</v>
      </c>
      <c r="Q3386" t="s">
        <v>6816</v>
      </c>
    </row>
    <row r="3387" spans="1:17" x14ac:dyDescent="0.3">
      <c r="A3387" t="s">
        <v>4446</v>
      </c>
      <c r="B3387" t="str">
        <f>"002662"</f>
        <v>002662</v>
      </c>
      <c r="C3387" t="s">
        <v>6817</v>
      </c>
      <c r="D3387" t="s">
        <v>27</v>
      </c>
      <c r="F3387">
        <v>282144669</v>
      </c>
      <c r="G3387">
        <v>708104887</v>
      </c>
      <c r="H3387">
        <v>623252094</v>
      </c>
      <c r="I3387">
        <v>-93049053</v>
      </c>
      <c r="J3387">
        <v>-363323713</v>
      </c>
      <c r="K3387">
        <v>266801933</v>
      </c>
      <c r="L3387">
        <v>140053259</v>
      </c>
      <c r="M3387">
        <v>-123871961</v>
      </c>
      <c r="N3387">
        <v>-63682981</v>
      </c>
      <c r="O3387">
        <v>230820316</v>
      </c>
      <c r="P3387">
        <v>140</v>
      </c>
      <c r="Q3387" t="s">
        <v>6818</v>
      </c>
    </row>
    <row r="3388" spans="1:17" x14ac:dyDescent="0.3">
      <c r="A3388" t="s">
        <v>4446</v>
      </c>
      <c r="B3388" t="str">
        <f>"002663"</f>
        <v>002663</v>
      </c>
      <c r="C3388" t="s">
        <v>6819</v>
      </c>
      <c r="D3388" t="s">
        <v>95</v>
      </c>
      <c r="F3388">
        <v>165844276</v>
      </c>
      <c r="G3388">
        <v>-45169827</v>
      </c>
      <c r="H3388">
        <v>459412514</v>
      </c>
      <c r="I3388">
        <v>169796895</v>
      </c>
      <c r="J3388">
        <v>261187960</v>
      </c>
      <c r="K3388">
        <v>-91712089</v>
      </c>
      <c r="L3388">
        <v>-428274675</v>
      </c>
      <c r="M3388">
        <v>-345528240</v>
      </c>
      <c r="N3388">
        <v>-380007501</v>
      </c>
      <c r="O3388">
        <v>-404430899</v>
      </c>
      <c r="P3388">
        <v>95</v>
      </c>
      <c r="Q3388" t="s">
        <v>6820</v>
      </c>
    </row>
    <row r="3389" spans="1:17" x14ac:dyDescent="0.3">
      <c r="A3389" t="s">
        <v>4446</v>
      </c>
      <c r="B3389" t="str">
        <f>"002664"</f>
        <v>002664</v>
      </c>
      <c r="C3389" t="s">
        <v>6821</v>
      </c>
      <c r="D3389" t="s">
        <v>27</v>
      </c>
      <c r="F3389">
        <v>-389955356</v>
      </c>
      <c r="G3389">
        <v>-109137981</v>
      </c>
      <c r="H3389">
        <v>741792754</v>
      </c>
      <c r="I3389">
        <v>297439837</v>
      </c>
      <c r="J3389">
        <v>128366254</v>
      </c>
      <c r="K3389">
        <v>189350279</v>
      </c>
      <c r="L3389">
        <v>160931048</v>
      </c>
      <c r="M3389">
        <v>95406297</v>
      </c>
      <c r="N3389">
        <v>-37193253</v>
      </c>
      <c r="O3389">
        <v>-54438727</v>
      </c>
      <c r="P3389">
        <v>232</v>
      </c>
      <c r="Q3389" t="s">
        <v>6822</v>
      </c>
    </row>
    <row r="3390" spans="1:17" x14ac:dyDescent="0.3">
      <c r="A3390" t="s">
        <v>4446</v>
      </c>
      <c r="B3390" t="str">
        <f>"002665"</f>
        <v>002665</v>
      </c>
      <c r="C3390" t="s">
        <v>6823</v>
      </c>
      <c r="D3390" t="s">
        <v>188</v>
      </c>
      <c r="F3390">
        <v>-681357342</v>
      </c>
      <c r="G3390">
        <v>-1407062356</v>
      </c>
      <c r="H3390">
        <v>-775997664</v>
      </c>
      <c r="I3390">
        <v>-1622630137</v>
      </c>
      <c r="J3390">
        <v>-624951655</v>
      </c>
      <c r="K3390">
        <v>-104434053</v>
      </c>
      <c r="L3390">
        <v>-279782120</v>
      </c>
      <c r="M3390">
        <v>-211001284</v>
      </c>
      <c r="N3390">
        <v>-218579548</v>
      </c>
      <c r="O3390">
        <v>-319288993</v>
      </c>
      <c r="P3390">
        <v>208</v>
      </c>
      <c r="Q3390" t="s">
        <v>6824</v>
      </c>
    </row>
    <row r="3391" spans="1:17" x14ac:dyDescent="0.3">
      <c r="A3391" t="s">
        <v>4446</v>
      </c>
      <c r="B3391" t="str">
        <f>"002666"</f>
        <v>002666</v>
      </c>
      <c r="C3391" t="s">
        <v>6825</v>
      </c>
      <c r="D3391" t="s">
        <v>133</v>
      </c>
      <c r="F3391">
        <v>-221430804</v>
      </c>
      <c r="G3391">
        <v>142508534</v>
      </c>
      <c r="H3391">
        <v>-180804</v>
      </c>
      <c r="I3391">
        <v>-175513462</v>
      </c>
      <c r="J3391">
        <v>-237986795</v>
      </c>
      <c r="K3391">
        <v>-14168084</v>
      </c>
      <c r="L3391">
        <v>31552825</v>
      </c>
      <c r="M3391">
        <v>-257456649</v>
      </c>
      <c r="N3391">
        <v>-171497628</v>
      </c>
      <c r="O3391">
        <v>65002179</v>
      </c>
      <c r="P3391">
        <v>110</v>
      </c>
      <c r="Q3391" t="s">
        <v>6826</v>
      </c>
    </row>
    <row r="3392" spans="1:17" x14ac:dyDescent="0.3">
      <c r="A3392" t="s">
        <v>4446</v>
      </c>
      <c r="B3392" t="str">
        <f>"002667"</f>
        <v>002667</v>
      </c>
      <c r="C3392" t="s">
        <v>6827</v>
      </c>
      <c r="D3392" t="s">
        <v>78</v>
      </c>
      <c r="F3392">
        <v>-148603133</v>
      </c>
      <c r="G3392">
        <v>19240314</v>
      </c>
      <c r="H3392">
        <v>667168</v>
      </c>
      <c r="I3392">
        <v>-359970</v>
      </c>
      <c r="J3392">
        <v>12694473</v>
      </c>
      <c r="K3392">
        <v>32504215</v>
      </c>
      <c r="L3392">
        <v>14703682</v>
      </c>
      <c r="M3392">
        <v>-14404383</v>
      </c>
      <c r="N3392">
        <v>-13029442</v>
      </c>
      <c r="O3392">
        <v>-17420861</v>
      </c>
      <c r="P3392">
        <v>73</v>
      </c>
      <c r="Q3392" t="s">
        <v>6828</v>
      </c>
    </row>
    <row r="3393" spans="1:17" x14ac:dyDescent="0.3">
      <c r="A3393" t="s">
        <v>4446</v>
      </c>
      <c r="B3393" t="str">
        <f>"002668"</f>
        <v>002668</v>
      </c>
      <c r="C3393" t="s">
        <v>6829</v>
      </c>
      <c r="D3393" t="s">
        <v>126</v>
      </c>
      <c r="F3393">
        <v>719101076</v>
      </c>
      <c r="G3393">
        <v>2297471010</v>
      </c>
      <c r="H3393">
        <v>1051530659</v>
      </c>
      <c r="I3393">
        <v>-296921755</v>
      </c>
      <c r="J3393">
        <v>-1258601602</v>
      </c>
      <c r="K3393">
        <v>537077378</v>
      </c>
      <c r="L3393">
        <v>494180605</v>
      </c>
      <c r="M3393">
        <v>110335852</v>
      </c>
      <c r="N3393">
        <v>101801736</v>
      </c>
      <c r="O3393">
        <v>-317442457</v>
      </c>
      <c r="P3393">
        <v>204</v>
      </c>
      <c r="Q3393" t="s">
        <v>6830</v>
      </c>
    </row>
    <row r="3394" spans="1:17" x14ac:dyDescent="0.3">
      <c r="A3394" t="s">
        <v>4446</v>
      </c>
      <c r="B3394" t="str">
        <f>"002669"</f>
        <v>002669</v>
      </c>
      <c r="C3394" t="s">
        <v>6831</v>
      </c>
      <c r="D3394" t="s">
        <v>133</v>
      </c>
      <c r="F3394">
        <v>66281969</v>
      </c>
      <c r="G3394">
        <v>-330247439</v>
      </c>
      <c r="H3394">
        <v>103947666</v>
      </c>
      <c r="I3394">
        <v>-213749170</v>
      </c>
      <c r="J3394">
        <v>-31746998</v>
      </c>
      <c r="K3394">
        <v>-41696424</v>
      </c>
      <c r="L3394">
        <v>-67454561</v>
      </c>
      <c r="M3394">
        <v>-11882156</v>
      </c>
      <c r="N3394">
        <v>-51509799</v>
      </c>
      <c r="O3394">
        <v>-26345248</v>
      </c>
      <c r="P3394">
        <v>138</v>
      </c>
      <c r="Q3394" t="s">
        <v>6832</v>
      </c>
    </row>
    <row r="3395" spans="1:17" x14ac:dyDescent="0.3">
      <c r="A3395" t="s">
        <v>4446</v>
      </c>
      <c r="B3395" t="str">
        <f>"002670"</f>
        <v>002670</v>
      </c>
      <c r="C3395" t="s">
        <v>6833</v>
      </c>
      <c r="D3395" t="s">
        <v>75</v>
      </c>
      <c r="F3395">
        <v>2835794315</v>
      </c>
      <c r="G3395">
        <v>4197494681</v>
      </c>
      <c r="H3395">
        <v>2197749214</v>
      </c>
      <c r="I3395">
        <v>1470168222</v>
      </c>
      <c r="J3395">
        <v>-3918156455</v>
      </c>
      <c r="K3395">
        <v>-6260254956</v>
      </c>
      <c r="L3395">
        <v>240955223</v>
      </c>
      <c r="M3395">
        <v>79662339</v>
      </c>
      <c r="N3395">
        <v>-136956693</v>
      </c>
      <c r="O3395">
        <v>40381367</v>
      </c>
      <c r="P3395">
        <v>580</v>
      </c>
      <c r="Q3395" t="s">
        <v>6834</v>
      </c>
    </row>
    <row r="3396" spans="1:17" x14ac:dyDescent="0.3">
      <c r="A3396" t="s">
        <v>4446</v>
      </c>
      <c r="B3396" t="str">
        <f>"002671"</f>
        <v>002671</v>
      </c>
      <c r="C3396" t="s">
        <v>6835</v>
      </c>
      <c r="D3396" t="s">
        <v>350</v>
      </c>
      <c r="F3396">
        <v>-130995019</v>
      </c>
      <c r="G3396">
        <v>-337527139</v>
      </c>
      <c r="H3396">
        <v>246747584</v>
      </c>
      <c r="I3396">
        <v>91147466</v>
      </c>
      <c r="J3396">
        <v>-110890549</v>
      </c>
      <c r="K3396">
        <v>-23861652</v>
      </c>
      <c r="L3396">
        <v>-263444988</v>
      </c>
      <c r="M3396">
        <v>-297759331</v>
      </c>
      <c r="N3396">
        <v>-43504331</v>
      </c>
      <c r="O3396">
        <v>-293113966</v>
      </c>
      <c r="P3396">
        <v>68</v>
      </c>
      <c r="Q3396" t="s">
        <v>6836</v>
      </c>
    </row>
    <row r="3397" spans="1:17" x14ac:dyDescent="0.3">
      <c r="A3397" t="s">
        <v>4446</v>
      </c>
      <c r="B3397" t="str">
        <f>"002672"</f>
        <v>002672</v>
      </c>
      <c r="C3397" t="s">
        <v>6837</v>
      </c>
      <c r="D3397" t="s">
        <v>33</v>
      </c>
      <c r="F3397">
        <v>-470291029</v>
      </c>
      <c r="G3397">
        <v>76318139</v>
      </c>
      <c r="H3397">
        <v>336555992</v>
      </c>
      <c r="I3397">
        <v>52526963</v>
      </c>
      <c r="J3397">
        <v>-70968577</v>
      </c>
      <c r="K3397">
        <v>-148991963</v>
      </c>
      <c r="L3397">
        <v>-247832504</v>
      </c>
      <c r="M3397">
        <v>-334870847</v>
      </c>
      <c r="N3397">
        <v>26478536</v>
      </c>
      <c r="O3397">
        <v>121726040</v>
      </c>
      <c r="P3397">
        <v>317</v>
      </c>
      <c r="Q3397" t="s">
        <v>6838</v>
      </c>
    </row>
    <row r="3398" spans="1:17" x14ac:dyDescent="0.3">
      <c r="A3398" t="s">
        <v>4446</v>
      </c>
      <c r="B3398" t="str">
        <f>"002673"</f>
        <v>002673</v>
      </c>
      <c r="C3398" t="s">
        <v>6839</v>
      </c>
      <c r="D3398" t="s">
        <v>75</v>
      </c>
      <c r="F3398">
        <v>-13915554044</v>
      </c>
      <c r="G3398">
        <v>-1246268805</v>
      </c>
      <c r="H3398">
        <v>2908985984</v>
      </c>
      <c r="I3398">
        <v>3112655941</v>
      </c>
      <c r="J3398">
        <v>-4666630366</v>
      </c>
      <c r="K3398">
        <v>-5308899972</v>
      </c>
      <c r="L3398">
        <v>-217354559</v>
      </c>
      <c r="M3398">
        <v>3770341247</v>
      </c>
      <c r="N3398">
        <v>-1544876655</v>
      </c>
      <c r="O3398">
        <v>-852314595</v>
      </c>
      <c r="P3398">
        <v>1135</v>
      </c>
      <c r="Q3398" t="s">
        <v>6840</v>
      </c>
    </row>
    <row r="3399" spans="1:17" x14ac:dyDescent="0.3">
      <c r="A3399" t="s">
        <v>4446</v>
      </c>
      <c r="B3399" t="str">
        <f>"002674"</f>
        <v>002674</v>
      </c>
      <c r="C3399" t="s">
        <v>6841</v>
      </c>
      <c r="D3399" t="s">
        <v>227</v>
      </c>
      <c r="F3399">
        <v>60091070</v>
      </c>
      <c r="G3399">
        <v>140367075</v>
      </c>
      <c r="H3399">
        <v>-3700712</v>
      </c>
      <c r="I3399">
        <v>363348955</v>
      </c>
      <c r="J3399">
        <v>8447975</v>
      </c>
      <c r="K3399">
        <v>394648726</v>
      </c>
      <c r="L3399">
        <v>-130745188</v>
      </c>
      <c r="M3399">
        <v>96358600</v>
      </c>
      <c r="N3399">
        <v>-221166527</v>
      </c>
      <c r="O3399">
        <v>-86546402</v>
      </c>
      <c r="P3399">
        <v>102</v>
      </c>
      <c r="Q3399" t="s">
        <v>6842</v>
      </c>
    </row>
    <row r="3400" spans="1:17" x14ac:dyDescent="0.3">
      <c r="A3400" t="s">
        <v>4446</v>
      </c>
      <c r="B3400" t="str">
        <f>"002675"</f>
        <v>002675</v>
      </c>
      <c r="C3400" t="s">
        <v>6843</v>
      </c>
      <c r="D3400" t="s">
        <v>113</v>
      </c>
      <c r="F3400">
        <v>413710350</v>
      </c>
      <c r="G3400">
        <v>324000912</v>
      </c>
      <c r="H3400">
        <v>562778967</v>
      </c>
      <c r="I3400">
        <v>372150771</v>
      </c>
      <c r="J3400">
        <v>66789514</v>
      </c>
      <c r="K3400">
        <v>83129934</v>
      </c>
      <c r="L3400">
        <v>-15271596</v>
      </c>
      <c r="M3400">
        <v>-14327952</v>
      </c>
      <c r="N3400">
        <v>-193492385</v>
      </c>
      <c r="O3400">
        <v>-27428324</v>
      </c>
      <c r="P3400">
        <v>365</v>
      </c>
      <c r="Q3400" t="s">
        <v>6844</v>
      </c>
    </row>
    <row r="3401" spans="1:17" x14ac:dyDescent="0.3">
      <c r="A3401" t="s">
        <v>4446</v>
      </c>
      <c r="B3401" t="str">
        <f>"002676"</f>
        <v>002676</v>
      </c>
      <c r="C3401" t="s">
        <v>6845</v>
      </c>
      <c r="D3401" t="s">
        <v>126</v>
      </c>
      <c r="F3401">
        <v>5770172</v>
      </c>
      <c r="G3401">
        <v>18628824</v>
      </c>
      <c r="H3401">
        <v>-6615023</v>
      </c>
      <c r="I3401">
        <v>-124109715</v>
      </c>
      <c r="J3401">
        <v>-109887218</v>
      </c>
      <c r="K3401">
        <v>27566272</v>
      </c>
      <c r="L3401">
        <v>-64842929</v>
      </c>
      <c r="M3401">
        <v>-79075913</v>
      </c>
      <c r="N3401">
        <v>-68270875</v>
      </c>
      <c r="O3401">
        <v>-66045907</v>
      </c>
      <c r="P3401">
        <v>87</v>
      </c>
      <c r="Q3401" t="s">
        <v>6846</v>
      </c>
    </row>
    <row r="3402" spans="1:17" x14ac:dyDescent="0.3">
      <c r="A3402" t="s">
        <v>4446</v>
      </c>
      <c r="B3402" t="str">
        <f>"002677"</f>
        <v>002677</v>
      </c>
      <c r="C3402" t="s">
        <v>6847</v>
      </c>
      <c r="D3402" t="s">
        <v>126</v>
      </c>
      <c r="F3402">
        <v>555578040</v>
      </c>
      <c r="G3402">
        <v>563797693</v>
      </c>
      <c r="H3402">
        <v>265780251</v>
      </c>
      <c r="I3402">
        <v>150871290</v>
      </c>
      <c r="J3402">
        <v>346297243</v>
      </c>
      <c r="K3402">
        <v>221878234</v>
      </c>
      <c r="L3402">
        <v>117733279</v>
      </c>
      <c r="M3402">
        <v>45452005</v>
      </c>
      <c r="N3402">
        <v>36637731</v>
      </c>
      <c r="O3402">
        <v>17060057</v>
      </c>
      <c r="P3402">
        <v>4544</v>
      </c>
      <c r="Q3402" t="s">
        <v>6848</v>
      </c>
    </row>
    <row r="3403" spans="1:17" x14ac:dyDescent="0.3">
      <c r="A3403" t="s">
        <v>4446</v>
      </c>
      <c r="B3403" t="str">
        <f>"002678"</f>
        <v>002678</v>
      </c>
      <c r="C3403" t="s">
        <v>6849</v>
      </c>
      <c r="D3403" t="s">
        <v>161</v>
      </c>
      <c r="F3403">
        <v>235539494</v>
      </c>
      <c r="G3403">
        <v>433631452</v>
      </c>
      <c r="H3403">
        <v>92975249</v>
      </c>
      <c r="I3403">
        <v>-203628977</v>
      </c>
      <c r="J3403">
        <v>109780843</v>
      </c>
      <c r="K3403">
        <v>99363282</v>
      </c>
      <c r="L3403">
        <v>153507451</v>
      </c>
      <c r="M3403">
        <v>56982537</v>
      </c>
      <c r="N3403">
        <v>-90682424</v>
      </c>
      <c r="O3403">
        <v>44501335</v>
      </c>
      <c r="P3403">
        <v>113</v>
      </c>
      <c r="Q3403" t="s">
        <v>6850</v>
      </c>
    </row>
    <row r="3404" spans="1:17" x14ac:dyDescent="0.3">
      <c r="A3404" t="s">
        <v>4446</v>
      </c>
      <c r="B3404" t="str">
        <f>"002679"</f>
        <v>002679</v>
      </c>
      <c r="C3404" t="s">
        <v>6851</v>
      </c>
      <c r="D3404" t="s">
        <v>205</v>
      </c>
      <c r="F3404">
        <v>76186004</v>
      </c>
      <c r="G3404">
        <v>1766105</v>
      </c>
      <c r="H3404">
        <v>-11786816</v>
      </c>
      <c r="I3404">
        <v>88924740</v>
      </c>
      <c r="J3404">
        <v>65138633</v>
      </c>
      <c r="K3404">
        <v>33391079</v>
      </c>
      <c r="L3404">
        <v>-53367576</v>
      </c>
      <c r="M3404">
        <v>-36826058</v>
      </c>
      <c r="N3404">
        <v>-544909386</v>
      </c>
      <c r="O3404">
        <v>-164718180</v>
      </c>
      <c r="P3404">
        <v>95</v>
      </c>
      <c r="Q3404" t="s">
        <v>6852</v>
      </c>
    </row>
    <row r="3405" spans="1:17" x14ac:dyDescent="0.3">
      <c r="A3405" t="s">
        <v>4446</v>
      </c>
      <c r="B3405" t="str">
        <f>"002680"</f>
        <v>002680</v>
      </c>
      <c r="C3405" t="s">
        <v>6853</v>
      </c>
      <c r="J3405">
        <v>167472853</v>
      </c>
      <c r="K3405">
        <v>240453933</v>
      </c>
      <c r="L3405">
        <v>119246488</v>
      </c>
      <c r="M3405">
        <v>14413206</v>
      </c>
      <c r="N3405">
        <v>-17507265</v>
      </c>
      <c r="O3405">
        <v>55043819</v>
      </c>
      <c r="P3405">
        <v>221</v>
      </c>
      <c r="Q3405" t="s">
        <v>6854</v>
      </c>
    </row>
    <row r="3406" spans="1:17" x14ac:dyDescent="0.3">
      <c r="A3406" t="s">
        <v>4446</v>
      </c>
      <c r="B3406" t="str">
        <f>"002681"</f>
        <v>002681</v>
      </c>
      <c r="C3406" t="s">
        <v>6855</v>
      </c>
      <c r="D3406" t="s">
        <v>150</v>
      </c>
      <c r="F3406">
        <v>-235932715</v>
      </c>
      <c r="G3406">
        <v>172567241</v>
      </c>
      <c r="H3406">
        <v>290428147</v>
      </c>
      <c r="I3406">
        <v>30836555</v>
      </c>
      <c r="J3406">
        <v>-350263879</v>
      </c>
      <c r="K3406">
        <v>-330722630</v>
      </c>
      <c r="L3406">
        <v>-141977138</v>
      </c>
      <c r="M3406">
        <v>111295120</v>
      </c>
      <c r="N3406">
        <v>142349603</v>
      </c>
      <c r="O3406">
        <v>50038763</v>
      </c>
      <c r="P3406">
        <v>216</v>
      </c>
      <c r="Q3406" t="s">
        <v>6856</v>
      </c>
    </row>
    <row r="3407" spans="1:17" x14ac:dyDescent="0.3">
      <c r="A3407" t="s">
        <v>4446</v>
      </c>
      <c r="B3407" t="str">
        <f>"002682"</f>
        <v>002682</v>
      </c>
      <c r="C3407" t="s">
        <v>6857</v>
      </c>
      <c r="D3407" t="s">
        <v>22</v>
      </c>
      <c r="F3407">
        <v>591524991</v>
      </c>
      <c r="G3407">
        <v>-252240916</v>
      </c>
      <c r="H3407">
        <v>369977147</v>
      </c>
      <c r="I3407">
        <v>-1034266174</v>
      </c>
      <c r="J3407">
        <v>-303811716</v>
      </c>
      <c r="K3407">
        <v>-344123003</v>
      </c>
      <c r="L3407">
        <v>-103829676</v>
      </c>
      <c r="M3407">
        <v>122641664</v>
      </c>
      <c r="N3407">
        <v>-214439494</v>
      </c>
      <c r="O3407">
        <v>-196515591</v>
      </c>
      <c r="P3407">
        <v>80</v>
      </c>
      <c r="Q3407" t="s">
        <v>6858</v>
      </c>
    </row>
    <row r="3408" spans="1:17" x14ac:dyDescent="0.3">
      <c r="A3408" t="s">
        <v>4446</v>
      </c>
      <c r="B3408" t="str">
        <f>"002683"</f>
        <v>002683</v>
      </c>
      <c r="C3408" t="s">
        <v>6859</v>
      </c>
      <c r="D3408" t="s">
        <v>133</v>
      </c>
      <c r="F3408">
        <v>643979628</v>
      </c>
      <c r="G3408">
        <v>665099419</v>
      </c>
      <c r="H3408">
        <v>470282840</v>
      </c>
      <c r="I3408">
        <v>312012370</v>
      </c>
      <c r="J3408">
        <v>177297895</v>
      </c>
      <c r="K3408">
        <v>-168790419</v>
      </c>
      <c r="L3408">
        <v>-258684555</v>
      </c>
      <c r="M3408">
        <v>-182955784</v>
      </c>
      <c r="N3408">
        <v>-197965950</v>
      </c>
      <c r="O3408">
        <v>-72193662</v>
      </c>
      <c r="P3408">
        <v>270</v>
      </c>
      <c r="Q3408" t="s">
        <v>6860</v>
      </c>
    </row>
    <row r="3409" spans="1:17" x14ac:dyDescent="0.3">
      <c r="A3409" t="s">
        <v>4446</v>
      </c>
      <c r="B3409" t="str">
        <f>"002684"</f>
        <v>002684</v>
      </c>
      <c r="C3409" t="s">
        <v>6861</v>
      </c>
      <c r="D3409" t="s">
        <v>27</v>
      </c>
      <c r="F3409">
        <v>113964004</v>
      </c>
      <c r="G3409">
        <v>261543170</v>
      </c>
      <c r="H3409">
        <v>204642865</v>
      </c>
      <c r="I3409">
        <v>-370777958</v>
      </c>
      <c r="J3409">
        <v>-2210484256</v>
      </c>
      <c r="K3409">
        <v>-864315999</v>
      </c>
      <c r="L3409">
        <v>-292098928</v>
      </c>
      <c r="M3409">
        <v>-34530831</v>
      </c>
      <c r="N3409">
        <v>-79673554</v>
      </c>
      <c r="O3409">
        <v>-189203082</v>
      </c>
      <c r="P3409">
        <v>91</v>
      </c>
      <c r="Q3409" t="s">
        <v>6862</v>
      </c>
    </row>
    <row r="3410" spans="1:17" x14ac:dyDescent="0.3">
      <c r="A3410" t="s">
        <v>4446</v>
      </c>
      <c r="B3410" t="str">
        <f>"002685"</f>
        <v>002685</v>
      </c>
      <c r="C3410" t="s">
        <v>6863</v>
      </c>
      <c r="D3410" t="s">
        <v>78</v>
      </c>
      <c r="F3410">
        <v>-258032925</v>
      </c>
      <c r="G3410">
        <v>-194759646</v>
      </c>
      <c r="H3410">
        <v>-179076799</v>
      </c>
      <c r="I3410">
        <v>-326083771</v>
      </c>
      <c r="J3410">
        <v>-262434509</v>
      </c>
      <c r="K3410">
        <v>160799369</v>
      </c>
      <c r="L3410">
        <v>-158808589</v>
      </c>
      <c r="M3410">
        <v>4680839</v>
      </c>
      <c r="N3410">
        <v>-1873696</v>
      </c>
      <c r="O3410">
        <v>-187933665</v>
      </c>
      <c r="P3410">
        <v>109</v>
      </c>
      <c r="Q3410" t="s">
        <v>6864</v>
      </c>
    </row>
    <row r="3411" spans="1:17" x14ac:dyDescent="0.3">
      <c r="A3411" t="s">
        <v>4446</v>
      </c>
      <c r="B3411" t="str">
        <f>"002686"</f>
        <v>002686</v>
      </c>
      <c r="C3411" t="s">
        <v>6865</v>
      </c>
      <c r="D3411" t="s">
        <v>78</v>
      </c>
      <c r="F3411">
        <v>-58092924</v>
      </c>
      <c r="G3411">
        <v>49404748</v>
      </c>
      <c r="H3411">
        <v>83393556</v>
      </c>
      <c r="I3411">
        <v>-100081261</v>
      </c>
      <c r="J3411">
        <v>-37858489</v>
      </c>
      <c r="K3411">
        <v>139084964</v>
      </c>
      <c r="L3411">
        <v>10310196</v>
      </c>
      <c r="M3411">
        <v>24257735</v>
      </c>
      <c r="N3411">
        <v>-12853854</v>
      </c>
      <c r="O3411">
        <v>14154360</v>
      </c>
      <c r="P3411">
        <v>78</v>
      </c>
      <c r="Q3411" t="s">
        <v>6866</v>
      </c>
    </row>
    <row r="3412" spans="1:17" x14ac:dyDescent="0.3">
      <c r="A3412" t="s">
        <v>4446</v>
      </c>
      <c r="B3412" t="str">
        <f>"002687"</f>
        <v>002687</v>
      </c>
      <c r="C3412" t="s">
        <v>6867</v>
      </c>
      <c r="D3412" t="s">
        <v>227</v>
      </c>
      <c r="F3412">
        <v>225902538</v>
      </c>
      <c r="G3412">
        <v>135419585</v>
      </c>
      <c r="H3412">
        <v>93113317</v>
      </c>
      <c r="I3412">
        <v>95624330</v>
      </c>
      <c r="J3412">
        <v>122015629</v>
      </c>
      <c r="K3412">
        <v>80347160</v>
      </c>
      <c r="L3412">
        <v>36076959</v>
      </c>
      <c r="M3412">
        <v>65476031</v>
      </c>
      <c r="N3412">
        <v>13465865</v>
      </c>
      <c r="O3412">
        <v>-125123042</v>
      </c>
      <c r="P3412">
        <v>127</v>
      </c>
      <c r="Q3412" t="s">
        <v>6868</v>
      </c>
    </row>
    <row r="3413" spans="1:17" x14ac:dyDescent="0.3">
      <c r="A3413" t="s">
        <v>4446</v>
      </c>
      <c r="B3413" t="str">
        <f>"002688"</f>
        <v>002688</v>
      </c>
      <c r="C3413" t="s">
        <v>6869</v>
      </c>
      <c r="D3413" t="s">
        <v>205</v>
      </c>
      <c r="F3413">
        <v>-225363860</v>
      </c>
      <c r="G3413">
        <v>54073159</v>
      </c>
      <c r="H3413">
        <v>103664504</v>
      </c>
      <c r="I3413">
        <v>-51622576</v>
      </c>
      <c r="J3413">
        <v>-169282714</v>
      </c>
      <c r="K3413">
        <v>163870082</v>
      </c>
      <c r="L3413">
        <v>72933810</v>
      </c>
      <c r="M3413">
        <v>-406538976</v>
      </c>
      <c r="N3413">
        <v>-12108311</v>
      </c>
      <c r="O3413">
        <v>54304610</v>
      </c>
      <c r="P3413">
        <v>167</v>
      </c>
      <c r="Q3413" t="s">
        <v>6870</v>
      </c>
    </row>
    <row r="3414" spans="1:17" x14ac:dyDescent="0.3">
      <c r="A3414" t="s">
        <v>4446</v>
      </c>
      <c r="B3414" t="str">
        <f>"002689"</f>
        <v>002689</v>
      </c>
      <c r="C3414" t="s">
        <v>6871</v>
      </c>
      <c r="D3414" t="s">
        <v>78</v>
      </c>
      <c r="F3414">
        <v>31809739</v>
      </c>
      <c r="G3414">
        <v>83451892</v>
      </c>
      <c r="H3414">
        <v>-50064876</v>
      </c>
      <c r="I3414">
        <v>45224451</v>
      </c>
      <c r="J3414">
        <v>-39675147</v>
      </c>
      <c r="K3414">
        <v>6677828</v>
      </c>
      <c r="L3414">
        <v>97466100</v>
      </c>
      <c r="M3414">
        <v>154323676</v>
      </c>
      <c r="N3414">
        <v>53277399</v>
      </c>
      <c r="O3414">
        <v>-19106814</v>
      </c>
      <c r="P3414">
        <v>87</v>
      </c>
      <c r="Q3414" t="s">
        <v>6872</v>
      </c>
    </row>
    <row r="3415" spans="1:17" x14ac:dyDescent="0.3">
      <c r="A3415" t="s">
        <v>4446</v>
      </c>
      <c r="B3415" t="str">
        <f>"002690"</f>
        <v>002690</v>
      </c>
      <c r="C3415" t="s">
        <v>6873</v>
      </c>
      <c r="D3415" t="s">
        <v>78</v>
      </c>
      <c r="F3415">
        <v>477212159</v>
      </c>
      <c r="G3415">
        <v>323011846</v>
      </c>
      <c r="H3415">
        <v>411813742</v>
      </c>
      <c r="I3415">
        <v>374455023</v>
      </c>
      <c r="J3415">
        <v>438395421</v>
      </c>
      <c r="K3415">
        <v>316664577</v>
      </c>
      <c r="L3415">
        <v>125542486</v>
      </c>
      <c r="M3415">
        <v>198301562</v>
      </c>
      <c r="N3415">
        <v>154836308</v>
      </c>
      <c r="O3415">
        <v>116234178</v>
      </c>
      <c r="P3415">
        <v>3638</v>
      </c>
      <c r="Q3415" t="s">
        <v>6874</v>
      </c>
    </row>
    <row r="3416" spans="1:17" x14ac:dyDescent="0.3">
      <c r="A3416" t="s">
        <v>4446</v>
      </c>
      <c r="B3416" t="str">
        <f>"002691"</f>
        <v>002691</v>
      </c>
      <c r="C3416" t="s">
        <v>6875</v>
      </c>
      <c r="D3416" t="s">
        <v>78</v>
      </c>
      <c r="F3416">
        <v>2326456</v>
      </c>
      <c r="G3416">
        <v>5838546</v>
      </c>
      <c r="H3416">
        <v>-90575588</v>
      </c>
      <c r="I3416">
        <v>-19137187</v>
      </c>
      <c r="J3416">
        <v>34540094</v>
      </c>
      <c r="K3416">
        <v>-81762134</v>
      </c>
      <c r="L3416">
        <v>-147090906</v>
      </c>
      <c r="M3416">
        <v>22599175</v>
      </c>
      <c r="N3416">
        <v>-48148225</v>
      </c>
      <c r="O3416">
        <v>-3873827</v>
      </c>
      <c r="P3416">
        <v>54</v>
      </c>
      <c r="Q3416" t="s">
        <v>6876</v>
      </c>
    </row>
    <row r="3417" spans="1:17" x14ac:dyDescent="0.3">
      <c r="A3417" t="s">
        <v>4446</v>
      </c>
      <c r="B3417" t="str">
        <f>"002692"</f>
        <v>002692</v>
      </c>
      <c r="C3417" t="s">
        <v>6877</v>
      </c>
      <c r="D3417" t="s">
        <v>188</v>
      </c>
      <c r="F3417">
        <v>178916183</v>
      </c>
      <c r="G3417">
        <v>-36164978</v>
      </c>
      <c r="H3417">
        <v>44570242</v>
      </c>
      <c r="I3417">
        <v>-79288891</v>
      </c>
      <c r="J3417">
        <v>-173504890</v>
      </c>
      <c r="K3417">
        <v>95900626</v>
      </c>
      <c r="L3417">
        <v>51110617</v>
      </c>
      <c r="M3417">
        <v>-228556145</v>
      </c>
      <c r="N3417">
        <v>-121233974</v>
      </c>
      <c r="O3417">
        <v>-91028015</v>
      </c>
      <c r="P3417">
        <v>53</v>
      </c>
      <c r="Q3417" t="s">
        <v>6878</v>
      </c>
    </row>
    <row r="3418" spans="1:17" x14ac:dyDescent="0.3">
      <c r="A3418" t="s">
        <v>4446</v>
      </c>
      <c r="B3418" t="str">
        <f>"002693"</f>
        <v>002693</v>
      </c>
      <c r="C3418" t="s">
        <v>6879</v>
      </c>
      <c r="D3418" t="s">
        <v>113</v>
      </c>
      <c r="F3418">
        <v>13584857</v>
      </c>
      <c r="G3418">
        <v>-60082723</v>
      </c>
      <c r="H3418">
        <v>37571346</v>
      </c>
      <c r="I3418">
        <v>27471674</v>
      </c>
      <c r="J3418">
        <v>-92002381</v>
      </c>
      <c r="K3418">
        <v>-142366576</v>
      </c>
      <c r="L3418">
        <v>-243330506</v>
      </c>
      <c r="M3418">
        <v>-64916801</v>
      </c>
      <c r="N3418">
        <v>-8629503</v>
      </c>
      <c r="O3418">
        <v>22324272</v>
      </c>
      <c r="P3418">
        <v>95</v>
      </c>
      <c r="Q3418" t="s">
        <v>6880</v>
      </c>
    </row>
    <row r="3419" spans="1:17" x14ac:dyDescent="0.3">
      <c r="A3419" t="s">
        <v>4446</v>
      </c>
      <c r="B3419" t="str">
        <f>"002694"</f>
        <v>002694</v>
      </c>
      <c r="C3419" t="s">
        <v>6881</v>
      </c>
      <c r="D3419" t="s">
        <v>350</v>
      </c>
      <c r="F3419">
        <v>-8833085</v>
      </c>
      <c r="G3419">
        <v>160616699</v>
      </c>
      <c r="H3419">
        <v>202041774</v>
      </c>
      <c r="I3419">
        <v>-207549808</v>
      </c>
      <c r="J3419">
        <v>-247293735</v>
      </c>
      <c r="K3419">
        <v>7294409</v>
      </c>
      <c r="L3419">
        <v>92279561</v>
      </c>
      <c r="M3419">
        <v>-213666292</v>
      </c>
      <c r="N3419">
        <v>-201120777</v>
      </c>
      <c r="O3419">
        <v>-226615814</v>
      </c>
      <c r="P3419">
        <v>71</v>
      </c>
      <c r="Q3419" t="s">
        <v>6882</v>
      </c>
    </row>
    <row r="3420" spans="1:17" x14ac:dyDescent="0.3">
      <c r="A3420" t="s">
        <v>4446</v>
      </c>
      <c r="B3420" t="str">
        <f>"002695"</f>
        <v>002695</v>
      </c>
      <c r="C3420" t="s">
        <v>6883</v>
      </c>
      <c r="D3420" t="s">
        <v>123</v>
      </c>
      <c r="F3420">
        <v>136858254</v>
      </c>
      <c r="G3420">
        <v>36043739</v>
      </c>
      <c r="H3420">
        <v>103506385</v>
      </c>
      <c r="I3420">
        <v>14079979</v>
      </c>
      <c r="J3420">
        <v>81886662</v>
      </c>
      <c r="K3420">
        <v>64386789</v>
      </c>
      <c r="L3420">
        <v>-22057731</v>
      </c>
      <c r="M3420">
        <v>34346085</v>
      </c>
      <c r="N3420">
        <v>-43546066</v>
      </c>
      <c r="O3420">
        <v>-10218529</v>
      </c>
      <c r="P3420">
        <v>623</v>
      </c>
      <c r="Q3420" t="s">
        <v>6884</v>
      </c>
    </row>
    <row r="3421" spans="1:17" x14ac:dyDescent="0.3">
      <c r="A3421" t="s">
        <v>4446</v>
      </c>
      <c r="B3421" t="str">
        <f>"002696"</f>
        <v>002696</v>
      </c>
      <c r="C3421" t="s">
        <v>6885</v>
      </c>
      <c r="D3421" t="s">
        <v>205</v>
      </c>
      <c r="F3421">
        <v>-94826292</v>
      </c>
      <c r="G3421">
        <v>-28605261</v>
      </c>
      <c r="H3421">
        <v>208807919</v>
      </c>
      <c r="I3421">
        <v>13498553</v>
      </c>
      <c r="J3421">
        <v>269438053</v>
      </c>
      <c r="K3421">
        <v>-19192762</v>
      </c>
      <c r="L3421">
        <v>-14842119</v>
      </c>
      <c r="M3421">
        <v>-243004713</v>
      </c>
      <c r="N3421">
        <v>-84934737</v>
      </c>
      <c r="O3421">
        <v>-14718220</v>
      </c>
      <c r="P3421">
        <v>93</v>
      </c>
      <c r="Q3421" t="s">
        <v>6886</v>
      </c>
    </row>
    <row r="3422" spans="1:17" x14ac:dyDescent="0.3">
      <c r="A3422" t="s">
        <v>4446</v>
      </c>
      <c r="B3422" t="str">
        <f>"002697"</f>
        <v>002697</v>
      </c>
      <c r="C3422" t="s">
        <v>6887</v>
      </c>
      <c r="D3422" t="s">
        <v>120</v>
      </c>
      <c r="F3422">
        <v>916317488</v>
      </c>
      <c r="G3422">
        <v>358893505</v>
      </c>
      <c r="H3422">
        <v>103038675</v>
      </c>
      <c r="I3422">
        <v>562059843</v>
      </c>
      <c r="J3422">
        <v>395029044</v>
      </c>
      <c r="K3422">
        <v>-94459005</v>
      </c>
      <c r="L3422">
        <v>-592835809</v>
      </c>
      <c r="M3422">
        <v>211651553</v>
      </c>
      <c r="N3422">
        <v>111799707</v>
      </c>
      <c r="O3422">
        <v>68238331</v>
      </c>
      <c r="P3422">
        <v>503</v>
      </c>
      <c r="Q3422" t="s">
        <v>6888</v>
      </c>
    </row>
    <row r="3423" spans="1:17" x14ac:dyDescent="0.3">
      <c r="A3423" t="s">
        <v>4446</v>
      </c>
      <c r="B3423" t="str">
        <f>"002698"</f>
        <v>002698</v>
      </c>
      <c r="C3423" t="s">
        <v>6889</v>
      </c>
      <c r="D3423" t="s">
        <v>78</v>
      </c>
      <c r="F3423">
        <v>375940416</v>
      </c>
      <c r="G3423">
        <v>120796270</v>
      </c>
      <c r="H3423">
        <v>300338821</v>
      </c>
      <c r="I3423">
        <v>191797809</v>
      </c>
      <c r="J3423">
        <v>73776398</v>
      </c>
      <c r="K3423">
        <v>-14319091</v>
      </c>
      <c r="L3423">
        <v>34229353</v>
      </c>
      <c r="M3423">
        <v>60560838</v>
      </c>
      <c r="N3423">
        <v>160834852</v>
      </c>
      <c r="O3423">
        <v>-38035370</v>
      </c>
      <c r="P3423">
        <v>271</v>
      </c>
      <c r="Q3423" t="s">
        <v>6890</v>
      </c>
    </row>
    <row r="3424" spans="1:17" x14ac:dyDescent="0.3">
      <c r="A3424" t="s">
        <v>4446</v>
      </c>
      <c r="B3424" t="str">
        <f>"002699"</f>
        <v>002699</v>
      </c>
      <c r="C3424" t="s">
        <v>6891</v>
      </c>
      <c r="D3424" t="s">
        <v>89</v>
      </c>
      <c r="F3424">
        <v>61191893</v>
      </c>
      <c r="G3424">
        <v>164850114</v>
      </c>
      <c r="H3424">
        <v>-38894719</v>
      </c>
      <c r="I3424">
        <v>123096341</v>
      </c>
      <c r="J3424">
        <v>174120012</v>
      </c>
      <c r="K3424">
        <v>-23719628</v>
      </c>
      <c r="L3424">
        <v>-38498474</v>
      </c>
      <c r="M3424">
        <v>-92970042</v>
      </c>
      <c r="N3424">
        <v>-77785653</v>
      </c>
      <c r="O3424">
        <v>25076710</v>
      </c>
      <c r="P3424">
        <v>157</v>
      </c>
      <c r="Q3424" t="s">
        <v>6892</v>
      </c>
    </row>
    <row r="3425" spans="1:17" x14ac:dyDescent="0.3">
      <c r="A3425" t="s">
        <v>4446</v>
      </c>
      <c r="B3425" t="str">
        <f>"002700"</f>
        <v>002700</v>
      </c>
      <c r="C3425" t="s">
        <v>6893</v>
      </c>
      <c r="D3425" t="s">
        <v>41</v>
      </c>
      <c r="F3425">
        <v>38232073</v>
      </c>
      <c r="G3425">
        <v>173545562</v>
      </c>
      <c r="H3425">
        <v>-535565203</v>
      </c>
      <c r="I3425">
        <v>-9114971</v>
      </c>
      <c r="J3425">
        <v>85920889</v>
      </c>
      <c r="K3425">
        <v>62937611</v>
      </c>
      <c r="L3425">
        <v>54941281</v>
      </c>
      <c r="M3425">
        <v>61744493</v>
      </c>
      <c r="N3425">
        <v>34662496</v>
      </c>
      <c r="O3425">
        <v>14196372</v>
      </c>
      <c r="P3425">
        <v>53</v>
      </c>
      <c r="Q3425" t="s">
        <v>6894</v>
      </c>
    </row>
    <row r="3426" spans="1:17" x14ac:dyDescent="0.3">
      <c r="A3426" t="s">
        <v>4446</v>
      </c>
      <c r="B3426" t="str">
        <f>"002701"</f>
        <v>002701</v>
      </c>
      <c r="C3426" t="s">
        <v>6895</v>
      </c>
      <c r="D3426" t="s">
        <v>161</v>
      </c>
      <c r="F3426">
        <v>697345824</v>
      </c>
      <c r="G3426">
        <v>563108879</v>
      </c>
      <c r="H3426">
        <v>1313128902</v>
      </c>
      <c r="I3426">
        <v>1767947478</v>
      </c>
      <c r="J3426">
        <v>1307476209</v>
      </c>
      <c r="K3426">
        <v>-336827982</v>
      </c>
      <c r="L3426">
        <v>-8213230</v>
      </c>
      <c r="M3426">
        <v>-122060690</v>
      </c>
      <c r="N3426">
        <v>-456924386</v>
      </c>
      <c r="O3426">
        <v>-14610639</v>
      </c>
      <c r="P3426">
        <v>1656</v>
      </c>
      <c r="Q3426" t="s">
        <v>6896</v>
      </c>
    </row>
    <row r="3427" spans="1:17" x14ac:dyDescent="0.3">
      <c r="A3427" t="s">
        <v>4446</v>
      </c>
      <c r="B3427" t="str">
        <f>"002702"</f>
        <v>002702</v>
      </c>
      <c r="C3427" t="s">
        <v>6897</v>
      </c>
      <c r="D3427" t="s">
        <v>123</v>
      </c>
      <c r="F3427">
        <v>-275894291</v>
      </c>
      <c r="G3427">
        <v>26291791</v>
      </c>
      <c r="H3427">
        <v>-65378097</v>
      </c>
      <c r="I3427">
        <v>51816303</v>
      </c>
      <c r="J3427">
        <v>-6151502</v>
      </c>
      <c r="K3427">
        <v>54141929</v>
      </c>
      <c r="L3427">
        <v>-28547599</v>
      </c>
      <c r="M3427">
        <v>-98760003</v>
      </c>
      <c r="N3427">
        <v>-52650242</v>
      </c>
      <c r="O3427">
        <v>21239769</v>
      </c>
      <c r="P3427">
        <v>186</v>
      </c>
      <c r="Q3427" t="s">
        <v>6898</v>
      </c>
    </row>
    <row r="3428" spans="1:17" x14ac:dyDescent="0.3">
      <c r="A3428" t="s">
        <v>4446</v>
      </c>
      <c r="B3428" t="str">
        <f>"002703"</f>
        <v>002703</v>
      </c>
      <c r="C3428" t="s">
        <v>6899</v>
      </c>
      <c r="D3428" t="s">
        <v>27</v>
      </c>
      <c r="F3428">
        <v>-97184</v>
      </c>
      <c r="G3428">
        <v>6310708</v>
      </c>
      <c r="H3428">
        <v>-113225826</v>
      </c>
      <c r="I3428">
        <v>-136714812</v>
      </c>
      <c r="J3428">
        <v>-134153659</v>
      </c>
      <c r="K3428">
        <v>-24369409</v>
      </c>
      <c r="L3428">
        <v>17492153</v>
      </c>
      <c r="M3428">
        <v>17023209</v>
      </c>
      <c r="N3428">
        <v>28986846</v>
      </c>
      <c r="O3428">
        <v>-25894177</v>
      </c>
      <c r="P3428">
        <v>76</v>
      </c>
      <c r="Q3428" t="s">
        <v>6900</v>
      </c>
    </row>
    <row r="3429" spans="1:17" x14ac:dyDescent="0.3">
      <c r="A3429" t="s">
        <v>4446</v>
      </c>
      <c r="B3429" t="str">
        <f>"002705"</f>
        <v>002705</v>
      </c>
      <c r="C3429" t="s">
        <v>6901</v>
      </c>
      <c r="D3429" t="s">
        <v>126</v>
      </c>
      <c r="F3429">
        <v>-214448193</v>
      </c>
      <c r="G3429">
        <v>1590577326</v>
      </c>
      <c r="H3429">
        <v>830399568</v>
      </c>
      <c r="I3429">
        <v>-280960161</v>
      </c>
      <c r="J3429">
        <v>-36975751</v>
      </c>
      <c r="K3429">
        <v>545236965</v>
      </c>
      <c r="L3429">
        <v>406041420</v>
      </c>
      <c r="M3429">
        <v>-94521318</v>
      </c>
      <c r="N3429">
        <v>282892424</v>
      </c>
      <c r="O3429">
        <v>82293634</v>
      </c>
      <c r="P3429">
        <v>1093</v>
      </c>
      <c r="Q3429" t="s">
        <v>6902</v>
      </c>
    </row>
    <row r="3430" spans="1:17" x14ac:dyDescent="0.3">
      <c r="A3430" t="s">
        <v>4446</v>
      </c>
      <c r="B3430" t="str">
        <f>"002706"</f>
        <v>002706</v>
      </c>
      <c r="C3430" t="s">
        <v>6903</v>
      </c>
      <c r="D3430" t="s">
        <v>188</v>
      </c>
      <c r="F3430">
        <v>-207689742</v>
      </c>
      <c r="G3430">
        <v>244444240</v>
      </c>
      <c r="H3430">
        <v>12324865</v>
      </c>
      <c r="I3430">
        <v>14351374</v>
      </c>
      <c r="J3430">
        <v>41384911</v>
      </c>
      <c r="K3430">
        <v>80238943</v>
      </c>
      <c r="L3430">
        <v>-31345687</v>
      </c>
      <c r="M3430">
        <v>977394</v>
      </c>
      <c r="N3430">
        <v>-60398452</v>
      </c>
      <c r="O3430">
        <v>63257861</v>
      </c>
      <c r="P3430">
        <v>764</v>
      </c>
      <c r="Q3430" t="s">
        <v>6904</v>
      </c>
    </row>
    <row r="3431" spans="1:17" x14ac:dyDescent="0.3">
      <c r="A3431" t="s">
        <v>4446</v>
      </c>
      <c r="B3431" t="str">
        <f>"002707"</f>
        <v>002707</v>
      </c>
      <c r="C3431" t="s">
        <v>6905</v>
      </c>
      <c r="D3431" t="s">
        <v>110</v>
      </c>
      <c r="F3431">
        <v>-262672256</v>
      </c>
      <c r="G3431">
        <v>154481131</v>
      </c>
      <c r="H3431">
        <v>70316259</v>
      </c>
      <c r="I3431">
        <v>-126659455</v>
      </c>
      <c r="J3431">
        <v>138283155</v>
      </c>
      <c r="K3431">
        <v>-29014329</v>
      </c>
      <c r="L3431">
        <v>-17364132</v>
      </c>
      <c r="M3431">
        <v>58956233</v>
      </c>
      <c r="N3431">
        <v>60387694</v>
      </c>
      <c r="O3431">
        <v>51557931</v>
      </c>
      <c r="P3431">
        <v>295</v>
      </c>
      <c r="Q3431" t="s">
        <v>6906</v>
      </c>
    </row>
    <row r="3432" spans="1:17" x14ac:dyDescent="0.3">
      <c r="A3432" t="s">
        <v>4446</v>
      </c>
      <c r="B3432" t="str">
        <f>"002708"</f>
        <v>002708</v>
      </c>
      <c r="C3432" t="s">
        <v>6907</v>
      </c>
      <c r="D3432" t="s">
        <v>27</v>
      </c>
      <c r="F3432">
        <v>-201923820</v>
      </c>
      <c r="G3432">
        <v>122006392</v>
      </c>
      <c r="H3432">
        <v>59995134</v>
      </c>
      <c r="I3432">
        <v>111009780</v>
      </c>
      <c r="J3432">
        <v>9856153</v>
      </c>
      <c r="K3432">
        <v>-99635290</v>
      </c>
      <c r="L3432">
        <v>-24221435</v>
      </c>
      <c r="M3432">
        <v>-17940362</v>
      </c>
      <c r="N3432">
        <v>22528446</v>
      </c>
      <c r="O3432">
        <v>8921687</v>
      </c>
      <c r="P3432">
        <v>91</v>
      </c>
      <c r="Q3432" t="s">
        <v>6908</v>
      </c>
    </row>
    <row r="3433" spans="1:17" x14ac:dyDescent="0.3">
      <c r="A3433" t="s">
        <v>4446</v>
      </c>
      <c r="B3433" t="str">
        <f>"002709"</f>
        <v>002709</v>
      </c>
      <c r="C3433" t="s">
        <v>6909</v>
      </c>
      <c r="D3433" t="s">
        <v>188</v>
      </c>
      <c r="F3433">
        <v>437491532</v>
      </c>
      <c r="G3433">
        <v>277346211</v>
      </c>
      <c r="H3433">
        <v>-290432391</v>
      </c>
      <c r="I3433">
        <v>-1092373464</v>
      </c>
      <c r="J3433">
        <v>-408722856</v>
      </c>
      <c r="K3433">
        <v>70581002</v>
      </c>
      <c r="L3433">
        <v>-31789912</v>
      </c>
      <c r="M3433">
        <v>-50010499</v>
      </c>
      <c r="N3433">
        <v>-9138288</v>
      </c>
      <c r="O3433">
        <v>62033526</v>
      </c>
      <c r="P3433">
        <v>1069</v>
      </c>
      <c r="Q3433" t="s">
        <v>6910</v>
      </c>
    </row>
    <row r="3434" spans="1:17" x14ac:dyDescent="0.3">
      <c r="A3434" t="s">
        <v>4446</v>
      </c>
      <c r="B3434" t="str">
        <f>"002710"</f>
        <v>002710</v>
      </c>
      <c r="C3434" t="s">
        <v>6911</v>
      </c>
      <c r="D3434" t="s">
        <v>113</v>
      </c>
      <c r="O3434">
        <v>34619429</v>
      </c>
      <c r="P3434">
        <v>8</v>
      </c>
      <c r="Q3434" t="s">
        <v>6912</v>
      </c>
    </row>
    <row r="3435" spans="1:17" x14ac:dyDescent="0.3">
      <c r="A3435" t="s">
        <v>4446</v>
      </c>
      <c r="B3435" t="str">
        <f>"002711"</f>
        <v>002711</v>
      </c>
      <c r="C3435" t="s">
        <v>6913</v>
      </c>
      <c r="G3435">
        <v>-11372654</v>
      </c>
      <c r="H3435">
        <v>15756363</v>
      </c>
      <c r="I3435">
        <v>265239738</v>
      </c>
      <c r="J3435">
        <v>-110113043</v>
      </c>
      <c r="K3435">
        <v>-171675730</v>
      </c>
      <c r="L3435">
        <v>269395419</v>
      </c>
      <c r="M3435">
        <v>-92775758</v>
      </c>
      <c r="N3435">
        <v>98287154</v>
      </c>
      <c r="O3435">
        <v>170267075</v>
      </c>
      <c r="P3435">
        <v>74</v>
      </c>
      <c r="Q3435" t="s">
        <v>6914</v>
      </c>
    </row>
    <row r="3436" spans="1:17" x14ac:dyDescent="0.3">
      <c r="A3436" t="s">
        <v>4446</v>
      </c>
      <c r="B3436" t="str">
        <f>"002712"</f>
        <v>002712</v>
      </c>
      <c r="C3436" t="s">
        <v>6915</v>
      </c>
      <c r="D3436" t="s">
        <v>89</v>
      </c>
      <c r="F3436">
        <v>77678099</v>
      </c>
      <c r="G3436">
        <v>-134240745</v>
      </c>
      <c r="H3436">
        <v>593221982</v>
      </c>
      <c r="I3436">
        <v>207767080</v>
      </c>
      <c r="J3436">
        <v>-205190190</v>
      </c>
      <c r="K3436">
        <v>373121952</v>
      </c>
      <c r="L3436">
        <v>302880726</v>
      </c>
      <c r="M3436">
        <v>-380494626</v>
      </c>
      <c r="N3436">
        <v>26560185</v>
      </c>
      <c r="O3436">
        <v>61747443</v>
      </c>
      <c r="P3436">
        <v>107</v>
      </c>
      <c r="Q3436" t="s">
        <v>6916</v>
      </c>
    </row>
    <row r="3437" spans="1:17" x14ac:dyDescent="0.3">
      <c r="A3437" t="s">
        <v>4446</v>
      </c>
      <c r="B3437" t="str">
        <f>"002713"</f>
        <v>002713</v>
      </c>
      <c r="C3437" t="s">
        <v>6917</v>
      </c>
      <c r="D3437" t="s">
        <v>95</v>
      </c>
      <c r="F3437">
        <v>-4672426</v>
      </c>
      <c r="G3437">
        <v>225615835</v>
      </c>
      <c r="H3437">
        <v>51390278</v>
      </c>
      <c r="I3437">
        <v>123987007</v>
      </c>
      <c r="J3437">
        <v>228666929</v>
      </c>
      <c r="K3437">
        <v>401585396</v>
      </c>
      <c r="L3437">
        <v>204030753</v>
      </c>
      <c r="M3437">
        <v>-69734957</v>
      </c>
      <c r="N3437">
        <v>280061768</v>
      </c>
      <c r="O3437">
        <v>94276665</v>
      </c>
      <c r="P3437">
        <v>268</v>
      </c>
      <c r="Q3437" t="s">
        <v>6918</v>
      </c>
    </row>
    <row r="3438" spans="1:17" x14ac:dyDescent="0.3">
      <c r="A3438" t="s">
        <v>4446</v>
      </c>
      <c r="B3438" t="str">
        <f>"002714"</f>
        <v>002714</v>
      </c>
      <c r="C3438" t="s">
        <v>6919</v>
      </c>
      <c r="D3438" t="s">
        <v>205</v>
      </c>
      <c r="F3438">
        <v>-19542609886</v>
      </c>
      <c r="G3438">
        <v>-22876081745</v>
      </c>
      <c r="H3438">
        <v>-3046884760</v>
      </c>
      <c r="I3438">
        <v>-3680761627</v>
      </c>
      <c r="J3438">
        <v>-4488784908</v>
      </c>
      <c r="K3438">
        <v>-3078676746</v>
      </c>
      <c r="L3438">
        <v>-883371683</v>
      </c>
      <c r="M3438">
        <v>-278958615</v>
      </c>
      <c r="N3438">
        <v>-535601114</v>
      </c>
      <c r="O3438">
        <v>-147815579</v>
      </c>
      <c r="P3438">
        <v>4956</v>
      </c>
      <c r="Q3438" t="s">
        <v>6920</v>
      </c>
    </row>
    <row r="3439" spans="1:17" x14ac:dyDescent="0.3">
      <c r="A3439" t="s">
        <v>4446</v>
      </c>
      <c r="B3439" t="str">
        <f>"002715"</f>
        <v>002715</v>
      </c>
      <c r="C3439" t="s">
        <v>6921</v>
      </c>
      <c r="D3439" t="s">
        <v>27</v>
      </c>
      <c r="F3439">
        <v>-13928672</v>
      </c>
      <c r="G3439">
        <v>30983152</v>
      </c>
      <c r="H3439">
        <v>6777541</v>
      </c>
      <c r="I3439">
        <v>473230</v>
      </c>
      <c r="J3439">
        <v>8858299</v>
      </c>
      <c r="K3439">
        <v>40868286</v>
      </c>
      <c r="L3439">
        <v>-37810473</v>
      </c>
      <c r="M3439">
        <v>-25812741</v>
      </c>
      <c r="N3439">
        <v>-10689462</v>
      </c>
      <c r="O3439">
        <v>-59524430</v>
      </c>
      <c r="P3439">
        <v>61</v>
      </c>
      <c r="Q3439" t="s">
        <v>6922</v>
      </c>
    </row>
    <row r="3440" spans="1:17" x14ac:dyDescent="0.3">
      <c r="A3440" t="s">
        <v>4446</v>
      </c>
      <c r="B3440" t="str">
        <f>"002716"</f>
        <v>002716</v>
      </c>
      <c r="C3440" t="s">
        <v>6923</v>
      </c>
      <c r="D3440" t="s">
        <v>234</v>
      </c>
      <c r="F3440">
        <v>-581060467</v>
      </c>
      <c r="G3440">
        <v>-251799727</v>
      </c>
      <c r="H3440">
        <v>-193860593</v>
      </c>
      <c r="I3440">
        <v>-316374109</v>
      </c>
      <c r="J3440">
        <v>12873385</v>
      </c>
      <c r="K3440">
        <v>-297650532</v>
      </c>
      <c r="L3440">
        <v>261228111</v>
      </c>
      <c r="M3440">
        <v>-455904001</v>
      </c>
      <c r="N3440">
        <v>222413766</v>
      </c>
      <c r="O3440">
        <v>-272227063</v>
      </c>
      <c r="P3440">
        <v>129</v>
      </c>
      <c r="Q3440" t="s">
        <v>6924</v>
      </c>
    </row>
    <row r="3441" spans="1:17" x14ac:dyDescent="0.3">
      <c r="A3441" t="s">
        <v>4446</v>
      </c>
      <c r="B3441" t="str">
        <f>"002717"</f>
        <v>002717</v>
      </c>
      <c r="C3441" t="s">
        <v>6925</v>
      </c>
      <c r="D3441" t="s">
        <v>95</v>
      </c>
      <c r="F3441">
        <v>-261147747</v>
      </c>
      <c r="G3441">
        <v>555495185</v>
      </c>
      <c r="H3441">
        <v>1146936603</v>
      </c>
      <c r="I3441">
        <v>-12027370</v>
      </c>
      <c r="J3441">
        <v>-778376967</v>
      </c>
      <c r="K3441">
        <v>-145333690</v>
      </c>
      <c r="L3441">
        <v>-159065316</v>
      </c>
      <c r="M3441">
        <v>-205378351</v>
      </c>
      <c r="N3441">
        <v>-35988518</v>
      </c>
      <c r="O3441">
        <v>-127866266</v>
      </c>
      <c r="P3441">
        <v>394</v>
      </c>
      <c r="Q3441" t="s">
        <v>6926</v>
      </c>
    </row>
    <row r="3442" spans="1:17" x14ac:dyDescent="0.3">
      <c r="A3442" t="s">
        <v>4446</v>
      </c>
      <c r="B3442" t="str">
        <f>"002718"</f>
        <v>002718</v>
      </c>
      <c r="C3442" t="s">
        <v>6927</v>
      </c>
      <c r="D3442" t="s">
        <v>350</v>
      </c>
      <c r="F3442">
        <v>-171017534</v>
      </c>
      <c r="G3442">
        <v>-23699992</v>
      </c>
      <c r="H3442">
        <v>-123723860</v>
      </c>
      <c r="I3442">
        <v>-278298631</v>
      </c>
      <c r="J3442">
        <v>98575651</v>
      </c>
      <c r="K3442">
        <v>-27081616</v>
      </c>
      <c r="L3442">
        <v>103350012</v>
      </c>
      <c r="M3442">
        <v>69053112</v>
      </c>
      <c r="N3442">
        <v>99423064</v>
      </c>
      <c r="O3442">
        <v>47119224</v>
      </c>
      <c r="P3442">
        <v>170</v>
      </c>
      <c r="Q3442" t="s">
        <v>6928</v>
      </c>
    </row>
    <row r="3443" spans="1:17" x14ac:dyDescent="0.3">
      <c r="A3443" t="s">
        <v>4446</v>
      </c>
      <c r="B3443" t="str">
        <f>"002719"</f>
        <v>002719</v>
      </c>
      <c r="C3443" t="s">
        <v>6929</v>
      </c>
      <c r="D3443" t="s">
        <v>123</v>
      </c>
      <c r="F3443">
        <v>-46627465</v>
      </c>
      <c r="G3443">
        <v>-3575507</v>
      </c>
      <c r="H3443">
        <v>-27450813</v>
      </c>
      <c r="I3443">
        <v>-40419736</v>
      </c>
      <c r="J3443">
        <v>471672</v>
      </c>
      <c r="K3443">
        <v>3232198</v>
      </c>
      <c r="L3443">
        <v>104662409</v>
      </c>
      <c r="M3443">
        <v>17872933</v>
      </c>
      <c r="N3443">
        <v>17811264</v>
      </c>
      <c r="O3443">
        <v>60083892</v>
      </c>
      <c r="P3443">
        <v>97</v>
      </c>
      <c r="Q3443" t="s">
        <v>6930</v>
      </c>
    </row>
    <row r="3444" spans="1:17" x14ac:dyDescent="0.3">
      <c r="A3444" t="s">
        <v>4446</v>
      </c>
      <c r="B3444" t="str">
        <f>"002720"</f>
        <v>002720</v>
      </c>
      <c r="C3444" t="s">
        <v>6931</v>
      </c>
      <c r="D3444" t="s">
        <v>227</v>
      </c>
      <c r="O3444">
        <v>-170765859</v>
      </c>
      <c r="P3444">
        <v>11</v>
      </c>
      <c r="Q3444" t="s">
        <v>6932</v>
      </c>
    </row>
    <row r="3445" spans="1:17" x14ac:dyDescent="0.3">
      <c r="A3445" t="s">
        <v>4446</v>
      </c>
      <c r="B3445" t="str">
        <f>"002721"</f>
        <v>002721</v>
      </c>
      <c r="C3445" t="s">
        <v>6933</v>
      </c>
      <c r="D3445" t="s">
        <v>227</v>
      </c>
      <c r="F3445">
        <v>390373070</v>
      </c>
      <c r="G3445">
        <v>-88781163</v>
      </c>
      <c r="H3445">
        <v>-2012818636</v>
      </c>
      <c r="I3445">
        <v>1455444804</v>
      </c>
      <c r="J3445">
        <v>-1737111684</v>
      </c>
      <c r="K3445">
        <v>-571122590</v>
      </c>
      <c r="L3445">
        <v>-353209191</v>
      </c>
      <c r="M3445">
        <v>-137111769</v>
      </c>
      <c r="N3445">
        <v>-23810082</v>
      </c>
      <c r="O3445">
        <v>-273708210</v>
      </c>
      <c r="P3445">
        <v>89</v>
      </c>
      <c r="Q3445" t="s">
        <v>6934</v>
      </c>
    </row>
    <row r="3446" spans="1:17" x14ac:dyDescent="0.3">
      <c r="A3446" t="s">
        <v>4446</v>
      </c>
      <c r="B3446" t="str">
        <f>"002722"</f>
        <v>002722</v>
      </c>
      <c r="C3446" t="s">
        <v>6935</v>
      </c>
      <c r="D3446" t="s">
        <v>227</v>
      </c>
      <c r="F3446">
        <v>95279925</v>
      </c>
      <c r="G3446">
        <v>164684740</v>
      </c>
      <c r="H3446">
        <v>-24110983</v>
      </c>
      <c r="I3446">
        <v>2459464</v>
      </c>
      <c r="J3446">
        <v>-63367756</v>
      </c>
      <c r="K3446">
        <v>-95076418</v>
      </c>
      <c r="L3446">
        <v>51826262</v>
      </c>
      <c r="M3446">
        <v>30336103</v>
      </c>
      <c r="N3446">
        <v>26172345</v>
      </c>
      <c r="O3446">
        <v>9589284</v>
      </c>
      <c r="P3446">
        <v>102</v>
      </c>
      <c r="Q3446" t="s">
        <v>6936</v>
      </c>
    </row>
    <row r="3447" spans="1:17" x14ac:dyDescent="0.3">
      <c r="A3447" t="s">
        <v>4446</v>
      </c>
      <c r="B3447" t="str">
        <f>"002723"</f>
        <v>002723</v>
      </c>
      <c r="C3447" t="s">
        <v>6937</v>
      </c>
      <c r="D3447" t="s">
        <v>126</v>
      </c>
      <c r="F3447">
        <v>-110290381</v>
      </c>
      <c r="G3447">
        <v>46297726</v>
      </c>
      <c r="H3447">
        <v>-3440535</v>
      </c>
      <c r="I3447">
        <v>-63554711</v>
      </c>
      <c r="J3447">
        <v>45618612</v>
      </c>
      <c r="K3447">
        <v>30101407</v>
      </c>
      <c r="L3447">
        <v>-72130400</v>
      </c>
      <c r="M3447">
        <v>-36545320</v>
      </c>
      <c r="N3447">
        <v>-42883739</v>
      </c>
      <c r="O3447">
        <v>-58629029</v>
      </c>
      <c r="P3447">
        <v>92</v>
      </c>
      <c r="Q3447" t="s">
        <v>6938</v>
      </c>
    </row>
    <row r="3448" spans="1:17" x14ac:dyDescent="0.3">
      <c r="A3448" t="s">
        <v>4446</v>
      </c>
      <c r="B3448" t="str">
        <f>"002724"</f>
        <v>002724</v>
      </c>
      <c r="C3448" t="s">
        <v>6939</v>
      </c>
      <c r="D3448" t="s">
        <v>150</v>
      </c>
      <c r="F3448">
        <v>154865877</v>
      </c>
      <c r="G3448">
        <v>288884656</v>
      </c>
      <c r="H3448">
        <v>225680117</v>
      </c>
      <c r="I3448">
        <v>82208576</v>
      </c>
      <c r="J3448">
        <v>123133419</v>
      </c>
      <c r="K3448">
        <v>48540550</v>
      </c>
      <c r="L3448">
        <v>37557248</v>
      </c>
      <c r="M3448">
        <v>63710820</v>
      </c>
      <c r="N3448">
        <v>70693813</v>
      </c>
      <c r="O3448">
        <v>127975404</v>
      </c>
      <c r="P3448">
        <v>140</v>
      </c>
      <c r="Q3448" t="s">
        <v>6940</v>
      </c>
    </row>
    <row r="3449" spans="1:17" x14ac:dyDescent="0.3">
      <c r="A3449" t="s">
        <v>4446</v>
      </c>
      <c r="B3449" t="str">
        <f>"002725"</f>
        <v>002725</v>
      </c>
      <c r="C3449" t="s">
        <v>6941</v>
      </c>
      <c r="D3449" t="s">
        <v>27</v>
      </c>
      <c r="F3449">
        <v>-30610156</v>
      </c>
      <c r="G3449">
        <v>120906836</v>
      </c>
      <c r="H3449">
        <v>52697445</v>
      </c>
      <c r="I3449">
        <v>10934371</v>
      </c>
      <c r="J3449">
        <v>-35004300</v>
      </c>
      <c r="K3449">
        <v>-51471012</v>
      </c>
      <c r="L3449">
        <v>52179168</v>
      </c>
      <c r="M3449">
        <v>-148902904</v>
      </c>
      <c r="N3449">
        <v>48772337</v>
      </c>
      <c r="O3449">
        <v>80302937</v>
      </c>
      <c r="P3449">
        <v>135</v>
      </c>
      <c r="Q3449" t="s">
        <v>6942</v>
      </c>
    </row>
    <row r="3450" spans="1:17" x14ac:dyDescent="0.3">
      <c r="A3450" t="s">
        <v>4446</v>
      </c>
      <c r="B3450" t="str">
        <f>"002726"</f>
        <v>002726</v>
      </c>
      <c r="C3450" t="s">
        <v>6943</v>
      </c>
      <c r="D3450" t="s">
        <v>123</v>
      </c>
      <c r="F3450">
        <v>-1288155093</v>
      </c>
      <c r="G3450">
        <v>650728930</v>
      </c>
      <c r="H3450">
        <v>-1578700586</v>
      </c>
      <c r="I3450">
        <v>-272271377</v>
      </c>
      <c r="J3450">
        <v>-52062428</v>
      </c>
      <c r="K3450">
        <v>181062161</v>
      </c>
      <c r="L3450">
        <v>184303453</v>
      </c>
      <c r="M3450">
        <v>-25420205</v>
      </c>
      <c r="N3450">
        <v>-79722328</v>
      </c>
      <c r="O3450">
        <v>-111731357</v>
      </c>
      <c r="P3450">
        <v>1021</v>
      </c>
      <c r="Q3450" t="s">
        <v>6944</v>
      </c>
    </row>
    <row r="3451" spans="1:17" x14ac:dyDescent="0.3">
      <c r="A3451" t="s">
        <v>4446</v>
      </c>
      <c r="B3451" t="str">
        <f>"002727"</f>
        <v>002727</v>
      </c>
      <c r="C3451" t="s">
        <v>6945</v>
      </c>
      <c r="D3451" t="s">
        <v>113</v>
      </c>
      <c r="F3451">
        <v>1404433959</v>
      </c>
      <c r="G3451">
        <v>756597095</v>
      </c>
      <c r="H3451">
        <v>777440344</v>
      </c>
      <c r="I3451">
        <v>479947227</v>
      </c>
      <c r="J3451">
        <v>249515100</v>
      </c>
      <c r="K3451">
        <v>46684715</v>
      </c>
      <c r="L3451">
        <v>-8257629</v>
      </c>
      <c r="M3451">
        <v>17967582</v>
      </c>
      <c r="N3451">
        <v>82898541</v>
      </c>
      <c r="O3451">
        <v>54492969</v>
      </c>
      <c r="P3451">
        <v>1246</v>
      </c>
      <c r="Q3451" t="s">
        <v>6946</v>
      </c>
    </row>
    <row r="3452" spans="1:17" x14ac:dyDescent="0.3">
      <c r="A3452" t="s">
        <v>4446</v>
      </c>
      <c r="B3452" t="str">
        <f>"002728"</f>
        <v>002728</v>
      </c>
      <c r="C3452" t="s">
        <v>6947</v>
      </c>
      <c r="D3452" t="s">
        <v>113</v>
      </c>
      <c r="F3452">
        <v>147759775</v>
      </c>
      <c r="G3452">
        <v>79594770</v>
      </c>
      <c r="H3452">
        <v>90956407</v>
      </c>
      <c r="I3452">
        <v>35525300</v>
      </c>
      <c r="J3452">
        <v>62362577</v>
      </c>
      <c r="K3452">
        <v>-69053659</v>
      </c>
      <c r="L3452">
        <v>-32274243</v>
      </c>
      <c r="M3452">
        <v>30363769</v>
      </c>
      <c r="N3452">
        <v>28179353</v>
      </c>
      <c r="O3452">
        <v>72419679</v>
      </c>
      <c r="P3452">
        <v>288</v>
      </c>
      <c r="Q3452" t="s">
        <v>6948</v>
      </c>
    </row>
    <row r="3453" spans="1:17" x14ac:dyDescent="0.3">
      <c r="A3453" t="s">
        <v>4446</v>
      </c>
      <c r="B3453" t="str">
        <f>"002729"</f>
        <v>002729</v>
      </c>
      <c r="C3453" t="s">
        <v>6949</v>
      </c>
      <c r="D3453" t="s">
        <v>150</v>
      </c>
      <c r="F3453">
        <v>13336174</v>
      </c>
      <c r="G3453">
        <v>27396645</v>
      </c>
      <c r="H3453">
        <v>33073395</v>
      </c>
      <c r="I3453">
        <v>20247213</v>
      </c>
      <c r="J3453">
        <v>12241484</v>
      </c>
      <c r="K3453">
        <v>16174890</v>
      </c>
      <c r="L3453">
        <v>-29045213</v>
      </c>
      <c r="M3453">
        <v>-40115716</v>
      </c>
      <c r="N3453">
        <v>-20233477</v>
      </c>
      <c r="O3453">
        <v>34965114</v>
      </c>
      <c r="P3453">
        <v>71</v>
      </c>
      <c r="Q3453" t="s">
        <v>6950</v>
      </c>
    </row>
    <row r="3454" spans="1:17" x14ac:dyDescent="0.3">
      <c r="A3454" t="s">
        <v>4446</v>
      </c>
      <c r="B3454" t="str">
        <f>"002730"</f>
        <v>002730</v>
      </c>
      <c r="C3454" t="s">
        <v>6951</v>
      </c>
      <c r="D3454" t="s">
        <v>78</v>
      </c>
      <c r="F3454">
        <v>106675474</v>
      </c>
      <c r="G3454">
        <v>116867021</v>
      </c>
      <c r="H3454">
        <v>203923530</v>
      </c>
      <c r="I3454">
        <v>4834034</v>
      </c>
      <c r="J3454">
        <v>89158118</v>
      </c>
      <c r="K3454">
        <v>71973564</v>
      </c>
      <c r="L3454">
        <v>73146441</v>
      </c>
      <c r="M3454">
        <v>-19094560</v>
      </c>
      <c r="N3454">
        <v>10443546</v>
      </c>
      <c r="O3454">
        <v>42579778</v>
      </c>
      <c r="P3454">
        <v>82</v>
      </c>
      <c r="Q3454" t="s">
        <v>6952</v>
      </c>
    </row>
    <row r="3455" spans="1:17" x14ac:dyDescent="0.3">
      <c r="A3455" t="s">
        <v>4446</v>
      </c>
      <c r="B3455" t="str">
        <f>"002731"</f>
        <v>002731</v>
      </c>
      <c r="C3455" t="s">
        <v>6953</v>
      </c>
      <c r="D3455" t="s">
        <v>227</v>
      </c>
      <c r="F3455">
        <v>108538449</v>
      </c>
      <c r="G3455">
        <v>130433135</v>
      </c>
      <c r="H3455">
        <v>-236902517</v>
      </c>
      <c r="I3455">
        <v>-192631477</v>
      </c>
      <c r="J3455">
        <v>67638015</v>
      </c>
      <c r="K3455">
        <v>369298670</v>
      </c>
      <c r="L3455">
        <v>56474177</v>
      </c>
      <c r="M3455">
        <v>208552978</v>
      </c>
      <c r="N3455">
        <v>591529772</v>
      </c>
      <c r="O3455">
        <v>161150334</v>
      </c>
      <c r="P3455">
        <v>81</v>
      </c>
      <c r="Q3455" t="s">
        <v>6954</v>
      </c>
    </row>
    <row r="3456" spans="1:17" x14ac:dyDescent="0.3">
      <c r="A3456" t="s">
        <v>4446</v>
      </c>
      <c r="B3456" t="str">
        <f>"002732"</f>
        <v>002732</v>
      </c>
      <c r="C3456" t="s">
        <v>6955</v>
      </c>
      <c r="D3456" t="s">
        <v>123</v>
      </c>
      <c r="F3456">
        <v>145597103</v>
      </c>
      <c r="G3456">
        <v>112634837</v>
      </c>
      <c r="H3456">
        <v>120682544</v>
      </c>
      <c r="I3456">
        <v>12946623</v>
      </c>
      <c r="J3456">
        <v>-128965559</v>
      </c>
      <c r="K3456">
        <v>-56451336</v>
      </c>
      <c r="L3456">
        <v>-55376381</v>
      </c>
      <c r="M3456">
        <v>26632439</v>
      </c>
      <c r="N3456">
        <v>64819246</v>
      </c>
      <c r="O3456">
        <v>65038949</v>
      </c>
      <c r="P3456">
        <v>349</v>
      </c>
      <c r="Q3456" t="s">
        <v>6956</v>
      </c>
    </row>
    <row r="3457" spans="1:17" x14ac:dyDescent="0.3">
      <c r="A3457" t="s">
        <v>4446</v>
      </c>
      <c r="B3457" t="str">
        <f>"002733"</f>
        <v>002733</v>
      </c>
      <c r="C3457" t="s">
        <v>6957</v>
      </c>
      <c r="D3457" t="s">
        <v>188</v>
      </c>
      <c r="F3457">
        <v>-230523630</v>
      </c>
      <c r="G3457">
        <v>-8365148</v>
      </c>
      <c r="H3457">
        <v>-32792687</v>
      </c>
      <c r="I3457">
        <v>-45069227</v>
      </c>
      <c r="J3457">
        <v>-219023026</v>
      </c>
      <c r="K3457">
        <v>-97878293</v>
      </c>
      <c r="L3457">
        <v>-91754029</v>
      </c>
      <c r="M3457">
        <v>19652457</v>
      </c>
      <c r="N3457">
        <v>10748398</v>
      </c>
      <c r="O3457">
        <v>-44456507</v>
      </c>
      <c r="P3457">
        <v>236</v>
      </c>
      <c r="Q3457" t="s">
        <v>6958</v>
      </c>
    </row>
    <row r="3458" spans="1:17" x14ac:dyDescent="0.3">
      <c r="A3458" t="s">
        <v>4446</v>
      </c>
      <c r="B3458" t="str">
        <f>"002734"</f>
        <v>002734</v>
      </c>
      <c r="C3458" t="s">
        <v>6959</v>
      </c>
      <c r="D3458" t="s">
        <v>133</v>
      </c>
      <c r="F3458">
        <v>-983880432</v>
      </c>
      <c r="G3458">
        <v>555153984</v>
      </c>
      <c r="H3458">
        <v>-175705002</v>
      </c>
      <c r="I3458">
        <v>54560447</v>
      </c>
      <c r="J3458">
        <v>-68983443</v>
      </c>
      <c r="K3458">
        <v>40381367</v>
      </c>
      <c r="L3458">
        <v>-121310287</v>
      </c>
      <c r="M3458">
        <v>-116028289</v>
      </c>
      <c r="N3458">
        <v>41394440</v>
      </c>
      <c r="O3458">
        <v>-71411563</v>
      </c>
      <c r="P3458">
        <v>261</v>
      </c>
      <c r="Q3458" t="s">
        <v>6960</v>
      </c>
    </row>
    <row r="3459" spans="1:17" x14ac:dyDescent="0.3">
      <c r="A3459" t="s">
        <v>4446</v>
      </c>
      <c r="B3459" t="str">
        <f>"002735"</f>
        <v>002735</v>
      </c>
      <c r="C3459" t="s">
        <v>6961</v>
      </c>
      <c r="D3459" t="s">
        <v>161</v>
      </c>
      <c r="F3459">
        <v>25546081</v>
      </c>
      <c r="G3459">
        <v>1962361</v>
      </c>
      <c r="H3459">
        <v>8756548</v>
      </c>
      <c r="I3459">
        <v>-194924490</v>
      </c>
      <c r="J3459">
        <v>-33183485</v>
      </c>
      <c r="K3459">
        <v>5681505</v>
      </c>
      <c r="L3459">
        <v>19036966</v>
      </c>
      <c r="M3459">
        <v>14054108</v>
      </c>
      <c r="N3459">
        <v>43456182</v>
      </c>
      <c r="O3459">
        <v>8423872</v>
      </c>
      <c r="P3459">
        <v>72</v>
      </c>
      <c r="Q3459" t="s">
        <v>6962</v>
      </c>
    </row>
    <row r="3460" spans="1:17" x14ac:dyDescent="0.3">
      <c r="A3460" t="s">
        <v>4446</v>
      </c>
      <c r="B3460" t="str">
        <f>"002736"</f>
        <v>002736</v>
      </c>
      <c r="C3460" t="s">
        <v>6963</v>
      </c>
      <c r="D3460" t="s">
        <v>75</v>
      </c>
      <c r="F3460">
        <v>-7313997960</v>
      </c>
      <c r="G3460">
        <v>-4210595516</v>
      </c>
      <c r="H3460">
        <v>28211378039</v>
      </c>
      <c r="I3460">
        <v>-4808747536</v>
      </c>
      <c r="J3460">
        <v>-23364648714</v>
      </c>
      <c r="K3460">
        <v>-7752514769</v>
      </c>
      <c r="L3460">
        <v>-2659431463</v>
      </c>
      <c r="M3460">
        <v>5721112888</v>
      </c>
      <c r="N3460">
        <v>-7336366630</v>
      </c>
      <c r="O3460">
        <v>-247400572</v>
      </c>
      <c r="P3460">
        <v>2389</v>
      </c>
      <c r="Q3460" t="s">
        <v>6964</v>
      </c>
    </row>
    <row r="3461" spans="1:17" x14ac:dyDescent="0.3">
      <c r="A3461" t="s">
        <v>4446</v>
      </c>
      <c r="B3461" t="str">
        <f>"002737"</f>
        <v>002737</v>
      </c>
      <c r="C3461" t="s">
        <v>6965</v>
      </c>
      <c r="D3461" t="s">
        <v>113</v>
      </c>
      <c r="F3461">
        <v>747604685</v>
      </c>
      <c r="G3461">
        <v>1054200436</v>
      </c>
      <c r="H3461">
        <v>618059452</v>
      </c>
      <c r="I3461">
        <v>573375375</v>
      </c>
      <c r="J3461">
        <v>435194641</v>
      </c>
      <c r="K3461">
        <v>182297319</v>
      </c>
      <c r="L3461">
        <v>-50769739</v>
      </c>
      <c r="M3461">
        <v>206398394</v>
      </c>
      <c r="N3461">
        <v>99260392</v>
      </c>
      <c r="O3461">
        <v>215045524</v>
      </c>
      <c r="P3461">
        <v>1118</v>
      </c>
      <c r="Q3461" t="s">
        <v>6966</v>
      </c>
    </row>
    <row r="3462" spans="1:17" x14ac:dyDescent="0.3">
      <c r="A3462" t="s">
        <v>4446</v>
      </c>
      <c r="B3462" t="str">
        <f>"002738"</f>
        <v>002738</v>
      </c>
      <c r="C3462" t="s">
        <v>6967</v>
      </c>
      <c r="D3462" t="s">
        <v>234</v>
      </c>
      <c r="F3462">
        <v>359068872</v>
      </c>
      <c r="G3462">
        <v>59772893</v>
      </c>
      <c r="H3462">
        <v>218787908</v>
      </c>
      <c r="I3462">
        <v>-20742517</v>
      </c>
      <c r="J3462">
        <v>-7969006</v>
      </c>
      <c r="K3462">
        <v>-74379663</v>
      </c>
      <c r="L3462">
        <v>-93267595</v>
      </c>
      <c r="M3462">
        <v>-40946317</v>
      </c>
      <c r="N3462">
        <v>-83300011</v>
      </c>
      <c r="O3462">
        <v>-34639857</v>
      </c>
      <c r="P3462">
        <v>192</v>
      </c>
      <c r="Q3462" t="s">
        <v>6968</v>
      </c>
    </row>
    <row r="3463" spans="1:17" x14ac:dyDescent="0.3">
      <c r="A3463" t="s">
        <v>4446</v>
      </c>
      <c r="B3463" t="str">
        <f>"002739"</f>
        <v>002739</v>
      </c>
      <c r="C3463" t="s">
        <v>6969</v>
      </c>
      <c r="D3463" t="s">
        <v>89</v>
      </c>
      <c r="F3463">
        <v>1422655339</v>
      </c>
      <c r="G3463">
        <v>-328925758</v>
      </c>
      <c r="H3463">
        <v>244586894</v>
      </c>
      <c r="I3463">
        <v>-203745399</v>
      </c>
      <c r="J3463">
        <v>290467183</v>
      </c>
      <c r="K3463">
        <v>432949164</v>
      </c>
      <c r="L3463">
        <v>992185305</v>
      </c>
      <c r="M3463">
        <v>589806194</v>
      </c>
      <c r="N3463">
        <v>481670979</v>
      </c>
      <c r="O3463">
        <v>358789762</v>
      </c>
      <c r="P3463">
        <v>911</v>
      </c>
      <c r="Q3463" t="s">
        <v>6970</v>
      </c>
    </row>
    <row r="3464" spans="1:17" x14ac:dyDescent="0.3">
      <c r="A3464" t="s">
        <v>4446</v>
      </c>
      <c r="B3464" t="str">
        <f>"002740"</f>
        <v>002740</v>
      </c>
      <c r="C3464" t="s">
        <v>6971</v>
      </c>
      <c r="D3464" t="s">
        <v>227</v>
      </c>
      <c r="F3464">
        <v>-24336201</v>
      </c>
      <c r="G3464">
        <v>-36084520</v>
      </c>
      <c r="H3464">
        <v>-34139129</v>
      </c>
      <c r="I3464">
        <v>-79483439</v>
      </c>
      <c r="J3464">
        <v>-364747927</v>
      </c>
      <c r="K3464">
        <v>-38145340</v>
      </c>
      <c r="L3464">
        <v>-133554289</v>
      </c>
      <c r="M3464">
        <v>-42451362</v>
      </c>
      <c r="N3464">
        <v>40856921</v>
      </c>
      <c r="O3464">
        <v>22215180</v>
      </c>
      <c r="P3464">
        <v>78</v>
      </c>
      <c r="Q3464" t="s">
        <v>6972</v>
      </c>
    </row>
    <row r="3465" spans="1:17" x14ac:dyDescent="0.3">
      <c r="A3465" t="s">
        <v>4446</v>
      </c>
      <c r="B3465" t="str">
        <f>"002741"</f>
        <v>002741</v>
      </c>
      <c r="C3465" t="s">
        <v>6973</v>
      </c>
      <c r="D3465" t="s">
        <v>150</v>
      </c>
      <c r="F3465">
        <v>82040105</v>
      </c>
      <c r="G3465">
        <v>122274938</v>
      </c>
      <c r="H3465">
        <v>-89467768</v>
      </c>
      <c r="I3465">
        <v>-451141963</v>
      </c>
      <c r="J3465">
        <v>-241555197</v>
      </c>
      <c r="K3465">
        <v>-88789088</v>
      </c>
      <c r="L3465">
        <v>-115000099</v>
      </c>
      <c r="M3465">
        <v>-3119589</v>
      </c>
      <c r="N3465">
        <v>-9903546</v>
      </c>
      <c r="O3465">
        <v>23985505</v>
      </c>
      <c r="P3465">
        <v>187</v>
      </c>
      <c r="Q3465" t="s">
        <v>6974</v>
      </c>
    </row>
    <row r="3466" spans="1:17" x14ac:dyDescent="0.3">
      <c r="A3466" t="s">
        <v>4446</v>
      </c>
      <c r="B3466" t="str">
        <f>"002742"</f>
        <v>002742</v>
      </c>
      <c r="C3466" t="s">
        <v>6975</v>
      </c>
      <c r="D3466" t="s">
        <v>350</v>
      </c>
      <c r="F3466">
        <v>119504262</v>
      </c>
      <c r="G3466">
        <v>49789940</v>
      </c>
      <c r="H3466">
        <v>-255957320</v>
      </c>
      <c r="I3466">
        <v>-288334545</v>
      </c>
      <c r="J3466">
        <v>-129366021</v>
      </c>
      <c r="K3466">
        <v>-120423867</v>
      </c>
      <c r="L3466">
        <v>-92017718</v>
      </c>
      <c r="M3466">
        <v>-159720363</v>
      </c>
      <c r="N3466">
        <v>-133229974</v>
      </c>
      <c r="O3466">
        <v>-9308019</v>
      </c>
      <c r="P3466">
        <v>67</v>
      </c>
      <c r="Q3466" t="s">
        <v>6976</v>
      </c>
    </row>
    <row r="3467" spans="1:17" x14ac:dyDescent="0.3">
      <c r="A3467" t="s">
        <v>4446</v>
      </c>
      <c r="B3467" t="str">
        <f>"002743"</f>
        <v>002743</v>
      </c>
      <c r="C3467" t="s">
        <v>6977</v>
      </c>
      <c r="D3467" t="s">
        <v>95</v>
      </c>
      <c r="F3467">
        <v>-735073081</v>
      </c>
      <c r="G3467">
        <v>133412374</v>
      </c>
      <c r="H3467">
        <v>251566252</v>
      </c>
      <c r="I3467">
        <v>-41675046</v>
      </c>
      <c r="J3467">
        <v>-1041415960</v>
      </c>
      <c r="K3467">
        <v>-857951762</v>
      </c>
      <c r="L3467">
        <v>60576038</v>
      </c>
      <c r="M3467">
        <v>-102296456</v>
      </c>
      <c r="N3467">
        <v>-305966305</v>
      </c>
      <c r="O3467">
        <v>-11624750</v>
      </c>
      <c r="P3467">
        <v>77</v>
      </c>
      <c r="Q3467" t="s">
        <v>6978</v>
      </c>
    </row>
    <row r="3468" spans="1:17" x14ac:dyDescent="0.3">
      <c r="A3468" t="s">
        <v>4446</v>
      </c>
      <c r="B3468" t="str">
        <f>"002745"</f>
        <v>002745</v>
      </c>
      <c r="C3468" t="s">
        <v>6979</v>
      </c>
      <c r="D3468" t="s">
        <v>150</v>
      </c>
      <c r="F3468">
        <v>3480443261</v>
      </c>
      <c r="G3468">
        <v>248815186</v>
      </c>
      <c r="H3468">
        <v>102786518</v>
      </c>
      <c r="I3468">
        <v>-1673618516</v>
      </c>
      <c r="J3468">
        <v>-1058378771</v>
      </c>
      <c r="K3468">
        <v>-1016334027</v>
      </c>
      <c r="L3468">
        <v>-181154945</v>
      </c>
      <c r="M3468">
        <v>408410689</v>
      </c>
      <c r="N3468">
        <v>399129741</v>
      </c>
      <c r="O3468">
        <v>233814236</v>
      </c>
      <c r="P3468">
        <v>324</v>
      </c>
      <c r="Q3468" t="s">
        <v>6980</v>
      </c>
    </row>
    <row r="3469" spans="1:17" x14ac:dyDescent="0.3">
      <c r="A3469" t="s">
        <v>4446</v>
      </c>
      <c r="B3469" t="str">
        <f>"002746"</f>
        <v>002746</v>
      </c>
      <c r="C3469" t="s">
        <v>6981</v>
      </c>
      <c r="D3469" t="s">
        <v>205</v>
      </c>
      <c r="F3469">
        <v>-561941593</v>
      </c>
      <c r="G3469">
        <v>79718148</v>
      </c>
      <c r="H3469">
        <v>812935772</v>
      </c>
      <c r="I3469">
        <v>408792040</v>
      </c>
      <c r="J3469">
        <v>92047286</v>
      </c>
      <c r="K3469">
        <v>148578312</v>
      </c>
      <c r="L3469">
        <v>30993888</v>
      </c>
      <c r="M3469">
        <v>32461500</v>
      </c>
      <c r="N3469">
        <v>-108215280</v>
      </c>
      <c r="O3469">
        <v>-6028318</v>
      </c>
      <c r="P3469">
        <v>457</v>
      </c>
      <c r="Q3469" t="s">
        <v>6982</v>
      </c>
    </row>
    <row r="3470" spans="1:17" x14ac:dyDescent="0.3">
      <c r="A3470" t="s">
        <v>4446</v>
      </c>
      <c r="B3470" t="str">
        <f>"002747"</f>
        <v>002747</v>
      </c>
      <c r="C3470" t="s">
        <v>6983</v>
      </c>
      <c r="D3470" t="s">
        <v>78</v>
      </c>
      <c r="F3470">
        <v>217557073</v>
      </c>
      <c r="G3470">
        <v>387503293</v>
      </c>
      <c r="H3470">
        <v>4644970</v>
      </c>
      <c r="I3470">
        <v>-204451205</v>
      </c>
      <c r="J3470">
        <v>-257767033</v>
      </c>
      <c r="K3470">
        <v>-180576661</v>
      </c>
      <c r="L3470">
        <v>-100802032</v>
      </c>
      <c r="M3470">
        <v>-18397043</v>
      </c>
      <c r="N3470">
        <v>11318545</v>
      </c>
      <c r="O3470">
        <v>14062696</v>
      </c>
      <c r="P3470">
        <v>474</v>
      </c>
      <c r="Q3470" t="s">
        <v>6984</v>
      </c>
    </row>
    <row r="3471" spans="1:17" x14ac:dyDescent="0.3">
      <c r="A3471" t="s">
        <v>4446</v>
      </c>
      <c r="B3471" t="str">
        <f>"002748"</f>
        <v>002748</v>
      </c>
      <c r="C3471" t="s">
        <v>6985</v>
      </c>
      <c r="D3471" t="s">
        <v>133</v>
      </c>
      <c r="F3471">
        <v>354992891</v>
      </c>
      <c r="G3471">
        <v>-131163603</v>
      </c>
      <c r="H3471">
        <v>-285831797</v>
      </c>
      <c r="I3471">
        <v>-121062707</v>
      </c>
      <c r="J3471">
        <v>2948514</v>
      </c>
      <c r="K3471">
        <v>-1493004</v>
      </c>
      <c r="L3471">
        <v>-31556235</v>
      </c>
      <c r="M3471">
        <v>32519776</v>
      </c>
      <c r="N3471">
        <v>43394663</v>
      </c>
      <c r="O3471">
        <v>20838131</v>
      </c>
      <c r="P3471">
        <v>76</v>
      </c>
      <c r="Q3471" t="s">
        <v>6986</v>
      </c>
    </row>
    <row r="3472" spans="1:17" x14ac:dyDescent="0.3">
      <c r="A3472" t="s">
        <v>4446</v>
      </c>
      <c r="B3472" t="str">
        <f>"002749"</f>
        <v>002749</v>
      </c>
      <c r="C3472" t="s">
        <v>6987</v>
      </c>
      <c r="D3472" t="s">
        <v>133</v>
      </c>
      <c r="F3472">
        <v>288318372</v>
      </c>
      <c r="G3472">
        <v>154078466</v>
      </c>
      <c r="H3472">
        <v>121213397</v>
      </c>
      <c r="I3472">
        <v>30569556</v>
      </c>
      <c r="J3472">
        <v>160888872</v>
      </c>
      <c r="K3472">
        <v>140400882</v>
      </c>
      <c r="L3472">
        <v>114799741</v>
      </c>
      <c r="M3472">
        <v>100366722</v>
      </c>
      <c r="N3472">
        <v>123555500</v>
      </c>
      <c r="O3472">
        <v>108429756</v>
      </c>
      <c r="P3472">
        <v>9781</v>
      </c>
      <c r="Q3472" t="s">
        <v>6988</v>
      </c>
    </row>
    <row r="3473" spans="1:17" x14ac:dyDescent="0.3">
      <c r="A3473" t="s">
        <v>4446</v>
      </c>
      <c r="B3473" t="str">
        <f>"002750"</f>
        <v>002750</v>
      </c>
      <c r="C3473" t="s">
        <v>6989</v>
      </c>
      <c r="D3473" t="s">
        <v>113</v>
      </c>
      <c r="F3473">
        <v>-24740815</v>
      </c>
      <c r="G3473">
        <v>-30042214</v>
      </c>
      <c r="H3473">
        <v>-3030301</v>
      </c>
      <c r="I3473">
        <v>16167277</v>
      </c>
      <c r="J3473">
        <v>40518350</v>
      </c>
      <c r="K3473">
        <v>80816514</v>
      </c>
      <c r="L3473">
        <v>46620801</v>
      </c>
      <c r="M3473">
        <v>51690135</v>
      </c>
      <c r="N3473">
        <v>46996444</v>
      </c>
      <c r="O3473">
        <v>17026290</v>
      </c>
      <c r="P3473">
        <v>142</v>
      </c>
      <c r="Q3473" t="s">
        <v>6990</v>
      </c>
    </row>
    <row r="3474" spans="1:17" x14ac:dyDescent="0.3">
      <c r="A3474" t="s">
        <v>4446</v>
      </c>
      <c r="B3474" t="str">
        <f>"002751"</f>
        <v>002751</v>
      </c>
      <c r="C3474" t="s">
        <v>6991</v>
      </c>
      <c r="D3474" t="s">
        <v>110</v>
      </c>
      <c r="F3474">
        <v>-414712705</v>
      </c>
      <c r="G3474">
        <v>100841836</v>
      </c>
      <c r="H3474">
        <v>94341267</v>
      </c>
      <c r="I3474">
        <v>-287713436</v>
      </c>
      <c r="J3474">
        <v>-365554034</v>
      </c>
      <c r="K3474">
        <v>-170661157</v>
      </c>
      <c r="L3474">
        <v>-874288567</v>
      </c>
      <c r="M3474">
        <v>-51005584</v>
      </c>
      <c r="N3474">
        <v>27088325</v>
      </c>
      <c r="O3474">
        <v>42149951</v>
      </c>
      <c r="P3474">
        <v>145</v>
      </c>
      <c r="Q3474" t="s">
        <v>6992</v>
      </c>
    </row>
    <row r="3475" spans="1:17" x14ac:dyDescent="0.3">
      <c r="A3475" t="s">
        <v>4446</v>
      </c>
      <c r="B3475" t="str">
        <f>"002752"</f>
        <v>002752</v>
      </c>
      <c r="C3475" t="s">
        <v>6993</v>
      </c>
      <c r="D3475" t="s">
        <v>161</v>
      </c>
      <c r="F3475">
        <v>-563336485</v>
      </c>
      <c r="G3475">
        <v>42019820</v>
      </c>
      <c r="H3475">
        <v>80795898</v>
      </c>
      <c r="I3475">
        <v>-382456483</v>
      </c>
      <c r="J3475">
        <v>-46854599</v>
      </c>
      <c r="K3475">
        <v>133450188</v>
      </c>
      <c r="L3475">
        <v>-64729310</v>
      </c>
      <c r="M3475">
        <v>-228295182</v>
      </c>
      <c r="N3475">
        <v>-36653069</v>
      </c>
      <c r="O3475">
        <v>-290666599</v>
      </c>
      <c r="P3475">
        <v>79</v>
      </c>
      <c r="Q3475" t="s">
        <v>6994</v>
      </c>
    </row>
    <row r="3476" spans="1:17" x14ac:dyDescent="0.3">
      <c r="A3476" t="s">
        <v>4446</v>
      </c>
      <c r="B3476" t="str">
        <f>"002753"</f>
        <v>002753</v>
      </c>
      <c r="C3476" t="s">
        <v>6995</v>
      </c>
      <c r="D3476" t="s">
        <v>133</v>
      </c>
      <c r="F3476">
        <v>-161726441</v>
      </c>
      <c r="G3476">
        <v>78556615</v>
      </c>
      <c r="H3476">
        <v>-104666748</v>
      </c>
      <c r="I3476">
        <v>408060</v>
      </c>
      <c r="J3476">
        <v>-197668555</v>
      </c>
      <c r="K3476">
        <v>-13225683</v>
      </c>
      <c r="L3476">
        <v>11333754</v>
      </c>
      <c r="M3476">
        <v>-12022667</v>
      </c>
      <c r="N3476">
        <v>15079407</v>
      </c>
      <c r="O3476">
        <v>-24288488</v>
      </c>
      <c r="P3476">
        <v>170</v>
      </c>
      <c r="Q3476" t="s">
        <v>6996</v>
      </c>
    </row>
    <row r="3477" spans="1:17" x14ac:dyDescent="0.3">
      <c r="A3477" t="s">
        <v>4446</v>
      </c>
      <c r="B3477" t="str">
        <f>"002755"</f>
        <v>002755</v>
      </c>
      <c r="C3477" t="s">
        <v>6997</v>
      </c>
      <c r="D3477" t="s">
        <v>113</v>
      </c>
      <c r="F3477">
        <v>434888326</v>
      </c>
      <c r="G3477">
        <v>380712409</v>
      </c>
      <c r="H3477">
        <v>366480647</v>
      </c>
      <c r="I3477">
        <v>401387945</v>
      </c>
      <c r="J3477">
        <v>-53852505</v>
      </c>
      <c r="K3477">
        <v>12648502</v>
      </c>
      <c r="L3477">
        <v>-2563922</v>
      </c>
      <c r="M3477">
        <v>-37078120</v>
      </c>
      <c r="N3477">
        <v>-16140442</v>
      </c>
      <c r="O3477">
        <v>101882228</v>
      </c>
      <c r="P3477">
        <v>307</v>
      </c>
      <c r="Q3477" t="s">
        <v>6998</v>
      </c>
    </row>
    <row r="3478" spans="1:17" x14ac:dyDescent="0.3">
      <c r="A3478" t="s">
        <v>4446</v>
      </c>
      <c r="B3478" t="str">
        <f>"002756"</f>
        <v>002756</v>
      </c>
      <c r="C3478" t="s">
        <v>6999</v>
      </c>
      <c r="D3478" t="s">
        <v>38</v>
      </c>
      <c r="F3478">
        <v>498343438</v>
      </c>
      <c r="G3478">
        <v>429155811</v>
      </c>
      <c r="H3478">
        <v>135552186</v>
      </c>
      <c r="I3478">
        <v>129782295</v>
      </c>
      <c r="J3478">
        <v>131509093</v>
      </c>
      <c r="K3478">
        <v>-36538647</v>
      </c>
      <c r="L3478">
        <v>-253061606</v>
      </c>
      <c r="M3478">
        <v>148767330</v>
      </c>
      <c r="N3478">
        <v>88125750</v>
      </c>
      <c r="O3478">
        <v>150623436</v>
      </c>
      <c r="P3478">
        <v>307</v>
      </c>
      <c r="Q3478" t="s">
        <v>7000</v>
      </c>
    </row>
    <row r="3479" spans="1:17" x14ac:dyDescent="0.3">
      <c r="A3479" t="s">
        <v>4446</v>
      </c>
      <c r="B3479" t="str">
        <f>"002757"</f>
        <v>002757</v>
      </c>
      <c r="C3479" t="s">
        <v>7001</v>
      </c>
      <c r="D3479" t="s">
        <v>78</v>
      </c>
      <c r="F3479">
        <v>-18370103</v>
      </c>
      <c r="G3479">
        <v>187538439</v>
      </c>
      <c r="H3479">
        <v>19377214</v>
      </c>
      <c r="I3479">
        <v>106159498</v>
      </c>
      <c r="J3479">
        <v>22129366</v>
      </c>
      <c r="K3479">
        <v>74418998</v>
      </c>
      <c r="L3479">
        <v>-24914178</v>
      </c>
      <c r="M3479">
        <v>8812494</v>
      </c>
      <c r="N3479">
        <v>6431825</v>
      </c>
      <c r="O3479">
        <v>-10915653</v>
      </c>
      <c r="P3479">
        <v>267</v>
      </c>
      <c r="Q3479" t="s">
        <v>7002</v>
      </c>
    </row>
    <row r="3480" spans="1:17" x14ac:dyDescent="0.3">
      <c r="A3480" t="s">
        <v>4446</v>
      </c>
      <c r="B3480" t="str">
        <f>"002758"</f>
        <v>002758</v>
      </c>
      <c r="C3480" t="s">
        <v>7003</v>
      </c>
      <c r="D3480" t="s">
        <v>113</v>
      </c>
      <c r="F3480">
        <v>1129130850</v>
      </c>
      <c r="G3480">
        <v>1467944639</v>
      </c>
      <c r="H3480">
        <v>34743946</v>
      </c>
      <c r="I3480">
        <v>-15979578</v>
      </c>
      <c r="J3480">
        <v>-147367420</v>
      </c>
      <c r="K3480">
        <v>-88293404</v>
      </c>
      <c r="L3480">
        <v>-44873895</v>
      </c>
      <c r="M3480">
        <v>70493293</v>
      </c>
      <c r="N3480">
        <v>55614351</v>
      </c>
      <c r="O3480">
        <v>15665524</v>
      </c>
      <c r="P3480">
        <v>180</v>
      </c>
      <c r="Q3480" t="s">
        <v>7004</v>
      </c>
    </row>
    <row r="3481" spans="1:17" x14ac:dyDescent="0.3">
      <c r="A3481" t="s">
        <v>4446</v>
      </c>
      <c r="B3481" t="str">
        <f>"002759"</f>
        <v>002759</v>
      </c>
      <c r="C3481" t="s">
        <v>7005</v>
      </c>
      <c r="D3481" t="s">
        <v>188</v>
      </c>
      <c r="F3481">
        <v>508852744</v>
      </c>
      <c r="G3481">
        <v>2021591</v>
      </c>
      <c r="H3481">
        <v>-58045957</v>
      </c>
      <c r="I3481">
        <v>-3462245</v>
      </c>
      <c r="J3481">
        <v>-136545654</v>
      </c>
      <c r="K3481">
        <v>41816380</v>
      </c>
      <c r="L3481">
        <v>-206222930</v>
      </c>
      <c r="M3481">
        <v>-14922951</v>
      </c>
      <c r="N3481">
        <v>-9342828</v>
      </c>
      <c r="O3481">
        <v>48520532</v>
      </c>
      <c r="P3481">
        <v>251</v>
      </c>
      <c r="Q3481" t="s">
        <v>7006</v>
      </c>
    </row>
    <row r="3482" spans="1:17" x14ac:dyDescent="0.3">
      <c r="A3482" t="s">
        <v>4446</v>
      </c>
      <c r="B3482" t="str">
        <f>"002760"</f>
        <v>002760</v>
      </c>
      <c r="C3482" t="s">
        <v>7007</v>
      </c>
      <c r="D3482" t="s">
        <v>78</v>
      </c>
      <c r="F3482">
        <v>114455657</v>
      </c>
      <c r="G3482">
        <v>69746317</v>
      </c>
      <c r="H3482">
        <v>73909948</v>
      </c>
      <c r="I3482">
        <v>96257251</v>
      </c>
      <c r="J3482">
        <v>-29135739</v>
      </c>
      <c r="K3482">
        <v>-59821910</v>
      </c>
      <c r="L3482">
        <v>-83268880</v>
      </c>
      <c r="M3482">
        <v>-40807928</v>
      </c>
      <c r="N3482">
        <v>191054</v>
      </c>
      <c r="O3482">
        <v>36083890</v>
      </c>
      <c r="P3482">
        <v>72</v>
      </c>
      <c r="Q3482" t="s">
        <v>7008</v>
      </c>
    </row>
    <row r="3483" spans="1:17" x14ac:dyDescent="0.3">
      <c r="A3483" t="s">
        <v>4446</v>
      </c>
      <c r="B3483" t="str">
        <f>"002761"</f>
        <v>002761</v>
      </c>
      <c r="C3483" t="s">
        <v>7009</v>
      </c>
      <c r="D3483" t="s">
        <v>95</v>
      </c>
      <c r="F3483">
        <v>-1061209350</v>
      </c>
      <c r="G3483">
        <v>286615917</v>
      </c>
      <c r="H3483">
        <v>-1392222346</v>
      </c>
      <c r="I3483">
        <v>53980546</v>
      </c>
      <c r="J3483">
        <v>8005143</v>
      </c>
      <c r="K3483">
        <v>-64571831</v>
      </c>
      <c r="L3483">
        <v>-75841550</v>
      </c>
      <c r="M3483">
        <v>-40911971</v>
      </c>
      <c r="N3483">
        <v>27289225</v>
      </c>
      <c r="O3483">
        <v>19528337</v>
      </c>
      <c r="P3483">
        <v>195</v>
      </c>
      <c r="Q3483" t="s">
        <v>7010</v>
      </c>
    </row>
    <row r="3484" spans="1:17" x14ac:dyDescent="0.3">
      <c r="A3484" t="s">
        <v>4446</v>
      </c>
      <c r="B3484" t="str">
        <f>"002762"</f>
        <v>002762</v>
      </c>
      <c r="C3484" t="s">
        <v>7011</v>
      </c>
      <c r="D3484" t="s">
        <v>227</v>
      </c>
      <c r="F3484">
        <v>16112925</v>
      </c>
      <c r="G3484">
        <v>52270670</v>
      </c>
      <c r="H3484">
        <v>63213491</v>
      </c>
      <c r="I3484">
        <v>-624147</v>
      </c>
      <c r="J3484">
        <v>10649044</v>
      </c>
      <c r="K3484">
        <v>71391076</v>
      </c>
      <c r="L3484">
        <v>-72090298</v>
      </c>
      <c r="M3484">
        <v>102637125</v>
      </c>
      <c r="N3484">
        <v>49269049</v>
      </c>
      <c r="O3484">
        <v>24746853</v>
      </c>
      <c r="P3484">
        <v>128</v>
      </c>
      <c r="Q3484" t="s">
        <v>7012</v>
      </c>
    </row>
    <row r="3485" spans="1:17" x14ac:dyDescent="0.3">
      <c r="A3485" t="s">
        <v>4446</v>
      </c>
      <c r="B3485" t="str">
        <f>"002763"</f>
        <v>002763</v>
      </c>
      <c r="C3485" t="s">
        <v>7013</v>
      </c>
      <c r="D3485" t="s">
        <v>227</v>
      </c>
      <c r="F3485">
        <v>406473412</v>
      </c>
      <c r="G3485">
        <v>353079516</v>
      </c>
      <c r="H3485">
        <v>208294676</v>
      </c>
      <c r="I3485">
        <v>81727550</v>
      </c>
      <c r="J3485">
        <v>436773519</v>
      </c>
      <c r="K3485">
        <v>111674703</v>
      </c>
      <c r="L3485">
        <v>134621765</v>
      </c>
      <c r="M3485">
        <v>144842554</v>
      </c>
      <c r="N3485">
        <v>220059046</v>
      </c>
      <c r="O3485">
        <v>89431872</v>
      </c>
      <c r="P3485">
        <v>293</v>
      </c>
      <c r="Q3485" t="s">
        <v>7014</v>
      </c>
    </row>
    <row r="3486" spans="1:17" x14ac:dyDescent="0.3">
      <c r="A3486" t="s">
        <v>4446</v>
      </c>
      <c r="B3486" t="str">
        <f>"002765"</f>
        <v>002765</v>
      </c>
      <c r="C3486" t="s">
        <v>7015</v>
      </c>
      <c r="D3486" t="s">
        <v>150</v>
      </c>
      <c r="F3486">
        <v>24258074</v>
      </c>
      <c r="G3486">
        <v>-39017365</v>
      </c>
      <c r="H3486">
        <v>-157856323</v>
      </c>
      <c r="I3486">
        <v>36295521</v>
      </c>
      <c r="J3486">
        <v>-70662308</v>
      </c>
      <c r="K3486">
        <v>-299157392</v>
      </c>
      <c r="L3486">
        <v>-31151584</v>
      </c>
      <c r="M3486">
        <v>-33067882</v>
      </c>
      <c r="N3486">
        <v>11538693</v>
      </c>
      <c r="O3486">
        <v>-2406034</v>
      </c>
      <c r="P3486">
        <v>119</v>
      </c>
      <c r="Q3486" t="s">
        <v>7016</v>
      </c>
    </row>
    <row r="3487" spans="1:17" x14ac:dyDescent="0.3">
      <c r="A3487" t="s">
        <v>4446</v>
      </c>
      <c r="B3487" t="str">
        <f>"002766"</f>
        <v>002766</v>
      </c>
      <c r="C3487" t="s">
        <v>7017</v>
      </c>
      <c r="D3487" t="s">
        <v>27</v>
      </c>
      <c r="F3487">
        <v>-37180264</v>
      </c>
      <c r="G3487">
        <v>-94009690</v>
      </c>
      <c r="H3487">
        <v>39641263</v>
      </c>
      <c r="I3487">
        <v>-1030285208</v>
      </c>
      <c r="J3487">
        <v>-350988298</v>
      </c>
      <c r="K3487">
        <v>-154399383</v>
      </c>
      <c r="L3487">
        <v>18060701</v>
      </c>
      <c r="M3487">
        <v>-45128372</v>
      </c>
      <c r="N3487">
        <v>25142232</v>
      </c>
      <c r="O3487">
        <v>12694720</v>
      </c>
      <c r="P3487">
        <v>85</v>
      </c>
      <c r="Q3487" t="s">
        <v>7018</v>
      </c>
    </row>
    <row r="3488" spans="1:17" x14ac:dyDescent="0.3">
      <c r="A3488" t="s">
        <v>4446</v>
      </c>
      <c r="B3488" t="str">
        <f>"002767"</f>
        <v>002767</v>
      </c>
      <c r="C3488" t="s">
        <v>7019</v>
      </c>
      <c r="D3488" t="s">
        <v>78</v>
      </c>
      <c r="F3488">
        <v>-90132184</v>
      </c>
      <c r="G3488">
        <v>-46937243</v>
      </c>
      <c r="H3488">
        <v>-54870335</v>
      </c>
      <c r="I3488">
        <v>-32672335</v>
      </c>
      <c r="J3488">
        <v>-7020533</v>
      </c>
      <c r="K3488">
        <v>39239425</v>
      </c>
      <c r="L3488">
        <v>34324643</v>
      </c>
      <c r="M3488">
        <v>44229849</v>
      </c>
      <c r="N3488">
        <v>47873029</v>
      </c>
      <c r="O3488">
        <v>49588679</v>
      </c>
      <c r="P3488">
        <v>73</v>
      </c>
      <c r="Q3488" t="s">
        <v>7020</v>
      </c>
    </row>
    <row r="3489" spans="1:17" x14ac:dyDescent="0.3">
      <c r="A3489" t="s">
        <v>4446</v>
      </c>
      <c r="B3489" t="str">
        <f>"002768"</f>
        <v>002768</v>
      </c>
      <c r="C3489" t="s">
        <v>7021</v>
      </c>
      <c r="D3489" t="s">
        <v>133</v>
      </c>
      <c r="F3489">
        <v>260501297</v>
      </c>
      <c r="G3489">
        <v>-203675190</v>
      </c>
      <c r="H3489">
        <v>-189068618</v>
      </c>
      <c r="I3489">
        <v>-237032635</v>
      </c>
      <c r="J3489">
        <v>-148717830</v>
      </c>
      <c r="K3489">
        <v>-131249446</v>
      </c>
      <c r="L3489">
        <v>-127903595</v>
      </c>
      <c r="M3489">
        <v>-13090625</v>
      </c>
      <c r="N3489">
        <v>-44153088</v>
      </c>
      <c r="O3489">
        <v>-21846988</v>
      </c>
      <c r="P3489">
        <v>596</v>
      </c>
      <c r="Q3489" t="s">
        <v>7022</v>
      </c>
    </row>
    <row r="3490" spans="1:17" x14ac:dyDescent="0.3">
      <c r="A3490" t="s">
        <v>4446</v>
      </c>
      <c r="B3490" t="str">
        <f>"002769"</f>
        <v>002769</v>
      </c>
      <c r="C3490" t="s">
        <v>7023</v>
      </c>
      <c r="D3490" t="s">
        <v>22</v>
      </c>
      <c r="F3490">
        <v>-405022033</v>
      </c>
      <c r="G3490">
        <v>9582218</v>
      </c>
      <c r="H3490">
        <v>-283330509</v>
      </c>
      <c r="I3490">
        <v>-512896407</v>
      </c>
      <c r="J3490">
        <v>366290205</v>
      </c>
      <c r="K3490">
        <v>-621679770</v>
      </c>
      <c r="L3490">
        <v>154355350</v>
      </c>
      <c r="M3490">
        <v>35401380</v>
      </c>
      <c r="N3490">
        <v>47231537</v>
      </c>
      <c r="O3490">
        <v>-57004510</v>
      </c>
      <c r="P3490">
        <v>96</v>
      </c>
      <c r="Q3490" t="s">
        <v>7024</v>
      </c>
    </row>
    <row r="3491" spans="1:17" x14ac:dyDescent="0.3">
      <c r="A3491" t="s">
        <v>4446</v>
      </c>
      <c r="B3491" t="str">
        <f>"002770"</f>
        <v>002770</v>
      </c>
      <c r="C3491" t="s">
        <v>7025</v>
      </c>
      <c r="D3491" t="s">
        <v>123</v>
      </c>
      <c r="F3491">
        <v>-6567644</v>
      </c>
      <c r="G3491">
        <v>429514</v>
      </c>
      <c r="H3491">
        <v>70828204</v>
      </c>
      <c r="I3491">
        <v>465752582</v>
      </c>
      <c r="J3491">
        <v>-16461155</v>
      </c>
      <c r="K3491">
        <v>174341821</v>
      </c>
      <c r="L3491">
        <v>24882783</v>
      </c>
      <c r="M3491">
        <v>-151658633</v>
      </c>
      <c r="N3491">
        <v>-168130684</v>
      </c>
      <c r="O3491">
        <v>-96368128</v>
      </c>
      <c r="P3491">
        <v>163</v>
      </c>
      <c r="Q3491" t="s">
        <v>7026</v>
      </c>
    </row>
    <row r="3492" spans="1:17" x14ac:dyDescent="0.3">
      <c r="A3492" t="s">
        <v>4446</v>
      </c>
      <c r="B3492" t="str">
        <f>"002771"</f>
        <v>002771</v>
      </c>
      <c r="C3492" t="s">
        <v>7027</v>
      </c>
      <c r="D3492" t="s">
        <v>212</v>
      </c>
      <c r="F3492">
        <v>52130816</v>
      </c>
      <c r="G3492">
        <v>46604086</v>
      </c>
      <c r="H3492">
        <v>21507774</v>
      </c>
      <c r="I3492">
        <v>-142388372</v>
      </c>
      <c r="J3492">
        <v>42261152</v>
      </c>
      <c r="K3492">
        <v>15038386</v>
      </c>
      <c r="L3492">
        <v>-26963162</v>
      </c>
      <c r="M3492">
        <v>64550569</v>
      </c>
      <c r="N3492">
        <v>31060865</v>
      </c>
      <c r="O3492">
        <v>28867032</v>
      </c>
      <c r="P3492">
        <v>95</v>
      </c>
      <c r="Q3492" t="s">
        <v>7028</v>
      </c>
    </row>
    <row r="3493" spans="1:17" x14ac:dyDescent="0.3">
      <c r="A3493" t="s">
        <v>4446</v>
      </c>
      <c r="B3493" t="str">
        <f>"002772"</f>
        <v>002772</v>
      </c>
      <c r="C3493" t="s">
        <v>7029</v>
      </c>
      <c r="D3493" t="s">
        <v>205</v>
      </c>
      <c r="F3493">
        <v>-699761421</v>
      </c>
      <c r="G3493">
        <v>9575502</v>
      </c>
      <c r="H3493">
        <v>-304463567</v>
      </c>
      <c r="I3493">
        <v>-419633998</v>
      </c>
      <c r="J3493">
        <v>-294809009</v>
      </c>
      <c r="K3493">
        <v>-245827804</v>
      </c>
      <c r="L3493">
        <v>23767790</v>
      </c>
      <c r="M3493">
        <v>-20934428</v>
      </c>
      <c r="N3493">
        <v>-78711089</v>
      </c>
      <c r="O3493">
        <v>-138460095</v>
      </c>
      <c r="P3493">
        <v>202</v>
      </c>
      <c r="Q3493" t="s">
        <v>7030</v>
      </c>
    </row>
    <row r="3494" spans="1:17" x14ac:dyDescent="0.3">
      <c r="A3494" t="s">
        <v>4446</v>
      </c>
      <c r="B3494" t="str">
        <f>"002773"</f>
        <v>002773</v>
      </c>
      <c r="C3494" t="s">
        <v>7031</v>
      </c>
      <c r="D3494" t="s">
        <v>113</v>
      </c>
      <c r="F3494">
        <v>-75222669</v>
      </c>
      <c r="G3494">
        <v>-343713106</v>
      </c>
      <c r="H3494">
        <v>-150729905</v>
      </c>
      <c r="I3494">
        <v>-107238064</v>
      </c>
      <c r="J3494">
        <v>454032465</v>
      </c>
      <c r="K3494">
        <v>676387241</v>
      </c>
      <c r="L3494">
        <v>366269241</v>
      </c>
      <c r="M3494">
        <v>201491800</v>
      </c>
      <c r="N3494">
        <v>256165242</v>
      </c>
      <c r="O3494">
        <v>152583958</v>
      </c>
      <c r="P3494">
        <v>5281</v>
      </c>
      <c r="Q3494" t="s">
        <v>7032</v>
      </c>
    </row>
    <row r="3495" spans="1:17" x14ac:dyDescent="0.3">
      <c r="A3495" t="s">
        <v>4446</v>
      </c>
      <c r="B3495" t="str">
        <f>"002774"</f>
        <v>002774</v>
      </c>
      <c r="C3495" t="s">
        <v>7033</v>
      </c>
      <c r="D3495" t="s">
        <v>78</v>
      </c>
      <c r="F3495">
        <v>629994216</v>
      </c>
      <c r="G3495">
        <v>2478845</v>
      </c>
      <c r="H3495">
        <v>-18654821</v>
      </c>
      <c r="I3495">
        <v>-65937698</v>
      </c>
      <c r="J3495">
        <v>24162977</v>
      </c>
      <c r="K3495">
        <v>61272413</v>
      </c>
      <c r="L3495">
        <v>55870508</v>
      </c>
      <c r="M3495">
        <v>19899120</v>
      </c>
      <c r="P3495">
        <v>77</v>
      </c>
      <c r="Q3495" t="s">
        <v>7034</v>
      </c>
    </row>
    <row r="3496" spans="1:17" x14ac:dyDescent="0.3">
      <c r="A3496" t="s">
        <v>4446</v>
      </c>
      <c r="B3496" t="str">
        <f>"002775"</f>
        <v>002775</v>
      </c>
      <c r="C3496" t="s">
        <v>7035</v>
      </c>
      <c r="D3496" t="s">
        <v>95</v>
      </c>
      <c r="F3496">
        <v>-1034951860</v>
      </c>
      <c r="G3496">
        <v>-112487654</v>
      </c>
      <c r="H3496">
        <v>329877499</v>
      </c>
      <c r="I3496">
        <v>38482264</v>
      </c>
      <c r="J3496">
        <v>-146451164</v>
      </c>
      <c r="K3496">
        <v>130211395</v>
      </c>
      <c r="L3496">
        <v>-290229767</v>
      </c>
      <c r="M3496">
        <v>-71824517</v>
      </c>
      <c r="N3496">
        <v>-56515133</v>
      </c>
      <c r="O3496">
        <v>-81560156</v>
      </c>
      <c r="P3496">
        <v>218</v>
      </c>
      <c r="Q3496" t="s">
        <v>7036</v>
      </c>
    </row>
    <row r="3497" spans="1:17" x14ac:dyDescent="0.3">
      <c r="A3497" t="s">
        <v>4446</v>
      </c>
      <c r="B3497" t="str">
        <f>"002776"</f>
        <v>002776</v>
      </c>
      <c r="C3497" t="s">
        <v>7037</v>
      </c>
      <c r="D3497" t="s">
        <v>227</v>
      </c>
      <c r="G3497">
        <v>151280034</v>
      </c>
      <c r="H3497">
        <v>123622142</v>
      </c>
      <c r="I3497">
        <v>12117837</v>
      </c>
      <c r="J3497">
        <v>-186514889</v>
      </c>
      <c r="K3497">
        <v>53009661</v>
      </c>
      <c r="L3497">
        <v>150478095</v>
      </c>
      <c r="M3497">
        <v>130200220</v>
      </c>
      <c r="N3497">
        <v>108345300</v>
      </c>
      <c r="O3497">
        <v>-446108</v>
      </c>
      <c r="P3497">
        <v>125</v>
      </c>
      <c r="Q3497" t="s">
        <v>7038</v>
      </c>
    </row>
    <row r="3498" spans="1:17" x14ac:dyDescent="0.3">
      <c r="A3498" t="s">
        <v>4446</v>
      </c>
      <c r="B3498" t="str">
        <f>"002777"</f>
        <v>002777</v>
      </c>
      <c r="C3498" t="s">
        <v>7039</v>
      </c>
      <c r="D3498" t="s">
        <v>212</v>
      </c>
      <c r="F3498">
        <v>112616397</v>
      </c>
      <c r="G3498">
        <v>157024927</v>
      </c>
      <c r="H3498">
        <v>125936784</v>
      </c>
      <c r="I3498">
        <v>136289693</v>
      </c>
      <c r="J3498">
        <v>87043832</v>
      </c>
      <c r="K3498">
        <v>38206237</v>
      </c>
      <c r="L3498">
        <v>82815110</v>
      </c>
      <c r="M3498">
        <v>77941772</v>
      </c>
      <c r="N3498">
        <v>59738241</v>
      </c>
      <c r="O3498">
        <v>52611995</v>
      </c>
      <c r="P3498">
        <v>374</v>
      </c>
      <c r="Q3498" t="s">
        <v>7040</v>
      </c>
    </row>
    <row r="3499" spans="1:17" x14ac:dyDescent="0.3">
      <c r="A3499" t="s">
        <v>4446</v>
      </c>
      <c r="B3499" t="str">
        <f>"002778"</f>
        <v>002778</v>
      </c>
      <c r="C3499" t="s">
        <v>7041</v>
      </c>
      <c r="D3499" t="s">
        <v>70</v>
      </c>
      <c r="F3499">
        <v>83563468</v>
      </c>
      <c r="G3499">
        <v>39829959</v>
      </c>
      <c r="H3499">
        <v>67897639</v>
      </c>
      <c r="I3499">
        <v>-49004889</v>
      </c>
      <c r="J3499">
        <v>-83478173</v>
      </c>
      <c r="K3499">
        <v>7217731</v>
      </c>
      <c r="L3499">
        <v>19874853</v>
      </c>
      <c r="M3499">
        <v>11160869</v>
      </c>
      <c r="N3499">
        <v>-9775771</v>
      </c>
      <c r="O3499">
        <v>14734753</v>
      </c>
      <c r="P3499">
        <v>75</v>
      </c>
      <c r="Q3499" t="s">
        <v>7042</v>
      </c>
    </row>
    <row r="3500" spans="1:17" x14ac:dyDescent="0.3">
      <c r="A3500" t="s">
        <v>4446</v>
      </c>
      <c r="B3500" t="str">
        <f>"002779"</f>
        <v>002779</v>
      </c>
      <c r="C3500" t="s">
        <v>7043</v>
      </c>
      <c r="D3500" t="s">
        <v>78</v>
      </c>
      <c r="F3500">
        <v>-73782717</v>
      </c>
      <c r="G3500">
        <v>9661420</v>
      </c>
      <c r="H3500">
        <v>-42332375</v>
      </c>
      <c r="I3500">
        <v>-54686253</v>
      </c>
      <c r="J3500">
        <v>-49205837</v>
      </c>
      <c r="K3500">
        <v>-39944041</v>
      </c>
      <c r="L3500">
        <v>18505643</v>
      </c>
      <c r="M3500">
        <v>45651039</v>
      </c>
      <c r="N3500">
        <v>40239886</v>
      </c>
      <c r="O3500">
        <v>-12368846</v>
      </c>
      <c r="P3500">
        <v>54</v>
      </c>
      <c r="Q3500" t="s">
        <v>7044</v>
      </c>
    </row>
    <row r="3501" spans="1:17" x14ac:dyDescent="0.3">
      <c r="A3501" t="s">
        <v>4446</v>
      </c>
      <c r="B3501" t="str">
        <f>"002780"</f>
        <v>002780</v>
      </c>
      <c r="C3501" t="s">
        <v>7045</v>
      </c>
      <c r="D3501" t="s">
        <v>227</v>
      </c>
      <c r="F3501">
        <v>-52801564</v>
      </c>
      <c r="G3501">
        <v>-158389633</v>
      </c>
      <c r="H3501">
        <v>-83582895</v>
      </c>
      <c r="I3501">
        <v>7713391</v>
      </c>
      <c r="J3501">
        <v>-160657501</v>
      </c>
      <c r="K3501">
        <v>-3323703</v>
      </c>
      <c r="L3501">
        <v>9133091</v>
      </c>
      <c r="M3501">
        <v>13558729</v>
      </c>
      <c r="N3501">
        <v>-13199310</v>
      </c>
      <c r="O3501">
        <v>35819432</v>
      </c>
      <c r="P3501">
        <v>85</v>
      </c>
      <c r="Q3501" t="s">
        <v>7046</v>
      </c>
    </row>
    <row r="3502" spans="1:17" x14ac:dyDescent="0.3">
      <c r="A3502" t="s">
        <v>4446</v>
      </c>
      <c r="B3502" t="str">
        <f>"002781"</f>
        <v>002781</v>
      </c>
      <c r="C3502" t="s">
        <v>7047</v>
      </c>
      <c r="D3502" t="s">
        <v>95</v>
      </c>
      <c r="F3502">
        <v>-296375065</v>
      </c>
      <c r="G3502">
        <v>-104740788</v>
      </c>
      <c r="H3502">
        <v>232540122</v>
      </c>
      <c r="I3502">
        <v>-370577656</v>
      </c>
      <c r="J3502">
        <v>-218216900</v>
      </c>
      <c r="K3502">
        <v>-533514141</v>
      </c>
      <c r="L3502">
        <v>-148112682</v>
      </c>
      <c r="M3502">
        <v>-123600004</v>
      </c>
      <c r="N3502">
        <v>3072962</v>
      </c>
      <c r="O3502">
        <v>48251895</v>
      </c>
      <c r="P3502">
        <v>68</v>
      </c>
      <c r="Q3502" t="s">
        <v>7048</v>
      </c>
    </row>
    <row r="3503" spans="1:17" x14ac:dyDescent="0.3">
      <c r="A3503" t="s">
        <v>4446</v>
      </c>
      <c r="B3503" t="str">
        <f>"002782"</f>
        <v>002782</v>
      </c>
      <c r="C3503" t="s">
        <v>7049</v>
      </c>
      <c r="D3503" t="s">
        <v>150</v>
      </c>
      <c r="F3503">
        <v>-204094102</v>
      </c>
      <c r="G3503">
        <v>91354292</v>
      </c>
      <c r="H3503">
        <v>107972746</v>
      </c>
      <c r="I3503">
        <v>10414864</v>
      </c>
      <c r="J3503">
        <v>58059785</v>
      </c>
      <c r="K3503">
        <v>7466302</v>
      </c>
      <c r="L3503">
        <v>31558625</v>
      </c>
      <c r="M3503">
        <v>7264941</v>
      </c>
      <c r="N3503">
        <v>-67314335</v>
      </c>
      <c r="O3503">
        <v>10254011</v>
      </c>
      <c r="P3503">
        <v>167</v>
      </c>
      <c r="Q3503" t="s">
        <v>7050</v>
      </c>
    </row>
    <row r="3504" spans="1:17" x14ac:dyDescent="0.3">
      <c r="A3504" t="s">
        <v>4446</v>
      </c>
      <c r="B3504" t="str">
        <f>"002783"</f>
        <v>002783</v>
      </c>
      <c r="C3504" t="s">
        <v>7051</v>
      </c>
      <c r="D3504" t="s">
        <v>133</v>
      </c>
      <c r="F3504">
        <v>-244565103</v>
      </c>
      <c r="G3504">
        <v>-184891891</v>
      </c>
      <c r="H3504">
        <v>-318376992</v>
      </c>
      <c r="I3504">
        <v>-90717156</v>
      </c>
      <c r="J3504">
        <v>-8883284</v>
      </c>
      <c r="K3504">
        <v>105853060</v>
      </c>
      <c r="L3504">
        <v>151025511</v>
      </c>
      <c r="M3504">
        <v>60940903</v>
      </c>
      <c r="N3504">
        <v>110910620</v>
      </c>
      <c r="O3504">
        <v>113430774</v>
      </c>
      <c r="P3504">
        <v>112</v>
      </c>
      <c r="Q3504" t="s">
        <v>7052</v>
      </c>
    </row>
    <row r="3505" spans="1:17" x14ac:dyDescent="0.3">
      <c r="A3505" t="s">
        <v>4446</v>
      </c>
      <c r="B3505" t="str">
        <f>"002785"</f>
        <v>002785</v>
      </c>
      <c r="C3505" t="s">
        <v>7053</v>
      </c>
      <c r="D3505" t="s">
        <v>350</v>
      </c>
      <c r="F3505">
        <v>-23482830</v>
      </c>
      <c r="G3505">
        <v>25757446</v>
      </c>
      <c r="H3505">
        <v>-1238958</v>
      </c>
      <c r="I3505">
        <v>26267057</v>
      </c>
      <c r="J3505">
        <v>-35680153</v>
      </c>
      <c r="K3505">
        <v>-43554144</v>
      </c>
      <c r="L3505">
        <v>15382557</v>
      </c>
      <c r="M3505">
        <v>-26844810</v>
      </c>
      <c r="N3505">
        <v>13115608</v>
      </c>
      <c r="O3505">
        <v>-19125418</v>
      </c>
      <c r="P3505">
        <v>57</v>
      </c>
      <c r="Q3505" t="s">
        <v>7054</v>
      </c>
    </row>
    <row r="3506" spans="1:17" x14ac:dyDescent="0.3">
      <c r="A3506" t="s">
        <v>4446</v>
      </c>
      <c r="B3506" t="str">
        <f>"002786"</f>
        <v>002786</v>
      </c>
      <c r="C3506" t="s">
        <v>7055</v>
      </c>
      <c r="D3506" t="s">
        <v>78</v>
      </c>
      <c r="F3506">
        <v>-560445796</v>
      </c>
      <c r="G3506">
        <v>-313971608</v>
      </c>
      <c r="H3506">
        <v>-13468287</v>
      </c>
      <c r="I3506">
        <v>-174022126</v>
      </c>
      <c r="J3506">
        <v>-438363634</v>
      </c>
      <c r="K3506">
        <v>-177046221</v>
      </c>
      <c r="L3506">
        <v>-93078642</v>
      </c>
      <c r="M3506">
        <v>56881136</v>
      </c>
      <c r="N3506">
        <v>-44817149</v>
      </c>
      <c r="O3506">
        <v>-74504600</v>
      </c>
      <c r="P3506">
        <v>176</v>
      </c>
      <c r="Q3506" t="s">
        <v>7056</v>
      </c>
    </row>
    <row r="3507" spans="1:17" x14ac:dyDescent="0.3">
      <c r="A3507" t="s">
        <v>4446</v>
      </c>
      <c r="B3507" t="str">
        <f>"002787"</f>
        <v>002787</v>
      </c>
      <c r="C3507" t="s">
        <v>7057</v>
      </c>
      <c r="D3507" t="s">
        <v>161</v>
      </c>
      <c r="F3507">
        <v>-105085846</v>
      </c>
      <c r="G3507">
        <v>-257860813</v>
      </c>
      <c r="H3507">
        <v>-57075370</v>
      </c>
      <c r="I3507">
        <v>-84741689</v>
      </c>
      <c r="J3507">
        <v>79726057</v>
      </c>
      <c r="K3507">
        <v>19189885</v>
      </c>
      <c r="L3507">
        <v>-5225810</v>
      </c>
      <c r="M3507">
        <v>52125774</v>
      </c>
      <c r="N3507">
        <v>-87007463</v>
      </c>
      <c r="O3507">
        <v>-20199269</v>
      </c>
      <c r="P3507">
        <v>102</v>
      </c>
      <c r="Q3507" t="s">
        <v>7058</v>
      </c>
    </row>
    <row r="3508" spans="1:17" x14ac:dyDescent="0.3">
      <c r="A3508" t="s">
        <v>4446</v>
      </c>
      <c r="B3508" t="str">
        <f>"002788"</f>
        <v>002788</v>
      </c>
      <c r="C3508" t="s">
        <v>7059</v>
      </c>
      <c r="D3508" t="s">
        <v>113</v>
      </c>
      <c r="F3508">
        <v>-615215970</v>
      </c>
      <c r="G3508">
        <v>-91521506</v>
      </c>
      <c r="H3508">
        <v>-827546722</v>
      </c>
      <c r="I3508">
        <v>-6618410</v>
      </c>
      <c r="J3508">
        <v>-528681994</v>
      </c>
      <c r="K3508">
        <v>-237709328</v>
      </c>
      <c r="L3508">
        <v>-41934356</v>
      </c>
      <c r="M3508">
        <v>92932045</v>
      </c>
      <c r="N3508">
        <v>-213843525</v>
      </c>
      <c r="O3508">
        <v>-118382386</v>
      </c>
      <c r="P3508">
        <v>162</v>
      </c>
      <c r="Q3508" t="s">
        <v>7060</v>
      </c>
    </row>
    <row r="3509" spans="1:17" x14ac:dyDescent="0.3">
      <c r="A3509" t="s">
        <v>4446</v>
      </c>
      <c r="B3509" t="str">
        <f>"002789"</f>
        <v>002789</v>
      </c>
      <c r="C3509" t="s">
        <v>7061</v>
      </c>
      <c r="D3509" t="s">
        <v>95</v>
      </c>
      <c r="F3509">
        <v>-126227399</v>
      </c>
      <c r="G3509">
        <v>-349961242</v>
      </c>
      <c r="H3509">
        <v>395663426</v>
      </c>
      <c r="I3509">
        <v>16114398</v>
      </c>
      <c r="J3509">
        <v>11329242</v>
      </c>
      <c r="K3509">
        <v>-281489208</v>
      </c>
      <c r="L3509">
        <v>-142265889</v>
      </c>
      <c r="M3509">
        <v>-123348073</v>
      </c>
      <c r="N3509">
        <v>-173162163</v>
      </c>
      <c r="O3509">
        <v>41269909</v>
      </c>
      <c r="P3509">
        <v>57</v>
      </c>
      <c r="Q3509" t="s">
        <v>7062</v>
      </c>
    </row>
    <row r="3510" spans="1:17" x14ac:dyDescent="0.3">
      <c r="A3510" t="s">
        <v>4446</v>
      </c>
      <c r="B3510" t="str">
        <f>"002790"</f>
        <v>002790</v>
      </c>
      <c r="C3510" t="s">
        <v>7063</v>
      </c>
      <c r="D3510" t="s">
        <v>161</v>
      </c>
      <c r="F3510">
        <v>-37710479</v>
      </c>
      <c r="G3510">
        <v>-1100155</v>
      </c>
      <c r="H3510">
        <v>138709583</v>
      </c>
      <c r="I3510">
        <v>49530039</v>
      </c>
      <c r="J3510">
        <v>140491764</v>
      </c>
      <c r="K3510">
        <v>95963947</v>
      </c>
      <c r="L3510">
        <v>83415987</v>
      </c>
      <c r="M3510">
        <v>-24905872</v>
      </c>
      <c r="N3510">
        <v>23220486</v>
      </c>
      <c r="O3510">
        <v>31735848</v>
      </c>
      <c r="P3510">
        <v>138</v>
      </c>
      <c r="Q3510" t="s">
        <v>7064</v>
      </c>
    </row>
    <row r="3511" spans="1:17" x14ac:dyDescent="0.3">
      <c r="A3511" t="s">
        <v>4446</v>
      </c>
      <c r="B3511" t="str">
        <f>"002791"</f>
        <v>002791</v>
      </c>
      <c r="C3511" t="s">
        <v>7065</v>
      </c>
      <c r="D3511" t="s">
        <v>350</v>
      </c>
      <c r="F3511">
        <v>115467038</v>
      </c>
      <c r="G3511">
        <v>196507425</v>
      </c>
      <c r="H3511">
        <v>395885113</v>
      </c>
      <c r="I3511">
        <v>-82237254</v>
      </c>
      <c r="J3511">
        <v>-176487230</v>
      </c>
      <c r="K3511">
        <v>124422502</v>
      </c>
      <c r="L3511">
        <v>44802136</v>
      </c>
      <c r="M3511">
        <v>-62292688</v>
      </c>
      <c r="N3511">
        <v>82517677</v>
      </c>
      <c r="O3511">
        <v>57279232</v>
      </c>
      <c r="P3511">
        <v>553</v>
      </c>
      <c r="Q3511" t="s">
        <v>7066</v>
      </c>
    </row>
    <row r="3512" spans="1:17" x14ac:dyDescent="0.3">
      <c r="A3512" t="s">
        <v>4446</v>
      </c>
      <c r="B3512" t="str">
        <f>"002792"</f>
        <v>002792</v>
      </c>
      <c r="C3512" t="s">
        <v>7067</v>
      </c>
      <c r="D3512" t="s">
        <v>100</v>
      </c>
      <c r="F3512">
        <v>68354180</v>
      </c>
      <c r="G3512">
        <v>35811347</v>
      </c>
      <c r="H3512">
        <v>79623671</v>
      </c>
      <c r="I3512">
        <v>-101481959</v>
      </c>
      <c r="J3512">
        <v>-113961730</v>
      </c>
      <c r="K3512">
        <v>30941352</v>
      </c>
      <c r="L3512">
        <v>171206495</v>
      </c>
      <c r="M3512">
        <v>254905819</v>
      </c>
      <c r="N3512">
        <v>55057041</v>
      </c>
      <c r="O3512">
        <v>51472977</v>
      </c>
      <c r="P3512">
        <v>343</v>
      </c>
      <c r="Q3512" t="s">
        <v>7068</v>
      </c>
    </row>
    <row r="3513" spans="1:17" x14ac:dyDescent="0.3">
      <c r="A3513" t="s">
        <v>4446</v>
      </c>
      <c r="B3513" t="str">
        <f>"002793"</f>
        <v>002793</v>
      </c>
      <c r="C3513" t="s">
        <v>7069</v>
      </c>
      <c r="D3513" t="s">
        <v>113</v>
      </c>
      <c r="F3513">
        <v>-186264150</v>
      </c>
      <c r="G3513">
        <v>-387843690</v>
      </c>
      <c r="H3513">
        <v>-447041340</v>
      </c>
      <c r="I3513">
        <v>-73560038</v>
      </c>
      <c r="J3513">
        <v>-58791088</v>
      </c>
      <c r="K3513">
        <v>1826846</v>
      </c>
      <c r="L3513">
        <v>16425134</v>
      </c>
      <c r="M3513">
        <v>-13747180</v>
      </c>
      <c r="N3513">
        <v>45368878</v>
      </c>
      <c r="P3513">
        <v>213</v>
      </c>
      <c r="Q3513" t="s">
        <v>7070</v>
      </c>
    </row>
    <row r="3514" spans="1:17" x14ac:dyDescent="0.3">
      <c r="A3514" t="s">
        <v>4446</v>
      </c>
      <c r="B3514" t="str">
        <f>"002795"</f>
        <v>002795</v>
      </c>
      <c r="C3514" t="s">
        <v>7071</v>
      </c>
      <c r="D3514" t="s">
        <v>78</v>
      </c>
      <c r="F3514">
        <v>94633162</v>
      </c>
      <c r="G3514">
        <v>10025535</v>
      </c>
      <c r="H3514">
        <v>32915292</v>
      </c>
      <c r="I3514">
        <v>95370856</v>
      </c>
      <c r="J3514">
        <v>8719038</v>
      </c>
      <c r="K3514">
        <v>55318695</v>
      </c>
      <c r="L3514">
        <v>56112092</v>
      </c>
      <c r="M3514">
        <v>83353063</v>
      </c>
      <c r="N3514">
        <v>1013402</v>
      </c>
      <c r="P3514">
        <v>74</v>
      </c>
      <c r="Q3514" t="s">
        <v>7072</v>
      </c>
    </row>
    <row r="3515" spans="1:17" x14ac:dyDescent="0.3">
      <c r="A3515" t="s">
        <v>4446</v>
      </c>
      <c r="B3515" t="str">
        <f>"002796"</f>
        <v>002796</v>
      </c>
      <c r="C3515" t="s">
        <v>7073</v>
      </c>
      <c r="D3515" t="s">
        <v>78</v>
      </c>
      <c r="F3515">
        <v>-201261976</v>
      </c>
      <c r="G3515">
        <v>-29528882</v>
      </c>
      <c r="H3515">
        <v>142561103</v>
      </c>
      <c r="I3515">
        <v>-135183182</v>
      </c>
      <c r="J3515">
        <v>-33293409</v>
      </c>
      <c r="K3515">
        <v>14865944</v>
      </c>
      <c r="L3515">
        <v>26590725</v>
      </c>
      <c r="M3515">
        <v>54355727</v>
      </c>
      <c r="N3515">
        <v>42256194</v>
      </c>
      <c r="P3515">
        <v>248</v>
      </c>
      <c r="Q3515" t="s">
        <v>7074</v>
      </c>
    </row>
    <row r="3516" spans="1:17" x14ac:dyDescent="0.3">
      <c r="A3516" t="s">
        <v>4446</v>
      </c>
      <c r="B3516" t="str">
        <f>"002797"</f>
        <v>002797</v>
      </c>
      <c r="C3516" t="s">
        <v>7075</v>
      </c>
      <c r="D3516" t="s">
        <v>75</v>
      </c>
      <c r="F3516">
        <v>1016051577</v>
      </c>
      <c r="G3516">
        <v>-899100921</v>
      </c>
      <c r="H3516">
        <v>2240657348</v>
      </c>
      <c r="I3516">
        <v>-887129392</v>
      </c>
      <c r="J3516">
        <v>364026698</v>
      </c>
      <c r="K3516">
        <v>-6954885228</v>
      </c>
      <c r="L3516">
        <v>3841024597</v>
      </c>
      <c r="M3516">
        <v>2313513043</v>
      </c>
      <c r="N3516">
        <v>-2100376637</v>
      </c>
      <c r="O3516">
        <v>-173012262.06999999</v>
      </c>
      <c r="P3516">
        <v>838</v>
      </c>
      <c r="Q3516" t="s">
        <v>7076</v>
      </c>
    </row>
    <row r="3517" spans="1:17" x14ac:dyDescent="0.3">
      <c r="A3517" t="s">
        <v>4446</v>
      </c>
      <c r="B3517" t="str">
        <f>"002798"</f>
        <v>002798</v>
      </c>
      <c r="C3517" t="s">
        <v>7077</v>
      </c>
      <c r="D3517" t="s">
        <v>161</v>
      </c>
      <c r="F3517">
        <v>-746045547</v>
      </c>
      <c r="G3517">
        <v>-630740748</v>
      </c>
      <c r="H3517">
        <v>-98249764</v>
      </c>
      <c r="I3517">
        <v>-658522253</v>
      </c>
      <c r="J3517">
        <v>84513430</v>
      </c>
      <c r="K3517">
        <v>8741844</v>
      </c>
      <c r="L3517">
        <v>44089581</v>
      </c>
      <c r="M3517">
        <v>-11724096</v>
      </c>
      <c r="N3517">
        <v>29898375</v>
      </c>
      <c r="P3517">
        <v>374</v>
      </c>
      <c r="Q3517" t="s">
        <v>7078</v>
      </c>
    </row>
    <row r="3518" spans="1:17" x14ac:dyDescent="0.3">
      <c r="A3518" t="s">
        <v>4446</v>
      </c>
      <c r="B3518" t="str">
        <f>"002799"</f>
        <v>002799</v>
      </c>
      <c r="C3518" t="s">
        <v>7079</v>
      </c>
      <c r="D3518" t="s">
        <v>161</v>
      </c>
      <c r="F3518">
        <v>-9207113</v>
      </c>
      <c r="G3518">
        <v>-70067454</v>
      </c>
      <c r="H3518">
        <v>108952271</v>
      </c>
      <c r="I3518">
        <v>49523683</v>
      </c>
      <c r="J3518">
        <v>13913565</v>
      </c>
      <c r="K3518">
        <v>-1265666</v>
      </c>
      <c r="L3518">
        <v>49840314</v>
      </c>
      <c r="M3518">
        <v>57148963</v>
      </c>
      <c r="N3518">
        <v>26204748</v>
      </c>
      <c r="P3518">
        <v>109</v>
      </c>
      <c r="Q3518" t="s">
        <v>7080</v>
      </c>
    </row>
    <row r="3519" spans="1:17" x14ac:dyDescent="0.3">
      <c r="A3519" t="s">
        <v>4446</v>
      </c>
      <c r="B3519" t="str">
        <f>"002800"</f>
        <v>002800</v>
      </c>
      <c r="C3519" t="s">
        <v>7081</v>
      </c>
      <c r="D3519" t="s">
        <v>22</v>
      </c>
      <c r="F3519">
        <v>60327794</v>
      </c>
      <c r="G3519">
        <v>-7815609</v>
      </c>
      <c r="H3519">
        <v>-41311813</v>
      </c>
      <c r="I3519">
        <v>89206725</v>
      </c>
      <c r="J3519">
        <v>-112683667</v>
      </c>
      <c r="K3519">
        <v>-37248748</v>
      </c>
      <c r="L3519">
        <v>38631387</v>
      </c>
      <c r="M3519">
        <v>-59028399</v>
      </c>
      <c r="N3519">
        <v>-35994221</v>
      </c>
      <c r="P3519">
        <v>86</v>
      </c>
      <c r="Q3519" t="s">
        <v>7082</v>
      </c>
    </row>
    <row r="3520" spans="1:17" x14ac:dyDescent="0.3">
      <c r="A3520" t="s">
        <v>4446</v>
      </c>
      <c r="B3520" t="str">
        <f>"002801"</f>
        <v>002801</v>
      </c>
      <c r="C3520" t="s">
        <v>7083</v>
      </c>
      <c r="D3520" t="s">
        <v>188</v>
      </c>
      <c r="F3520">
        <v>162356525</v>
      </c>
      <c r="G3520">
        <v>106769710</v>
      </c>
      <c r="H3520">
        <v>138963470</v>
      </c>
      <c r="I3520">
        <v>61427904</v>
      </c>
      <c r="J3520">
        <v>73674637</v>
      </c>
      <c r="K3520">
        <v>81831059</v>
      </c>
      <c r="L3520">
        <v>80390239</v>
      </c>
      <c r="M3520">
        <v>37349370</v>
      </c>
      <c r="N3520">
        <v>17819464</v>
      </c>
      <c r="P3520">
        <v>204</v>
      </c>
      <c r="Q3520" t="s">
        <v>7084</v>
      </c>
    </row>
    <row r="3521" spans="1:17" x14ac:dyDescent="0.3">
      <c r="A3521" t="s">
        <v>4446</v>
      </c>
      <c r="B3521" t="str">
        <f>"002802"</f>
        <v>002802</v>
      </c>
      <c r="C3521" t="s">
        <v>7085</v>
      </c>
      <c r="D3521" t="s">
        <v>133</v>
      </c>
      <c r="F3521">
        <v>59019396</v>
      </c>
      <c r="G3521">
        <v>80648119</v>
      </c>
      <c r="H3521">
        <v>94948135</v>
      </c>
      <c r="I3521">
        <v>26825705</v>
      </c>
      <c r="J3521">
        <v>-12858616</v>
      </c>
      <c r="K3521">
        <v>46631654</v>
      </c>
      <c r="L3521">
        <v>47340105</v>
      </c>
      <c r="M3521">
        <v>19803718</v>
      </c>
      <c r="N3521">
        <v>36497344</v>
      </c>
      <c r="P3521">
        <v>102</v>
      </c>
      <c r="Q3521" t="s">
        <v>7086</v>
      </c>
    </row>
    <row r="3522" spans="1:17" x14ac:dyDescent="0.3">
      <c r="A3522" t="s">
        <v>4446</v>
      </c>
      <c r="B3522" t="str">
        <f>"002803"</f>
        <v>002803</v>
      </c>
      <c r="C3522" t="s">
        <v>7087</v>
      </c>
      <c r="D3522" t="s">
        <v>120</v>
      </c>
      <c r="F3522">
        <v>21815488</v>
      </c>
      <c r="G3522">
        <v>402237485</v>
      </c>
      <c r="H3522">
        <v>108021458</v>
      </c>
      <c r="I3522">
        <v>219119745</v>
      </c>
      <c r="J3522">
        <v>-124420593</v>
      </c>
      <c r="K3522">
        <v>-78364119</v>
      </c>
      <c r="L3522">
        <v>24598960</v>
      </c>
      <c r="M3522">
        <v>-23416420</v>
      </c>
      <c r="N3522">
        <v>-15796515</v>
      </c>
      <c r="P3522">
        <v>601</v>
      </c>
      <c r="Q3522" t="s">
        <v>7088</v>
      </c>
    </row>
    <row r="3523" spans="1:17" x14ac:dyDescent="0.3">
      <c r="A3523" t="s">
        <v>4446</v>
      </c>
      <c r="B3523" t="str">
        <f>"002805"</f>
        <v>002805</v>
      </c>
      <c r="C3523" t="s">
        <v>7089</v>
      </c>
      <c r="D3523" t="s">
        <v>133</v>
      </c>
      <c r="F3523">
        <v>-305841204</v>
      </c>
      <c r="G3523">
        <v>-41618116</v>
      </c>
      <c r="H3523">
        <v>-123276882</v>
      </c>
      <c r="I3523">
        <v>-32316459</v>
      </c>
      <c r="J3523">
        <v>-85404135</v>
      </c>
      <c r="K3523">
        <v>-31918779</v>
      </c>
      <c r="L3523">
        <v>7616940</v>
      </c>
      <c r="M3523">
        <v>5784516</v>
      </c>
      <c r="N3523">
        <v>8277748</v>
      </c>
      <c r="P3523">
        <v>113</v>
      </c>
      <c r="Q3523" t="s">
        <v>7090</v>
      </c>
    </row>
    <row r="3524" spans="1:17" x14ac:dyDescent="0.3">
      <c r="A3524" t="s">
        <v>4446</v>
      </c>
      <c r="B3524" t="str">
        <f>"002806"</f>
        <v>002806</v>
      </c>
      <c r="C3524" t="s">
        <v>7091</v>
      </c>
      <c r="D3524" t="s">
        <v>234</v>
      </c>
      <c r="F3524">
        <v>-71345530</v>
      </c>
      <c r="G3524">
        <v>89395864</v>
      </c>
      <c r="H3524">
        <v>-60077759</v>
      </c>
      <c r="I3524">
        <v>-7546114</v>
      </c>
      <c r="J3524">
        <v>-53105246</v>
      </c>
      <c r="K3524">
        <v>-22884908</v>
      </c>
      <c r="L3524">
        <v>14057455</v>
      </c>
      <c r="M3524">
        <v>1060194</v>
      </c>
      <c r="N3524">
        <v>-17222751</v>
      </c>
      <c r="P3524">
        <v>100</v>
      </c>
      <c r="Q3524" t="s">
        <v>7092</v>
      </c>
    </row>
    <row r="3525" spans="1:17" x14ac:dyDescent="0.3">
      <c r="A3525" t="s">
        <v>4446</v>
      </c>
      <c r="B3525" t="str">
        <f>"002807"</f>
        <v>002807</v>
      </c>
      <c r="C3525" t="s">
        <v>7093</v>
      </c>
      <c r="D3525" t="s">
        <v>19</v>
      </c>
      <c r="F3525">
        <v>3897851000</v>
      </c>
      <c r="G3525">
        <v>3194230000</v>
      </c>
      <c r="H3525">
        <v>11319812000</v>
      </c>
      <c r="I3525">
        <v>-12197245000</v>
      </c>
      <c r="J3525">
        <v>1699367603</v>
      </c>
      <c r="K3525">
        <v>14059858000</v>
      </c>
      <c r="L3525">
        <v>8685089000</v>
      </c>
      <c r="M3525">
        <v>3881174000</v>
      </c>
      <c r="N3525">
        <v>-2694323000</v>
      </c>
      <c r="O3525">
        <v>13050814000</v>
      </c>
      <c r="P3525">
        <v>571</v>
      </c>
      <c r="Q3525" t="s">
        <v>7094</v>
      </c>
    </row>
    <row r="3526" spans="1:17" x14ac:dyDescent="0.3">
      <c r="A3526" t="s">
        <v>4446</v>
      </c>
      <c r="B3526" t="str">
        <f>"002808"</f>
        <v>002808</v>
      </c>
      <c r="C3526" t="s">
        <v>7095</v>
      </c>
      <c r="D3526" t="s">
        <v>150</v>
      </c>
      <c r="F3526">
        <v>16956794</v>
      </c>
      <c r="G3526">
        <v>30514127</v>
      </c>
      <c r="H3526">
        <v>47113072</v>
      </c>
      <c r="I3526">
        <v>-45008989</v>
      </c>
      <c r="J3526">
        <v>-28497609</v>
      </c>
      <c r="K3526">
        <v>24759107</v>
      </c>
      <c r="L3526">
        <v>9705766</v>
      </c>
      <c r="M3526">
        <v>23435735</v>
      </c>
      <c r="N3526">
        <v>23242929</v>
      </c>
      <c r="P3526">
        <v>73</v>
      </c>
      <c r="Q3526" t="s">
        <v>7096</v>
      </c>
    </row>
    <row r="3527" spans="1:17" x14ac:dyDescent="0.3">
      <c r="A3527" t="s">
        <v>4446</v>
      </c>
      <c r="B3527" t="str">
        <f>"002809"</f>
        <v>002809</v>
      </c>
      <c r="C3527" t="s">
        <v>7097</v>
      </c>
      <c r="D3527" t="s">
        <v>133</v>
      </c>
      <c r="F3527">
        <v>-7928591</v>
      </c>
      <c r="G3527">
        <v>-138928718</v>
      </c>
      <c r="H3527">
        <v>-111061965</v>
      </c>
      <c r="I3527">
        <v>-80409766</v>
      </c>
      <c r="J3527">
        <v>-74030637</v>
      </c>
      <c r="K3527">
        <v>79202139</v>
      </c>
      <c r="L3527">
        <v>45632785</v>
      </c>
      <c r="M3527">
        <v>31228116</v>
      </c>
      <c r="N3527">
        <v>32460552</v>
      </c>
      <c r="P3527">
        <v>99</v>
      </c>
      <c r="Q3527" t="s">
        <v>7098</v>
      </c>
    </row>
    <row r="3528" spans="1:17" x14ac:dyDescent="0.3">
      <c r="A3528" t="s">
        <v>4446</v>
      </c>
      <c r="B3528" t="str">
        <f>"002810"</f>
        <v>002810</v>
      </c>
      <c r="C3528" t="s">
        <v>7099</v>
      </c>
      <c r="D3528" t="s">
        <v>133</v>
      </c>
      <c r="F3528">
        <v>-243607145</v>
      </c>
      <c r="G3528">
        <v>150654492</v>
      </c>
      <c r="H3528">
        <v>137349752</v>
      </c>
      <c r="I3528">
        <v>-47486113</v>
      </c>
      <c r="J3528">
        <v>-97712974</v>
      </c>
      <c r="K3528">
        <v>-24036713</v>
      </c>
      <c r="L3528">
        <v>-9969998</v>
      </c>
      <c r="M3528">
        <v>-11152735</v>
      </c>
      <c r="N3528">
        <v>-91758913</v>
      </c>
      <c r="P3528">
        <v>421</v>
      </c>
      <c r="Q3528" t="s">
        <v>7100</v>
      </c>
    </row>
    <row r="3529" spans="1:17" x14ac:dyDescent="0.3">
      <c r="A3529" t="s">
        <v>4446</v>
      </c>
      <c r="B3529" t="str">
        <f>"002811"</f>
        <v>002811</v>
      </c>
      <c r="C3529" t="s">
        <v>7101</v>
      </c>
      <c r="D3529" t="s">
        <v>95</v>
      </c>
      <c r="F3529">
        <v>262435149</v>
      </c>
      <c r="G3529">
        <v>151923858</v>
      </c>
      <c r="H3529">
        <v>129884902</v>
      </c>
      <c r="I3529">
        <v>-49162162</v>
      </c>
      <c r="J3529">
        <v>14360994</v>
      </c>
      <c r="K3529">
        <v>-190301716</v>
      </c>
      <c r="L3529">
        <v>-50235027</v>
      </c>
      <c r="M3529">
        <v>30004251</v>
      </c>
      <c r="N3529">
        <v>-19559008</v>
      </c>
      <c r="P3529">
        <v>95</v>
      </c>
      <c r="Q3529" t="s">
        <v>7102</v>
      </c>
    </row>
    <row r="3530" spans="1:17" x14ac:dyDescent="0.3">
      <c r="A3530" t="s">
        <v>4446</v>
      </c>
      <c r="B3530" t="str">
        <f>"002812"</f>
        <v>002812</v>
      </c>
      <c r="C3530" t="s">
        <v>7103</v>
      </c>
      <c r="D3530" t="s">
        <v>188</v>
      </c>
      <c r="F3530">
        <v>-2572574846</v>
      </c>
      <c r="G3530">
        <v>-1611115406</v>
      </c>
      <c r="H3530">
        <v>-1355190685</v>
      </c>
      <c r="I3530">
        <v>-1219972593</v>
      </c>
      <c r="J3530">
        <v>118567531</v>
      </c>
      <c r="K3530">
        <v>36401789</v>
      </c>
      <c r="L3530">
        <v>87793896</v>
      </c>
      <c r="M3530">
        <v>79734375</v>
      </c>
      <c r="N3530">
        <v>122443342</v>
      </c>
      <c r="P3530">
        <v>1586</v>
      </c>
      <c r="Q3530" t="s">
        <v>7104</v>
      </c>
    </row>
    <row r="3531" spans="1:17" x14ac:dyDescent="0.3">
      <c r="A3531" t="s">
        <v>4446</v>
      </c>
      <c r="B3531" t="str">
        <f>"002813"</f>
        <v>002813</v>
      </c>
      <c r="C3531" t="s">
        <v>7105</v>
      </c>
      <c r="D3531" t="s">
        <v>27</v>
      </c>
      <c r="F3531">
        <v>65445420</v>
      </c>
      <c r="G3531">
        <v>53149124</v>
      </c>
      <c r="H3531">
        <v>-284663089</v>
      </c>
      <c r="I3531">
        <v>-255439356</v>
      </c>
      <c r="J3531">
        <v>-194141599</v>
      </c>
      <c r="K3531">
        <v>-137816121</v>
      </c>
      <c r="L3531">
        <v>16782131</v>
      </c>
      <c r="M3531">
        <v>76670889</v>
      </c>
      <c r="N3531">
        <v>-214954770</v>
      </c>
      <c r="P3531">
        <v>113</v>
      </c>
      <c r="Q3531" t="s">
        <v>7106</v>
      </c>
    </row>
    <row r="3532" spans="1:17" x14ac:dyDescent="0.3">
      <c r="A3532" t="s">
        <v>4446</v>
      </c>
      <c r="B3532" t="str">
        <f>"002815"</f>
        <v>002815</v>
      </c>
      <c r="C3532" t="s">
        <v>7107</v>
      </c>
      <c r="D3532" t="s">
        <v>150</v>
      </c>
      <c r="F3532">
        <v>309191465</v>
      </c>
      <c r="G3532">
        <v>-96972931</v>
      </c>
      <c r="H3532">
        <v>269114324</v>
      </c>
      <c r="I3532">
        <v>408606237</v>
      </c>
      <c r="J3532">
        <v>-41375180</v>
      </c>
      <c r="K3532">
        <v>-267669173</v>
      </c>
      <c r="L3532">
        <v>27671486</v>
      </c>
      <c r="M3532">
        <v>188776206</v>
      </c>
      <c r="N3532">
        <v>80976101</v>
      </c>
      <c r="P3532">
        <v>920</v>
      </c>
      <c r="Q3532" t="s">
        <v>7108</v>
      </c>
    </row>
    <row r="3533" spans="1:17" x14ac:dyDescent="0.3">
      <c r="A3533" t="s">
        <v>4446</v>
      </c>
      <c r="B3533" t="str">
        <f>"002816"</f>
        <v>002816</v>
      </c>
      <c r="C3533" t="s">
        <v>7109</v>
      </c>
      <c r="D3533" t="s">
        <v>78</v>
      </c>
      <c r="F3533">
        <v>-155701151</v>
      </c>
      <c r="G3533">
        <v>66808934</v>
      </c>
      <c r="H3533">
        <v>-2875063</v>
      </c>
      <c r="I3533">
        <v>-3897725</v>
      </c>
      <c r="J3533">
        <v>-86906601</v>
      </c>
      <c r="K3533">
        <v>-44874987</v>
      </c>
      <c r="L3533">
        <v>25896795</v>
      </c>
      <c r="M3533">
        <v>-725718</v>
      </c>
      <c r="N3533">
        <v>-27663726</v>
      </c>
      <c r="P3533">
        <v>46</v>
      </c>
      <c r="Q3533" t="s">
        <v>7110</v>
      </c>
    </row>
    <row r="3534" spans="1:17" x14ac:dyDescent="0.3">
      <c r="A3534" t="s">
        <v>4446</v>
      </c>
      <c r="B3534" t="str">
        <f>"002817"</f>
        <v>002817</v>
      </c>
      <c r="C3534" t="s">
        <v>7111</v>
      </c>
      <c r="D3534" t="s">
        <v>113</v>
      </c>
      <c r="F3534">
        <v>11344492</v>
      </c>
      <c r="G3534">
        <v>-31027270</v>
      </c>
      <c r="H3534">
        <v>27324385</v>
      </c>
      <c r="I3534">
        <v>-5718438</v>
      </c>
      <c r="J3534">
        <v>16981366</v>
      </c>
      <c r="K3534">
        <v>16092189</v>
      </c>
      <c r="L3534">
        <v>17334285</v>
      </c>
      <c r="M3534">
        <v>12853090</v>
      </c>
      <c r="N3534">
        <v>-20130861</v>
      </c>
      <c r="P3534">
        <v>126</v>
      </c>
      <c r="Q3534" t="s">
        <v>7112</v>
      </c>
    </row>
    <row r="3535" spans="1:17" x14ac:dyDescent="0.3">
      <c r="A3535" t="s">
        <v>4446</v>
      </c>
      <c r="B3535" t="str">
        <f>"002818"</f>
        <v>002818</v>
      </c>
      <c r="C3535" t="s">
        <v>7113</v>
      </c>
      <c r="D3535" t="s">
        <v>120</v>
      </c>
      <c r="F3535">
        <v>535050389</v>
      </c>
      <c r="G3535">
        <v>156071632</v>
      </c>
      <c r="H3535">
        <v>692741187</v>
      </c>
      <c r="I3535">
        <v>441361738</v>
      </c>
      <c r="J3535">
        <v>731854709</v>
      </c>
      <c r="K3535">
        <v>377767127</v>
      </c>
      <c r="L3535">
        <v>296122209</v>
      </c>
      <c r="M3535">
        <v>-201167765</v>
      </c>
      <c r="N3535">
        <v>256141452</v>
      </c>
      <c r="P3535">
        <v>868</v>
      </c>
      <c r="Q3535" t="s">
        <v>7114</v>
      </c>
    </row>
    <row r="3536" spans="1:17" x14ac:dyDescent="0.3">
      <c r="A3536" t="s">
        <v>4446</v>
      </c>
      <c r="B3536" t="str">
        <f>"002819"</f>
        <v>002819</v>
      </c>
      <c r="C3536" t="s">
        <v>7115</v>
      </c>
      <c r="D3536" t="s">
        <v>78</v>
      </c>
      <c r="F3536">
        <v>207196161</v>
      </c>
      <c r="G3536">
        <v>72271237</v>
      </c>
      <c r="H3536">
        <v>-58302906</v>
      </c>
      <c r="I3536">
        <v>-154638720</v>
      </c>
      <c r="J3536">
        <v>-62605687</v>
      </c>
      <c r="K3536">
        <v>-1059079</v>
      </c>
      <c r="L3536">
        <v>28854677</v>
      </c>
      <c r="M3536">
        <v>18418777</v>
      </c>
      <c r="N3536">
        <v>8848142</v>
      </c>
      <c r="P3536">
        <v>139</v>
      </c>
      <c r="Q3536" t="s">
        <v>7116</v>
      </c>
    </row>
    <row r="3537" spans="1:17" x14ac:dyDescent="0.3">
      <c r="A3537" t="s">
        <v>4446</v>
      </c>
      <c r="B3537" t="str">
        <f>"002820"</f>
        <v>002820</v>
      </c>
      <c r="C3537" t="s">
        <v>7117</v>
      </c>
      <c r="D3537" t="s">
        <v>123</v>
      </c>
      <c r="F3537">
        <v>48232747</v>
      </c>
      <c r="G3537">
        <v>10750400</v>
      </c>
      <c r="H3537">
        <v>48225553</v>
      </c>
      <c r="I3537">
        <v>49196397</v>
      </c>
      <c r="J3537">
        <v>35015493</v>
      </c>
      <c r="K3537">
        <v>39092570</v>
      </c>
      <c r="L3537">
        <v>39538906</v>
      </c>
      <c r="M3537">
        <v>-609762</v>
      </c>
      <c r="N3537">
        <v>64507181</v>
      </c>
      <c r="P3537">
        <v>146</v>
      </c>
      <c r="Q3537" t="s">
        <v>7118</v>
      </c>
    </row>
    <row r="3538" spans="1:17" x14ac:dyDescent="0.3">
      <c r="A3538" t="s">
        <v>4446</v>
      </c>
      <c r="B3538" t="str">
        <f>"002821"</f>
        <v>002821</v>
      </c>
      <c r="C3538" t="s">
        <v>7119</v>
      </c>
      <c r="D3538" t="s">
        <v>113</v>
      </c>
      <c r="F3538">
        <v>-1546575518</v>
      </c>
      <c r="G3538">
        <v>-445646250</v>
      </c>
      <c r="H3538">
        <v>90232998</v>
      </c>
      <c r="I3538">
        <v>-127292314</v>
      </c>
      <c r="J3538">
        <v>-106021344</v>
      </c>
      <c r="K3538">
        <v>42128090</v>
      </c>
      <c r="L3538">
        <v>133798528</v>
      </c>
      <c r="M3538">
        <v>59742607</v>
      </c>
      <c r="N3538">
        <v>14629359</v>
      </c>
      <c r="P3538">
        <v>2420</v>
      </c>
      <c r="Q3538" t="s">
        <v>7120</v>
      </c>
    </row>
    <row r="3539" spans="1:17" x14ac:dyDescent="0.3">
      <c r="A3539" t="s">
        <v>4446</v>
      </c>
      <c r="B3539" t="str">
        <f>"002822"</f>
        <v>002822</v>
      </c>
      <c r="C3539" t="s">
        <v>7121</v>
      </c>
      <c r="D3539" t="s">
        <v>95</v>
      </c>
      <c r="F3539">
        <v>-766304548</v>
      </c>
      <c r="G3539">
        <v>-385299472</v>
      </c>
      <c r="H3539">
        <v>-41445509</v>
      </c>
      <c r="I3539">
        <v>-491490685</v>
      </c>
      <c r="J3539">
        <v>-241984285</v>
      </c>
      <c r="K3539">
        <v>-120019535</v>
      </c>
      <c r="L3539">
        <v>21475399</v>
      </c>
      <c r="M3539">
        <v>-141863439</v>
      </c>
      <c r="N3539">
        <v>-47001209</v>
      </c>
      <c r="P3539">
        <v>134</v>
      </c>
      <c r="Q3539" t="s">
        <v>7122</v>
      </c>
    </row>
    <row r="3540" spans="1:17" x14ac:dyDescent="0.3">
      <c r="A3540" t="s">
        <v>4446</v>
      </c>
      <c r="B3540" t="str">
        <f>"002823"</f>
        <v>002823</v>
      </c>
      <c r="C3540" t="s">
        <v>7123</v>
      </c>
      <c r="D3540" t="s">
        <v>188</v>
      </c>
      <c r="F3540">
        <v>-218367549</v>
      </c>
      <c r="G3540">
        <v>-24912571</v>
      </c>
      <c r="H3540">
        <v>-170296251</v>
      </c>
      <c r="I3540">
        <v>-351544895</v>
      </c>
      <c r="J3540">
        <v>-83606489</v>
      </c>
      <c r="K3540">
        <v>-82534427</v>
      </c>
      <c r="L3540">
        <v>-61457457</v>
      </c>
      <c r="M3540">
        <v>-23593890</v>
      </c>
      <c r="N3540">
        <v>584908</v>
      </c>
      <c r="P3540">
        <v>158</v>
      </c>
      <c r="Q3540" t="s">
        <v>7124</v>
      </c>
    </row>
    <row r="3541" spans="1:17" x14ac:dyDescent="0.3">
      <c r="A3541" t="s">
        <v>4446</v>
      </c>
      <c r="B3541" t="str">
        <f>"002824"</f>
        <v>002824</v>
      </c>
      <c r="C3541" t="s">
        <v>7125</v>
      </c>
      <c r="D3541" t="s">
        <v>234</v>
      </c>
      <c r="F3541">
        <v>-64136057</v>
      </c>
      <c r="G3541">
        <v>-43417480</v>
      </c>
      <c r="H3541">
        <v>-78487048</v>
      </c>
      <c r="I3541">
        <v>-194841381</v>
      </c>
      <c r="J3541">
        <v>-45152966</v>
      </c>
      <c r="K3541">
        <v>-7793084</v>
      </c>
      <c r="L3541">
        <v>31777179</v>
      </c>
      <c r="M3541">
        <v>21372891</v>
      </c>
      <c r="N3541">
        <v>-39857841</v>
      </c>
      <c r="P3541">
        <v>168</v>
      </c>
      <c r="Q3541" t="s">
        <v>7126</v>
      </c>
    </row>
    <row r="3542" spans="1:17" x14ac:dyDescent="0.3">
      <c r="A3542" t="s">
        <v>4446</v>
      </c>
      <c r="B3542" t="str">
        <f>"002825"</f>
        <v>002825</v>
      </c>
      <c r="C3542" t="s">
        <v>7127</v>
      </c>
      <c r="D3542" t="s">
        <v>133</v>
      </c>
      <c r="F3542">
        <v>-24537435</v>
      </c>
      <c r="G3542">
        <v>15328441</v>
      </c>
      <c r="H3542">
        <v>31519531</v>
      </c>
      <c r="I3542">
        <v>12887204</v>
      </c>
      <c r="J3542">
        <v>54694825</v>
      </c>
      <c r="K3542">
        <v>19013635</v>
      </c>
      <c r="L3542">
        <v>618829</v>
      </c>
      <c r="M3542">
        <v>45070204</v>
      </c>
      <c r="N3542">
        <v>32460740</v>
      </c>
      <c r="P3542">
        <v>100</v>
      </c>
      <c r="Q3542" t="s">
        <v>7128</v>
      </c>
    </row>
    <row r="3543" spans="1:17" x14ac:dyDescent="0.3">
      <c r="A3543" t="s">
        <v>4446</v>
      </c>
      <c r="B3543" t="str">
        <f>"002826"</f>
        <v>002826</v>
      </c>
      <c r="C3543" t="s">
        <v>7129</v>
      </c>
      <c r="D3543" t="s">
        <v>113</v>
      </c>
      <c r="F3543">
        <v>84383554</v>
      </c>
      <c r="G3543">
        <v>63341648</v>
      </c>
      <c r="H3543">
        <v>-111248706</v>
      </c>
      <c r="I3543">
        <v>-53677470</v>
      </c>
      <c r="J3543">
        <v>2821047</v>
      </c>
      <c r="K3543">
        <v>38668967</v>
      </c>
      <c r="L3543">
        <v>-73662150</v>
      </c>
      <c r="M3543">
        <v>-42937877</v>
      </c>
      <c r="N3543">
        <v>23644812</v>
      </c>
      <c r="P3543">
        <v>127</v>
      </c>
      <c r="Q3543" t="s">
        <v>7130</v>
      </c>
    </row>
    <row r="3544" spans="1:17" x14ac:dyDescent="0.3">
      <c r="A3544" t="s">
        <v>4446</v>
      </c>
      <c r="B3544" t="str">
        <f>"002827"</f>
        <v>002827</v>
      </c>
      <c r="C3544" t="s">
        <v>7131</v>
      </c>
      <c r="D3544" t="s">
        <v>133</v>
      </c>
      <c r="F3544">
        <v>-64085174</v>
      </c>
      <c r="G3544">
        <v>-99072711</v>
      </c>
      <c r="H3544">
        <v>-129223975</v>
      </c>
      <c r="I3544">
        <v>8939383</v>
      </c>
      <c r="J3544">
        <v>49546060</v>
      </c>
      <c r="K3544">
        <v>79809778</v>
      </c>
      <c r="L3544">
        <v>54815313</v>
      </c>
      <c r="M3544">
        <v>-72044749</v>
      </c>
      <c r="N3544">
        <v>21055694</v>
      </c>
      <c r="P3544">
        <v>89</v>
      </c>
      <c r="Q3544" t="s">
        <v>7132</v>
      </c>
    </row>
    <row r="3545" spans="1:17" x14ac:dyDescent="0.3">
      <c r="A3545" t="s">
        <v>4446</v>
      </c>
      <c r="B3545" t="str">
        <f>"002828"</f>
        <v>002828</v>
      </c>
      <c r="C3545" t="s">
        <v>7133</v>
      </c>
      <c r="D3545" t="s">
        <v>70</v>
      </c>
      <c r="F3545">
        <v>7498821</v>
      </c>
      <c r="G3545">
        <v>-92324811</v>
      </c>
      <c r="H3545">
        <v>-437261134</v>
      </c>
      <c r="I3545">
        <v>30122780</v>
      </c>
      <c r="J3545">
        <v>-133575476</v>
      </c>
      <c r="K3545">
        <v>44333053</v>
      </c>
      <c r="L3545">
        <v>38827292</v>
      </c>
      <c r="M3545">
        <v>82993457</v>
      </c>
      <c r="N3545">
        <v>-16046425</v>
      </c>
      <c r="P3545">
        <v>73</v>
      </c>
      <c r="Q3545" t="s">
        <v>7134</v>
      </c>
    </row>
    <row r="3546" spans="1:17" x14ac:dyDescent="0.3">
      <c r="A3546" t="s">
        <v>4446</v>
      </c>
      <c r="B3546" t="str">
        <f>"002829"</f>
        <v>002829</v>
      </c>
      <c r="C3546" t="s">
        <v>7135</v>
      </c>
      <c r="D3546" t="s">
        <v>92</v>
      </c>
      <c r="F3546">
        <v>48545277</v>
      </c>
      <c r="G3546">
        <v>162735865</v>
      </c>
      <c r="H3546">
        <v>18255535</v>
      </c>
      <c r="I3546">
        <v>-84603875</v>
      </c>
      <c r="J3546">
        <v>-82173894</v>
      </c>
      <c r="K3546">
        <v>39554124</v>
      </c>
      <c r="L3546">
        <v>-54699603</v>
      </c>
      <c r="M3546">
        <v>-18919695</v>
      </c>
      <c r="N3546">
        <v>67169153</v>
      </c>
      <c r="P3546">
        <v>132</v>
      </c>
      <c r="Q3546" t="s">
        <v>7136</v>
      </c>
    </row>
    <row r="3547" spans="1:17" x14ac:dyDescent="0.3">
      <c r="A3547" t="s">
        <v>4446</v>
      </c>
      <c r="B3547" t="str">
        <f>"002830"</f>
        <v>002830</v>
      </c>
      <c r="C3547" t="s">
        <v>7137</v>
      </c>
      <c r="D3547" t="s">
        <v>95</v>
      </c>
      <c r="F3547">
        <v>-8829563</v>
      </c>
      <c r="G3547">
        <v>125091029</v>
      </c>
      <c r="H3547">
        <v>68162317</v>
      </c>
      <c r="I3547">
        <v>85896164</v>
      </c>
      <c r="J3547">
        <v>127458442</v>
      </c>
      <c r="K3547">
        <v>81299269</v>
      </c>
      <c r="L3547">
        <v>118758926</v>
      </c>
      <c r="M3547">
        <v>62050028</v>
      </c>
      <c r="N3547">
        <v>123396014</v>
      </c>
      <c r="P3547">
        <v>78</v>
      </c>
      <c r="Q3547" t="s">
        <v>7138</v>
      </c>
    </row>
    <row r="3548" spans="1:17" x14ac:dyDescent="0.3">
      <c r="A3548" t="s">
        <v>4446</v>
      </c>
      <c r="B3548" t="str">
        <f>"002831"</f>
        <v>002831</v>
      </c>
      <c r="C3548" t="s">
        <v>7139</v>
      </c>
      <c r="D3548" t="s">
        <v>161</v>
      </c>
      <c r="F3548">
        <v>-610164041</v>
      </c>
      <c r="G3548">
        <v>-609112450</v>
      </c>
      <c r="H3548">
        <v>316942266</v>
      </c>
      <c r="I3548">
        <v>68285151</v>
      </c>
      <c r="J3548">
        <v>-143477628</v>
      </c>
      <c r="K3548">
        <v>-535930888</v>
      </c>
      <c r="L3548">
        <v>-149442361</v>
      </c>
      <c r="M3548">
        <v>33541552</v>
      </c>
      <c r="N3548">
        <v>112814335</v>
      </c>
      <c r="P3548">
        <v>664</v>
      </c>
      <c r="Q3548" t="s">
        <v>7140</v>
      </c>
    </row>
    <row r="3549" spans="1:17" x14ac:dyDescent="0.3">
      <c r="A3549" t="s">
        <v>4446</v>
      </c>
      <c r="B3549" t="str">
        <f>"002832"</f>
        <v>002832</v>
      </c>
      <c r="C3549" t="s">
        <v>7141</v>
      </c>
      <c r="D3549" t="s">
        <v>227</v>
      </c>
      <c r="F3549">
        <v>682060761</v>
      </c>
      <c r="G3549">
        <v>541895948</v>
      </c>
      <c r="H3549">
        <v>107113471</v>
      </c>
      <c r="I3549">
        <v>65424120</v>
      </c>
      <c r="J3549">
        <v>-20404576</v>
      </c>
      <c r="K3549">
        <v>65126755</v>
      </c>
      <c r="L3549">
        <v>104831640</v>
      </c>
      <c r="M3549">
        <v>98746073</v>
      </c>
      <c r="N3549">
        <v>82623938</v>
      </c>
      <c r="P3549">
        <v>641</v>
      </c>
      <c r="Q3549" t="s">
        <v>7142</v>
      </c>
    </row>
    <row r="3550" spans="1:17" x14ac:dyDescent="0.3">
      <c r="A3550" t="s">
        <v>4446</v>
      </c>
      <c r="B3550" t="str">
        <f>"002833"</f>
        <v>002833</v>
      </c>
      <c r="C3550" t="s">
        <v>7143</v>
      </c>
      <c r="D3550" t="s">
        <v>78</v>
      </c>
      <c r="F3550">
        <v>129068718</v>
      </c>
      <c r="G3550">
        <v>150117371</v>
      </c>
      <c r="H3550">
        <v>249601960</v>
      </c>
      <c r="I3550">
        <v>244311292</v>
      </c>
      <c r="J3550">
        <v>293483763</v>
      </c>
      <c r="K3550">
        <v>146973244</v>
      </c>
      <c r="L3550">
        <v>69902506</v>
      </c>
      <c r="M3550">
        <v>-32635519</v>
      </c>
      <c r="N3550">
        <v>46110132</v>
      </c>
      <c r="P3550">
        <v>2870</v>
      </c>
      <c r="Q3550" t="s">
        <v>7144</v>
      </c>
    </row>
    <row r="3551" spans="1:17" x14ac:dyDescent="0.3">
      <c r="A3551" t="s">
        <v>4446</v>
      </c>
      <c r="B3551" t="str">
        <f>"002835"</f>
        <v>002835</v>
      </c>
      <c r="C3551" t="s">
        <v>7145</v>
      </c>
      <c r="D3551" t="s">
        <v>212</v>
      </c>
      <c r="F3551">
        <v>-53231639</v>
      </c>
      <c r="G3551">
        <v>15625607</v>
      </c>
      <c r="H3551">
        <v>50197537</v>
      </c>
      <c r="I3551">
        <v>-67043182</v>
      </c>
      <c r="J3551">
        <v>-56788188</v>
      </c>
      <c r="K3551">
        <v>-101904508</v>
      </c>
      <c r="L3551">
        <v>22859424</v>
      </c>
      <c r="M3551">
        <v>19606193</v>
      </c>
      <c r="N3551">
        <v>49326162</v>
      </c>
      <c r="P3551">
        <v>94</v>
      </c>
      <c r="Q3551" t="s">
        <v>7146</v>
      </c>
    </row>
    <row r="3552" spans="1:17" x14ac:dyDescent="0.3">
      <c r="A3552" t="s">
        <v>4446</v>
      </c>
      <c r="B3552" t="str">
        <f>"002836"</f>
        <v>002836</v>
      </c>
      <c r="C3552" t="s">
        <v>7147</v>
      </c>
      <c r="D3552" t="s">
        <v>161</v>
      </c>
      <c r="F3552">
        <v>35353238</v>
      </c>
      <c r="G3552">
        <v>76565275</v>
      </c>
      <c r="H3552">
        <v>82669575</v>
      </c>
      <c r="I3552">
        <v>77057095</v>
      </c>
      <c r="J3552">
        <v>-51691901</v>
      </c>
      <c r="K3552">
        <v>48943914</v>
      </c>
      <c r="L3552">
        <v>48721435</v>
      </c>
      <c r="M3552">
        <v>38142694</v>
      </c>
      <c r="N3552">
        <v>89226104</v>
      </c>
      <c r="P3552">
        <v>63</v>
      </c>
      <c r="Q3552" t="s">
        <v>7148</v>
      </c>
    </row>
    <row r="3553" spans="1:17" x14ac:dyDescent="0.3">
      <c r="A3553" t="s">
        <v>4446</v>
      </c>
      <c r="B3553" t="str">
        <f>"002837"</f>
        <v>002837</v>
      </c>
      <c r="C3553" t="s">
        <v>7149</v>
      </c>
      <c r="D3553" t="s">
        <v>78</v>
      </c>
      <c r="F3553">
        <v>86433675</v>
      </c>
      <c r="G3553">
        <v>-74054273</v>
      </c>
      <c r="H3553">
        <v>267283589</v>
      </c>
      <c r="I3553">
        <v>-360839871</v>
      </c>
      <c r="J3553">
        <v>-97704688</v>
      </c>
      <c r="K3553">
        <v>39471104</v>
      </c>
      <c r="L3553">
        <v>39186242</v>
      </c>
      <c r="M3553">
        <v>25643562</v>
      </c>
      <c r="N3553">
        <v>-7366908</v>
      </c>
      <c r="P3553">
        <v>397</v>
      </c>
      <c r="Q3553" t="s">
        <v>7150</v>
      </c>
    </row>
    <row r="3554" spans="1:17" x14ac:dyDescent="0.3">
      <c r="A3554" t="s">
        <v>4446</v>
      </c>
      <c r="B3554" t="str">
        <f>"002838"</f>
        <v>002838</v>
      </c>
      <c r="C3554" t="s">
        <v>7151</v>
      </c>
      <c r="D3554" t="s">
        <v>133</v>
      </c>
      <c r="F3554">
        <v>-391548700</v>
      </c>
      <c r="G3554">
        <v>673434243</v>
      </c>
      <c r="H3554">
        <v>111938297</v>
      </c>
      <c r="I3554">
        <v>-58948596</v>
      </c>
      <c r="J3554">
        <v>-52588095</v>
      </c>
      <c r="K3554">
        <v>-5013398</v>
      </c>
      <c r="L3554">
        <v>14611062</v>
      </c>
      <c r="M3554">
        <v>10778076</v>
      </c>
      <c r="N3554">
        <v>-12954889</v>
      </c>
      <c r="P3554">
        <v>614</v>
      </c>
      <c r="Q3554" t="s">
        <v>7152</v>
      </c>
    </row>
    <row r="3555" spans="1:17" x14ac:dyDescent="0.3">
      <c r="A3555" t="s">
        <v>4446</v>
      </c>
      <c r="B3555" t="str">
        <f>"002839"</f>
        <v>002839</v>
      </c>
      <c r="C3555" t="s">
        <v>7153</v>
      </c>
      <c r="D3555" t="s">
        <v>19</v>
      </c>
      <c r="F3555">
        <v>-135098575</v>
      </c>
      <c r="G3555">
        <v>7238370826</v>
      </c>
      <c r="H3555">
        <v>-4045654467</v>
      </c>
      <c r="I3555">
        <v>-3970047441</v>
      </c>
      <c r="J3555">
        <v>5314076871</v>
      </c>
      <c r="K3555">
        <v>6090096060</v>
      </c>
      <c r="L3555">
        <v>7643453940</v>
      </c>
      <c r="M3555">
        <v>-3649824810</v>
      </c>
      <c r="N3555">
        <v>-5494075428</v>
      </c>
      <c r="O3555">
        <v>2337387200</v>
      </c>
      <c r="P3555">
        <v>474</v>
      </c>
      <c r="Q3555" t="s">
        <v>7154</v>
      </c>
    </row>
    <row r="3556" spans="1:17" x14ac:dyDescent="0.3">
      <c r="A3556" t="s">
        <v>4446</v>
      </c>
      <c r="B3556" t="str">
        <f>"002840"</f>
        <v>002840</v>
      </c>
      <c r="C3556" t="s">
        <v>7155</v>
      </c>
      <c r="D3556" t="s">
        <v>123</v>
      </c>
      <c r="F3556">
        <v>-1974248311</v>
      </c>
      <c r="G3556">
        <v>-1202926735</v>
      </c>
      <c r="H3556">
        <v>-392158662</v>
      </c>
      <c r="I3556">
        <v>-42953883</v>
      </c>
      <c r="J3556">
        <v>84588657</v>
      </c>
      <c r="K3556">
        <v>139886829</v>
      </c>
      <c r="L3556">
        <v>-136748317</v>
      </c>
      <c r="M3556">
        <v>-88994191</v>
      </c>
      <c r="N3556">
        <v>-32685106</v>
      </c>
      <c r="P3556">
        <v>600</v>
      </c>
      <c r="Q3556" t="s">
        <v>7156</v>
      </c>
    </row>
    <row r="3557" spans="1:17" x14ac:dyDescent="0.3">
      <c r="A3557" t="s">
        <v>4446</v>
      </c>
      <c r="B3557" t="str">
        <f>"002841"</f>
        <v>002841</v>
      </c>
      <c r="C3557" t="s">
        <v>7157</v>
      </c>
      <c r="D3557" t="s">
        <v>110</v>
      </c>
      <c r="F3557">
        <v>2040968136</v>
      </c>
      <c r="G3557">
        <v>1549843192</v>
      </c>
      <c r="H3557">
        <v>1905865785</v>
      </c>
      <c r="I3557">
        <v>1300792246</v>
      </c>
      <c r="J3557">
        <v>588901788</v>
      </c>
      <c r="K3557">
        <v>598405484</v>
      </c>
      <c r="L3557">
        <v>366532690</v>
      </c>
      <c r="M3557">
        <v>141190450</v>
      </c>
      <c r="N3557">
        <v>338118057</v>
      </c>
      <c r="P3557">
        <v>3100</v>
      </c>
      <c r="Q3557" t="s">
        <v>7158</v>
      </c>
    </row>
    <row r="3558" spans="1:17" x14ac:dyDescent="0.3">
      <c r="A3558" t="s">
        <v>4446</v>
      </c>
      <c r="B3558" t="str">
        <f>"002842"</f>
        <v>002842</v>
      </c>
      <c r="C3558" t="s">
        <v>7159</v>
      </c>
      <c r="D3558" t="s">
        <v>234</v>
      </c>
      <c r="F3558">
        <v>39254648</v>
      </c>
      <c r="G3558">
        <v>-31964570</v>
      </c>
      <c r="H3558">
        <v>-285989604</v>
      </c>
      <c r="I3558">
        <v>-117146728</v>
      </c>
      <c r="J3558">
        <v>-237618491</v>
      </c>
      <c r="K3558">
        <v>69737714</v>
      </c>
      <c r="L3558">
        <v>34321522</v>
      </c>
      <c r="M3558">
        <v>33207245</v>
      </c>
      <c r="N3558">
        <v>80352999</v>
      </c>
      <c r="P3558">
        <v>99</v>
      </c>
      <c r="Q3558" t="s">
        <v>7160</v>
      </c>
    </row>
    <row r="3559" spans="1:17" x14ac:dyDescent="0.3">
      <c r="A3559" t="s">
        <v>4446</v>
      </c>
      <c r="B3559" t="str">
        <f>"002843"</f>
        <v>002843</v>
      </c>
      <c r="C3559" t="s">
        <v>7161</v>
      </c>
      <c r="D3559" t="s">
        <v>78</v>
      </c>
      <c r="F3559">
        <v>144976633</v>
      </c>
      <c r="G3559">
        <v>60815920</v>
      </c>
      <c r="H3559">
        <v>-36119761</v>
      </c>
      <c r="I3559">
        <v>2378545</v>
      </c>
      <c r="J3559">
        <v>38814483</v>
      </c>
      <c r="K3559">
        <v>76143755</v>
      </c>
      <c r="L3559">
        <v>74561274</v>
      </c>
      <c r="M3559">
        <v>55331871</v>
      </c>
      <c r="N3559">
        <v>43860249</v>
      </c>
      <c r="P3559">
        <v>73</v>
      </c>
      <c r="Q3559" t="s">
        <v>7162</v>
      </c>
    </row>
    <row r="3560" spans="1:17" x14ac:dyDescent="0.3">
      <c r="A3560" t="s">
        <v>4446</v>
      </c>
      <c r="B3560" t="str">
        <f>"002845"</f>
        <v>002845</v>
      </c>
      <c r="C3560" t="s">
        <v>7163</v>
      </c>
      <c r="D3560" t="s">
        <v>150</v>
      </c>
      <c r="F3560">
        <v>560560940</v>
      </c>
      <c r="G3560">
        <v>-456674229</v>
      </c>
      <c r="H3560">
        <v>-41481765</v>
      </c>
      <c r="I3560">
        <v>73842517</v>
      </c>
      <c r="J3560">
        <v>-103871087</v>
      </c>
      <c r="K3560">
        <v>-119595601</v>
      </c>
      <c r="L3560">
        <v>121118624</v>
      </c>
      <c r="M3560">
        <v>-103666387</v>
      </c>
      <c r="N3560">
        <v>30244312</v>
      </c>
      <c r="P3560">
        <v>222</v>
      </c>
      <c r="Q3560" t="s">
        <v>7164</v>
      </c>
    </row>
    <row r="3561" spans="1:17" x14ac:dyDescent="0.3">
      <c r="A3561" t="s">
        <v>4446</v>
      </c>
      <c r="B3561" t="str">
        <f>"002846"</f>
        <v>002846</v>
      </c>
      <c r="C3561" t="s">
        <v>7165</v>
      </c>
      <c r="D3561" t="s">
        <v>161</v>
      </c>
      <c r="F3561">
        <v>-320813355</v>
      </c>
      <c r="G3561">
        <v>-216352652</v>
      </c>
      <c r="H3561">
        <v>-80987159</v>
      </c>
      <c r="I3561">
        <v>-28295817</v>
      </c>
      <c r="J3561">
        <v>-102020028</v>
      </c>
      <c r="K3561">
        <v>14971238</v>
      </c>
      <c r="L3561">
        <v>35048219</v>
      </c>
      <c r="M3561">
        <v>26294066</v>
      </c>
      <c r="N3561">
        <v>2258306</v>
      </c>
      <c r="P3561">
        <v>109</v>
      </c>
      <c r="Q3561" t="s">
        <v>7166</v>
      </c>
    </row>
    <row r="3562" spans="1:17" x14ac:dyDescent="0.3">
      <c r="A3562" t="s">
        <v>4446</v>
      </c>
      <c r="B3562" t="str">
        <f>"002847"</f>
        <v>002847</v>
      </c>
      <c r="C3562" t="s">
        <v>7167</v>
      </c>
      <c r="D3562" t="s">
        <v>123</v>
      </c>
      <c r="F3562">
        <v>147016179</v>
      </c>
      <c r="G3562">
        <v>-15729101</v>
      </c>
      <c r="H3562">
        <v>-165340538</v>
      </c>
      <c r="I3562">
        <v>-65142736</v>
      </c>
      <c r="J3562">
        <v>-182004568</v>
      </c>
      <c r="K3562">
        <v>34287058</v>
      </c>
      <c r="L3562">
        <v>9270029</v>
      </c>
      <c r="M3562">
        <v>-14238043</v>
      </c>
      <c r="N3562">
        <v>19493258</v>
      </c>
      <c r="P3562">
        <v>742</v>
      </c>
      <c r="Q3562" t="s">
        <v>7168</v>
      </c>
    </row>
    <row r="3563" spans="1:17" x14ac:dyDescent="0.3">
      <c r="A3563" t="s">
        <v>4446</v>
      </c>
      <c r="B3563" t="str">
        <f>"002848"</f>
        <v>002848</v>
      </c>
      <c r="C3563" t="s">
        <v>7169</v>
      </c>
      <c r="D3563" t="s">
        <v>126</v>
      </c>
      <c r="F3563">
        <v>-64929092</v>
      </c>
      <c r="G3563">
        <v>-68990917</v>
      </c>
      <c r="H3563">
        <v>34504860</v>
      </c>
      <c r="I3563">
        <v>-78216046</v>
      </c>
      <c r="J3563">
        <v>-95423836</v>
      </c>
      <c r="K3563">
        <v>-63485490</v>
      </c>
      <c r="L3563">
        <v>100352919</v>
      </c>
      <c r="M3563">
        <v>32369716</v>
      </c>
      <c r="N3563">
        <v>28536040</v>
      </c>
      <c r="P3563">
        <v>189</v>
      </c>
      <c r="Q3563" t="s">
        <v>7170</v>
      </c>
    </row>
    <row r="3564" spans="1:17" x14ac:dyDescent="0.3">
      <c r="A3564" t="s">
        <v>4446</v>
      </c>
      <c r="B3564" t="str">
        <f>"002849"</f>
        <v>002849</v>
      </c>
      <c r="C3564" t="s">
        <v>7171</v>
      </c>
      <c r="D3564" t="s">
        <v>78</v>
      </c>
      <c r="F3564">
        <v>-5490978</v>
      </c>
      <c r="G3564">
        <v>36721862</v>
      </c>
      <c r="H3564">
        <v>-66459174</v>
      </c>
      <c r="I3564">
        <v>857959</v>
      </c>
      <c r="J3564">
        <v>-26540223</v>
      </c>
      <c r="K3564">
        <v>8452884</v>
      </c>
      <c r="L3564">
        <v>1655493</v>
      </c>
      <c r="M3564">
        <v>2997848</v>
      </c>
      <c r="P3564">
        <v>177</v>
      </c>
      <c r="Q3564" t="s">
        <v>7172</v>
      </c>
    </row>
    <row r="3565" spans="1:17" x14ac:dyDescent="0.3">
      <c r="A3565" t="s">
        <v>4446</v>
      </c>
      <c r="B3565" t="str">
        <f>"002850"</f>
        <v>002850</v>
      </c>
      <c r="C3565" t="s">
        <v>7173</v>
      </c>
      <c r="D3565" t="s">
        <v>188</v>
      </c>
      <c r="F3565">
        <v>-848287156</v>
      </c>
      <c r="G3565">
        <v>-361621484</v>
      </c>
      <c r="H3565">
        <v>-49124700</v>
      </c>
      <c r="I3565">
        <v>-348640076</v>
      </c>
      <c r="J3565">
        <v>-706692176</v>
      </c>
      <c r="K3565">
        <v>-10431334</v>
      </c>
      <c r="L3565">
        <v>-8036244</v>
      </c>
      <c r="M3565">
        <v>-64635020</v>
      </c>
      <c r="P3565">
        <v>379</v>
      </c>
      <c r="Q3565" t="s">
        <v>7174</v>
      </c>
    </row>
    <row r="3566" spans="1:17" x14ac:dyDescent="0.3">
      <c r="A3566" t="s">
        <v>4446</v>
      </c>
      <c r="B3566" t="str">
        <f>"002851"</f>
        <v>002851</v>
      </c>
      <c r="C3566" t="s">
        <v>7175</v>
      </c>
      <c r="D3566" t="s">
        <v>188</v>
      </c>
      <c r="F3566">
        <v>-355064988</v>
      </c>
      <c r="G3566">
        <v>251040243</v>
      </c>
      <c r="H3566">
        <v>397710034</v>
      </c>
      <c r="I3566">
        <v>-152211353</v>
      </c>
      <c r="J3566">
        <v>30730471</v>
      </c>
      <c r="K3566">
        <v>-679342</v>
      </c>
      <c r="L3566">
        <v>-22758455</v>
      </c>
      <c r="M3566">
        <v>-85315960</v>
      </c>
      <c r="P3566">
        <v>566</v>
      </c>
      <c r="Q3566" t="s">
        <v>7176</v>
      </c>
    </row>
    <row r="3567" spans="1:17" x14ac:dyDescent="0.3">
      <c r="A3567" t="s">
        <v>4446</v>
      </c>
      <c r="B3567" t="str">
        <f>"002852"</f>
        <v>002852</v>
      </c>
      <c r="C3567" t="s">
        <v>7177</v>
      </c>
      <c r="D3567" t="s">
        <v>205</v>
      </c>
      <c r="F3567">
        <v>-666258610</v>
      </c>
      <c r="G3567">
        <v>-545914019</v>
      </c>
      <c r="H3567">
        <v>-446601993</v>
      </c>
      <c r="I3567">
        <v>76088787</v>
      </c>
      <c r="J3567">
        <v>-208754461</v>
      </c>
      <c r="K3567">
        <v>-189339951</v>
      </c>
      <c r="L3567">
        <v>215750944</v>
      </c>
      <c r="M3567">
        <v>60104718</v>
      </c>
      <c r="P3567">
        <v>141</v>
      </c>
      <c r="Q3567" t="s">
        <v>7178</v>
      </c>
    </row>
    <row r="3568" spans="1:17" x14ac:dyDescent="0.3">
      <c r="A3568" t="s">
        <v>4446</v>
      </c>
      <c r="B3568" t="str">
        <f>"002853"</f>
        <v>002853</v>
      </c>
      <c r="C3568" t="s">
        <v>7179</v>
      </c>
      <c r="D3568" t="s">
        <v>161</v>
      </c>
      <c r="F3568">
        <v>-522422225</v>
      </c>
      <c r="G3568">
        <v>124527705</v>
      </c>
      <c r="H3568">
        <v>-67936628</v>
      </c>
      <c r="I3568">
        <v>-145616021</v>
      </c>
      <c r="J3568">
        <v>24025785</v>
      </c>
      <c r="K3568">
        <v>71036842</v>
      </c>
      <c r="L3568">
        <v>89503093</v>
      </c>
      <c r="M3568">
        <v>-7308986</v>
      </c>
      <c r="P3568">
        <v>379</v>
      </c>
      <c r="Q3568" t="s">
        <v>7180</v>
      </c>
    </row>
    <row r="3569" spans="1:17" x14ac:dyDescent="0.3">
      <c r="A3569" t="s">
        <v>4446</v>
      </c>
      <c r="B3569" t="str">
        <f>"002855"</f>
        <v>002855</v>
      </c>
      <c r="C3569" t="s">
        <v>7181</v>
      </c>
      <c r="D3569" t="s">
        <v>150</v>
      </c>
      <c r="F3569">
        <v>12520828</v>
      </c>
      <c r="G3569">
        <v>171723368</v>
      </c>
      <c r="H3569">
        <v>149563743</v>
      </c>
      <c r="I3569">
        <v>-149777500</v>
      </c>
      <c r="J3569">
        <v>-285737576</v>
      </c>
      <c r="K3569">
        <v>8645899</v>
      </c>
      <c r="L3569">
        <v>9455561</v>
      </c>
      <c r="M3569">
        <v>55203302</v>
      </c>
      <c r="P3569">
        <v>138</v>
      </c>
      <c r="Q3569" t="s">
        <v>7182</v>
      </c>
    </row>
    <row r="3570" spans="1:17" x14ac:dyDescent="0.3">
      <c r="A3570" t="s">
        <v>4446</v>
      </c>
      <c r="B3570" t="str">
        <f>"002856"</f>
        <v>002856</v>
      </c>
      <c r="C3570" t="s">
        <v>7183</v>
      </c>
      <c r="D3570" t="s">
        <v>95</v>
      </c>
      <c r="F3570">
        <v>-59723147</v>
      </c>
      <c r="G3570">
        <v>-68060609</v>
      </c>
      <c r="H3570">
        <v>-31510292</v>
      </c>
      <c r="I3570">
        <v>-285780236</v>
      </c>
      <c r="J3570">
        <v>15843379</v>
      </c>
      <c r="K3570">
        <v>72099622</v>
      </c>
      <c r="L3570">
        <v>5692030</v>
      </c>
      <c r="M3570">
        <v>-108007080</v>
      </c>
      <c r="P3570">
        <v>51</v>
      </c>
      <c r="Q3570" t="s">
        <v>7184</v>
      </c>
    </row>
    <row r="3571" spans="1:17" x14ac:dyDescent="0.3">
      <c r="A3571" t="s">
        <v>4446</v>
      </c>
      <c r="B3571" t="str">
        <f>"002857"</f>
        <v>002857</v>
      </c>
      <c r="C3571" t="s">
        <v>7185</v>
      </c>
      <c r="D3571" t="s">
        <v>188</v>
      </c>
      <c r="F3571">
        <v>10729936</v>
      </c>
      <c r="G3571">
        <v>43451452</v>
      </c>
      <c r="H3571">
        <v>18726949</v>
      </c>
      <c r="I3571">
        <v>3555495</v>
      </c>
      <c r="J3571">
        <v>-2261997</v>
      </c>
      <c r="K3571">
        <v>11446128</v>
      </c>
      <c r="L3571">
        <v>-1775677</v>
      </c>
      <c r="M3571">
        <v>52119353</v>
      </c>
      <c r="N3571">
        <v>-41727230</v>
      </c>
      <c r="P3571">
        <v>45</v>
      </c>
      <c r="Q3571" t="s">
        <v>7186</v>
      </c>
    </row>
    <row r="3572" spans="1:17" x14ac:dyDescent="0.3">
      <c r="A3572" t="s">
        <v>4446</v>
      </c>
      <c r="B3572" t="str">
        <f>"002858"</f>
        <v>002858</v>
      </c>
      <c r="C3572" t="s">
        <v>7187</v>
      </c>
      <c r="D3572" t="s">
        <v>110</v>
      </c>
      <c r="F3572">
        <v>21255209</v>
      </c>
      <c r="G3572">
        <v>47281367</v>
      </c>
      <c r="H3572">
        <v>47496012</v>
      </c>
      <c r="I3572">
        <v>-24339321</v>
      </c>
      <c r="J3572">
        <v>-19303153</v>
      </c>
      <c r="K3572">
        <v>37245301</v>
      </c>
      <c r="L3572">
        <v>3386172</v>
      </c>
      <c r="M3572">
        <v>4163966</v>
      </c>
      <c r="P3572">
        <v>75</v>
      </c>
      <c r="Q3572" t="s">
        <v>7188</v>
      </c>
    </row>
    <row r="3573" spans="1:17" x14ac:dyDescent="0.3">
      <c r="A3573" t="s">
        <v>4446</v>
      </c>
      <c r="B3573" t="str">
        <f>"002859"</f>
        <v>002859</v>
      </c>
      <c r="C3573" t="s">
        <v>7189</v>
      </c>
      <c r="D3573" t="s">
        <v>150</v>
      </c>
      <c r="F3573">
        <v>-409924148</v>
      </c>
      <c r="G3573">
        <v>-243755391</v>
      </c>
      <c r="H3573">
        <v>124513875</v>
      </c>
      <c r="I3573">
        <v>-41013553</v>
      </c>
      <c r="J3573">
        <v>-47903829</v>
      </c>
      <c r="K3573">
        <v>-95414325</v>
      </c>
      <c r="L3573">
        <v>-7696544</v>
      </c>
      <c r="M3573">
        <v>-43653764</v>
      </c>
      <c r="P3573">
        <v>2971</v>
      </c>
      <c r="Q3573" t="s">
        <v>7190</v>
      </c>
    </row>
    <row r="3574" spans="1:17" x14ac:dyDescent="0.3">
      <c r="A3574" t="s">
        <v>4446</v>
      </c>
      <c r="B3574" t="str">
        <f>"002860"</f>
        <v>002860</v>
      </c>
      <c r="C3574" t="s">
        <v>7191</v>
      </c>
      <c r="D3574" t="s">
        <v>126</v>
      </c>
      <c r="F3574">
        <v>10773766</v>
      </c>
      <c r="G3574">
        <v>33967717</v>
      </c>
      <c r="H3574">
        <v>86573150</v>
      </c>
      <c r="I3574">
        <v>61104470</v>
      </c>
      <c r="J3574">
        <v>69081210</v>
      </c>
      <c r="K3574">
        <v>62640794</v>
      </c>
      <c r="L3574">
        <v>48441293</v>
      </c>
      <c r="M3574">
        <v>36008939</v>
      </c>
      <c r="P3574">
        <v>249</v>
      </c>
      <c r="Q3574" t="s">
        <v>7192</v>
      </c>
    </row>
    <row r="3575" spans="1:17" x14ac:dyDescent="0.3">
      <c r="A3575" t="s">
        <v>4446</v>
      </c>
      <c r="B3575" t="str">
        <f>"002861"</f>
        <v>002861</v>
      </c>
      <c r="C3575" t="s">
        <v>7193</v>
      </c>
      <c r="D3575" t="s">
        <v>150</v>
      </c>
      <c r="F3575">
        <v>-44161838</v>
      </c>
      <c r="G3575">
        <v>-57860926</v>
      </c>
      <c r="H3575">
        <v>35440250</v>
      </c>
      <c r="I3575">
        <v>-80322060</v>
      </c>
      <c r="J3575">
        <v>3020951</v>
      </c>
      <c r="K3575">
        <v>37513996</v>
      </c>
      <c r="L3575">
        <v>93228117</v>
      </c>
      <c r="M3575">
        <v>32895180</v>
      </c>
      <c r="P3575">
        <v>155</v>
      </c>
      <c r="Q3575" t="s">
        <v>7194</v>
      </c>
    </row>
    <row r="3576" spans="1:17" x14ac:dyDescent="0.3">
      <c r="A3576" t="s">
        <v>4446</v>
      </c>
      <c r="B3576" t="str">
        <f>"002862"</f>
        <v>002862</v>
      </c>
      <c r="C3576" t="s">
        <v>7195</v>
      </c>
      <c r="D3576" t="s">
        <v>161</v>
      </c>
      <c r="F3576">
        <v>-19040915</v>
      </c>
      <c r="G3576">
        <v>-35346033</v>
      </c>
      <c r="H3576">
        <v>-2304865</v>
      </c>
      <c r="I3576">
        <v>-24961527</v>
      </c>
      <c r="J3576">
        <v>-74627455</v>
      </c>
      <c r="K3576">
        <v>45212752</v>
      </c>
      <c r="L3576">
        <v>3115265</v>
      </c>
      <c r="M3576">
        <v>55448157</v>
      </c>
      <c r="P3576">
        <v>66</v>
      </c>
      <c r="Q3576" t="s">
        <v>7196</v>
      </c>
    </row>
    <row r="3577" spans="1:17" x14ac:dyDescent="0.3">
      <c r="A3577" t="s">
        <v>4446</v>
      </c>
      <c r="B3577" t="str">
        <f>"002863"</f>
        <v>002863</v>
      </c>
      <c r="C3577" t="s">
        <v>7197</v>
      </c>
      <c r="D3577" t="s">
        <v>27</v>
      </c>
      <c r="F3577">
        <v>-161903787</v>
      </c>
      <c r="G3577">
        <v>-346266898</v>
      </c>
      <c r="H3577">
        <v>-262008311</v>
      </c>
      <c r="I3577">
        <v>-101862701</v>
      </c>
      <c r="J3577">
        <v>-538017957</v>
      </c>
      <c r="K3577">
        <v>-37790991</v>
      </c>
      <c r="L3577">
        <v>137275492</v>
      </c>
      <c r="M3577">
        <v>-45290801</v>
      </c>
      <c r="P3577">
        <v>104</v>
      </c>
      <c r="Q3577" t="s">
        <v>7198</v>
      </c>
    </row>
    <row r="3578" spans="1:17" x14ac:dyDescent="0.3">
      <c r="A3578" t="s">
        <v>4446</v>
      </c>
      <c r="B3578" t="str">
        <f>"002864"</f>
        <v>002864</v>
      </c>
      <c r="C3578" t="s">
        <v>7199</v>
      </c>
      <c r="D3578" t="s">
        <v>113</v>
      </c>
      <c r="F3578">
        <v>35387618</v>
      </c>
      <c r="G3578">
        <v>21234395</v>
      </c>
      <c r="H3578">
        <v>35230754</v>
      </c>
      <c r="I3578">
        <v>29102724</v>
      </c>
      <c r="J3578">
        <v>5984481</v>
      </c>
      <c r="K3578">
        <v>45085327</v>
      </c>
      <c r="L3578">
        <v>-4457315</v>
      </c>
      <c r="M3578">
        <v>16132047</v>
      </c>
      <c r="P3578">
        <v>184</v>
      </c>
      <c r="Q3578" t="s">
        <v>7200</v>
      </c>
    </row>
    <row r="3579" spans="1:17" x14ac:dyDescent="0.3">
      <c r="A3579" t="s">
        <v>4446</v>
      </c>
      <c r="B3579" t="str">
        <f>"002865"</f>
        <v>002865</v>
      </c>
      <c r="C3579" t="s">
        <v>7201</v>
      </c>
      <c r="D3579" t="s">
        <v>27</v>
      </c>
      <c r="F3579">
        <v>428801977</v>
      </c>
      <c r="G3579">
        <v>-67014748</v>
      </c>
      <c r="H3579">
        <v>-159048685</v>
      </c>
      <c r="I3579">
        <v>-198802883</v>
      </c>
      <c r="J3579">
        <v>-106160289</v>
      </c>
      <c r="K3579">
        <v>83218602</v>
      </c>
      <c r="L3579">
        <v>55227475</v>
      </c>
      <c r="M3579">
        <v>43106654</v>
      </c>
      <c r="P3579">
        <v>111</v>
      </c>
      <c r="Q3579" t="s">
        <v>7202</v>
      </c>
    </row>
    <row r="3580" spans="1:17" x14ac:dyDescent="0.3">
      <c r="A3580" t="s">
        <v>4446</v>
      </c>
      <c r="B3580" t="str">
        <f>"002866"</f>
        <v>002866</v>
      </c>
      <c r="C3580" t="s">
        <v>7203</v>
      </c>
      <c r="D3580" t="s">
        <v>150</v>
      </c>
      <c r="F3580">
        <v>-116760434</v>
      </c>
      <c r="G3580">
        <v>2903257</v>
      </c>
      <c r="H3580">
        <v>3005937</v>
      </c>
      <c r="I3580">
        <v>-217330708</v>
      </c>
      <c r="J3580">
        <v>-5774949</v>
      </c>
      <c r="K3580">
        <v>14824187</v>
      </c>
      <c r="L3580">
        <v>-9396728</v>
      </c>
      <c r="M3580">
        <v>-19288358</v>
      </c>
      <c r="P3580">
        <v>161</v>
      </c>
      <c r="Q3580" t="s">
        <v>7204</v>
      </c>
    </row>
    <row r="3581" spans="1:17" x14ac:dyDescent="0.3">
      <c r="A3581" t="s">
        <v>4446</v>
      </c>
      <c r="B3581" t="str">
        <f>"002867"</f>
        <v>002867</v>
      </c>
      <c r="C3581" t="s">
        <v>7205</v>
      </c>
      <c r="D3581" t="s">
        <v>227</v>
      </c>
      <c r="F3581">
        <v>43495170</v>
      </c>
      <c r="G3581">
        <v>1230002313</v>
      </c>
      <c r="H3581">
        <v>616793538</v>
      </c>
      <c r="I3581">
        <v>-14451958</v>
      </c>
      <c r="J3581">
        <v>320400305</v>
      </c>
      <c r="K3581">
        <v>379525336</v>
      </c>
      <c r="L3581">
        <v>295526760</v>
      </c>
      <c r="M3581">
        <v>79886386</v>
      </c>
      <c r="P3581">
        <v>1642</v>
      </c>
      <c r="Q3581" t="s">
        <v>7206</v>
      </c>
    </row>
    <row r="3582" spans="1:17" x14ac:dyDescent="0.3">
      <c r="A3582" t="s">
        <v>4446</v>
      </c>
      <c r="B3582" t="str">
        <f>"002868"</f>
        <v>002868</v>
      </c>
      <c r="C3582" t="s">
        <v>7207</v>
      </c>
      <c r="D3582" t="s">
        <v>205</v>
      </c>
      <c r="F3582">
        <v>-317753884</v>
      </c>
      <c r="G3582">
        <v>-159789327</v>
      </c>
      <c r="H3582">
        <v>-51513666</v>
      </c>
      <c r="I3582">
        <v>40531701</v>
      </c>
      <c r="J3582">
        <v>77544704</v>
      </c>
      <c r="K3582">
        <v>120609152</v>
      </c>
      <c r="L3582">
        <v>90848186</v>
      </c>
      <c r="M3582">
        <v>40096954</v>
      </c>
      <c r="P3582">
        <v>88</v>
      </c>
      <c r="Q3582" t="s">
        <v>7208</v>
      </c>
    </row>
    <row r="3583" spans="1:17" x14ac:dyDescent="0.3">
      <c r="A3583" t="s">
        <v>4446</v>
      </c>
      <c r="B3583" t="str">
        <f>"002869"</f>
        <v>002869</v>
      </c>
      <c r="C3583" t="s">
        <v>7209</v>
      </c>
      <c r="D3583" t="s">
        <v>150</v>
      </c>
      <c r="F3583">
        <v>-68831358</v>
      </c>
      <c r="G3583">
        <v>-175767753</v>
      </c>
      <c r="H3583">
        <v>1318397138</v>
      </c>
      <c r="I3583">
        <v>-208309686</v>
      </c>
      <c r="J3583">
        <v>-8476825</v>
      </c>
      <c r="K3583">
        <v>-14079687</v>
      </c>
      <c r="L3583">
        <v>279260370</v>
      </c>
      <c r="M3583">
        <v>54661558</v>
      </c>
      <c r="P3583">
        <v>600</v>
      </c>
      <c r="Q3583" t="s">
        <v>7210</v>
      </c>
    </row>
    <row r="3584" spans="1:17" x14ac:dyDescent="0.3">
      <c r="A3584" t="s">
        <v>4446</v>
      </c>
      <c r="B3584" t="str">
        <f>"002870"</f>
        <v>002870</v>
      </c>
      <c r="C3584" t="s">
        <v>7211</v>
      </c>
      <c r="D3584" t="s">
        <v>78</v>
      </c>
      <c r="F3584">
        <v>128243077</v>
      </c>
      <c r="G3584">
        <v>160511868</v>
      </c>
      <c r="H3584">
        <v>103267505</v>
      </c>
      <c r="I3584">
        <v>74751269</v>
      </c>
      <c r="J3584">
        <v>-24798712</v>
      </c>
      <c r="K3584">
        <v>54835628</v>
      </c>
      <c r="L3584">
        <v>41593248</v>
      </c>
      <c r="M3584">
        <v>78530102</v>
      </c>
      <c r="P3584">
        <v>91</v>
      </c>
      <c r="Q3584" t="s">
        <v>7212</v>
      </c>
    </row>
    <row r="3585" spans="1:17" x14ac:dyDescent="0.3">
      <c r="A3585" t="s">
        <v>4446</v>
      </c>
      <c r="B3585" t="str">
        <f>"002871"</f>
        <v>002871</v>
      </c>
      <c r="C3585" t="s">
        <v>7213</v>
      </c>
      <c r="D3585" t="s">
        <v>78</v>
      </c>
      <c r="F3585">
        <v>-7105006</v>
      </c>
      <c r="G3585">
        <v>66772424</v>
      </c>
      <c r="H3585">
        <v>66300666</v>
      </c>
      <c r="I3585">
        <v>-71488458</v>
      </c>
      <c r="J3585">
        <v>22494104</v>
      </c>
      <c r="K3585">
        <v>66336845</v>
      </c>
      <c r="L3585">
        <v>45625038</v>
      </c>
      <c r="M3585">
        <v>9066088</v>
      </c>
      <c r="P3585">
        <v>66</v>
      </c>
      <c r="Q3585" t="s">
        <v>7214</v>
      </c>
    </row>
    <row r="3586" spans="1:17" x14ac:dyDescent="0.3">
      <c r="A3586" t="s">
        <v>4446</v>
      </c>
      <c r="B3586" t="str">
        <f>"002872"</f>
        <v>002872</v>
      </c>
      <c r="C3586" t="s">
        <v>7215</v>
      </c>
      <c r="D3586" t="s">
        <v>113</v>
      </c>
      <c r="F3586">
        <v>-59071084</v>
      </c>
      <c r="G3586">
        <v>104672747</v>
      </c>
      <c r="H3586">
        <v>54505634</v>
      </c>
      <c r="I3586">
        <v>-77990772</v>
      </c>
      <c r="J3586">
        <v>-916427933</v>
      </c>
      <c r="K3586">
        <v>80781806</v>
      </c>
      <c r="L3586">
        <v>-61168580</v>
      </c>
      <c r="M3586">
        <v>-138326115</v>
      </c>
      <c r="P3586">
        <v>69</v>
      </c>
      <c r="Q3586" t="s">
        <v>7216</v>
      </c>
    </row>
    <row r="3587" spans="1:17" x14ac:dyDescent="0.3">
      <c r="A3587" t="s">
        <v>4446</v>
      </c>
      <c r="B3587" t="str">
        <f>"002873"</f>
        <v>002873</v>
      </c>
      <c r="C3587" t="s">
        <v>7217</v>
      </c>
      <c r="D3587" t="s">
        <v>113</v>
      </c>
      <c r="F3587">
        <v>18690422</v>
      </c>
      <c r="G3587">
        <v>108970489</v>
      </c>
      <c r="H3587">
        <v>-113001464</v>
      </c>
      <c r="I3587">
        <v>10268558</v>
      </c>
      <c r="J3587">
        <v>-42014656</v>
      </c>
      <c r="K3587">
        <v>47573103</v>
      </c>
      <c r="L3587">
        <v>9998173</v>
      </c>
      <c r="M3587">
        <v>-2065276</v>
      </c>
      <c r="P3587">
        <v>167</v>
      </c>
      <c r="Q3587" t="s">
        <v>7218</v>
      </c>
    </row>
    <row r="3588" spans="1:17" x14ac:dyDescent="0.3">
      <c r="A3588" t="s">
        <v>4446</v>
      </c>
      <c r="B3588" t="str">
        <f>"002875"</f>
        <v>002875</v>
      </c>
      <c r="C3588" t="s">
        <v>7219</v>
      </c>
      <c r="D3588" t="s">
        <v>227</v>
      </c>
      <c r="F3588">
        <v>26602400</v>
      </c>
      <c r="G3588">
        <v>104115167</v>
      </c>
      <c r="H3588">
        <v>-75330039</v>
      </c>
      <c r="I3588">
        <v>22780843</v>
      </c>
      <c r="J3588">
        <v>45194151</v>
      </c>
      <c r="K3588">
        <v>39617809</v>
      </c>
      <c r="L3588">
        <v>-91659071</v>
      </c>
      <c r="M3588">
        <v>92041259</v>
      </c>
      <c r="P3588">
        <v>92</v>
      </c>
      <c r="Q3588" t="s">
        <v>7220</v>
      </c>
    </row>
    <row r="3589" spans="1:17" x14ac:dyDescent="0.3">
      <c r="A3589" t="s">
        <v>4446</v>
      </c>
      <c r="B3589" t="str">
        <f>"002876"</f>
        <v>002876</v>
      </c>
      <c r="C3589" t="s">
        <v>7221</v>
      </c>
      <c r="D3589" t="s">
        <v>150</v>
      </c>
      <c r="F3589">
        <v>31564385</v>
      </c>
      <c r="G3589">
        <v>-175080764</v>
      </c>
      <c r="H3589">
        <v>-410586849</v>
      </c>
      <c r="I3589">
        <v>-162670203</v>
      </c>
      <c r="J3589">
        <v>-207170813</v>
      </c>
      <c r="K3589">
        <v>-180187008</v>
      </c>
      <c r="L3589">
        <v>14226175</v>
      </c>
      <c r="M3589">
        <v>395918</v>
      </c>
      <c r="P3589">
        <v>213</v>
      </c>
      <c r="Q3589" t="s">
        <v>7222</v>
      </c>
    </row>
    <row r="3590" spans="1:17" x14ac:dyDescent="0.3">
      <c r="A3590" t="s">
        <v>4446</v>
      </c>
      <c r="B3590" t="str">
        <f>"002877"</f>
        <v>002877</v>
      </c>
      <c r="C3590" t="s">
        <v>7223</v>
      </c>
      <c r="D3590" t="s">
        <v>78</v>
      </c>
      <c r="F3590">
        <v>-91052760</v>
      </c>
      <c r="G3590">
        <v>-178034297</v>
      </c>
      <c r="H3590">
        <v>-100453867</v>
      </c>
      <c r="I3590">
        <v>-102807853</v>
      </c>
      <c r="J3590">
        <v>-55019297</v>
      </c>
      <c r="K3590">
        <v>29597414</v>
      </c>
      <c r="L3590">
        <v>6209051</v>
      </c>
      <c r="M3590">
        <v>23962133</v>
      </c>
      <c r="P3590">
        <v>100</v>
      </c>
      <c r="Q3590" t="s">
        <v>7224</v>
      </c>
    </row>
    <row r="3591" spans="1:17" x14ac:dyDescent="0.3">
      <c r="A3591" t="s">
        <v>4446</v>
      </c>
      <c r="B3591" t="str">
        <f>"002878"</f>
        <v>002878</v>
      </c>
      <c r="C3591" t="s">
        <v>7225</v>
      </c>
      <c r="D3591" t="s">
        <v>110</v>
      </c>
      <c r="F3591">
        <v>113484628</v>
      </c>
      <c r="G3591">
        <v>139540277</v>
      </c>
      <c r="H3591">
        <v>88312261</v>
      </c>
      <c r="I3591">
        <v>-10777408</v>
      </c>
      <c r="J3591">
        <v>34050286</v>
      </c>
      <c r="K3591">
        <v>60712450</v>
      </c>
      <c r="L3591">
        <v>15401863</v>
      </c>
      <c r="M3591">
        <v>19653922</v>
      </c>
      <c r="P3591">
        <v>345</v>
      </c>
      <c r="Q3591" t="s">
        <v>7226</v>
      </c>
    </row>
    <row r="3592" spans="1:17" x14ac:dyDescent="0.3">
      <c r="A3592" t="s">
        <v>4446</v>
      </c>
      <c r="B3592" t="str">
        <f>"002879"</f>
        <v>002879</v>
      </c>
      <c r="C3592" t="s">
        <v>7227</v>
      </c>
      <c r="D3592" t="s">
        <v>188</v>
      </c>
      <c r="F3592">
        <v>24680405</v>
      </c>
      <c r="G3592">
        <v>10795654</v>
      </c>
      <c r="H3592">
        <v>80543637</v>
      </c>
      <c r="I3592">
        <v>38235912</v>
      </c>
      <c r="J3592">
        <v>29492077</v>
      </c>
      <c r="K3592">
        <v>99872170</v>
      </c>
      <c r="L3592">
        <v>39089762</v>
      </c>
      <c r="M3592">
        <v>65416932</v>
      </c>
      <c r="P3592">
        <v>267</v>
      </c>
      <c r="Q3592" t="s">
        <v>7228</v>
      </c>
    </row>
    <row r="3593" spans="1:17" x14ac:dyDescent="0.3">
      <c r="A3593" t="s">
        <v>4446</v>
      </c>
      <c r="B3593" t="str">
        <f>"002880"</f>
        <v>002880</v>
      </c>
      <c r="C3593" t="s">
        <v>7229</v>
      </c>
      <c r="D3593" t="s">
        <v>113</v>
      </c>
      <c r="F3593">
        <v>6289854</v>
      </c>
      <c r="G3593">
        <v>115369786</v>
      </c>
      <c r="H3593">
        <v>110210582</v>
      </c>
      <c r="I3593">
        <v>15031924</v>
      </c>
      <c r="J3593">
        <v>-32659465</v>
      </c>
      <c r="K3593">
        <v>66502521</v>
      </c>
      <c r="L3593">
        <v>64315637</v>
      </c>
      <c r="M3593">
        <v>96178022</v>
      </c>
      <c r="P3593">
        <v>214</v>
      </c>
      <c r="Q3593" t="s">
        <v>7230</v>
      </c>
    </row>
    <row r="3594" spans="1:17" x14ac:dyDescent="0.3">
      <c r="A3594" t="s">
        <v>4446</v>
      </c>
      <c r="B3594" t="str">
        <f>"002881"</f>
        <v>002881</v>
      </c>
      <c r="C3594" t="s">
        <v>7231</v>
      </c>
      <c r="D3594" t="s">
        <v>150</v>
      </c>
      <c r="F3594">
        <v>-199669663</v>
      </c>
      <c r="G3594">
        <v>65726979</v>
      </c>
      <c r="H3594">
        <v>20210886</v>
      </c>
      <c r="I3594">
        <v>28376509</v>
      </c>
      <c r="J3594">
        <v>-24667848</v>
      </c>
      <c r="K3594">
        <v>-6451669</v>
      </c>
      <c r="L3594">
        <v>167606</v>
      </c>
      <c r="M3594">
        <v>-14139682</v>
      </c>
      <c r="P3594">
        <v>241</v>
      </c>
      <c r="Q3594" t="s">
        <v>7232</v>
      </c>
    </row>
    <row r="3595" spans="1:17" x14ac:dyDescent="0.3">
      <c r="A3595" t="s">
        <v>4446</v>
      </c>
      <c r="B3595" t="str">
        <f>"002882"</f>
        <v>002882</v>
      </c>
      <c r="C3595" t="s">
        <v>7233</v>
      </c>
      <c r="D3595" t="s">
        <v>188</v>
      </c>
      <c r="F3595">
        <v>-641838594</v>
      </c>
      <c r="G3595">
        <v>24493034</v>
      </c>
      <c r="H3595">
        <v>104886035</v>
      </c>
      <c r="I3595">
        <v>-132465771</v>
      </c>
      <c r="J3595">
        <v>-110072173</v>
      </c>
      <c r="K3595">
        <v>170397641</v>
      </c>
      <c r="L3595">
        <v>14283529</v>
      </c>
      <c r="M3595">
        <v>62888488</v>
      </c>
      <c r="P3595">
        <v>118</v>
      </c>
      <c r="Q3595" t="s">
        <v>7234</v>
      </c>
    </row>
    <row r="3596" spans="1:17" x14ac:dyDescent="0.3">
      <c r="A3596" t="s">
        <v>4446</v>
      </c>
      <c r="B3596" t="str">
        <f>"002883"</f>
        <v>002883</v>
      </c>
      <c r="C3596" t="s">
        <v>7235</v>
      </c>
      <c r="D3596" t="s">
        <v>95</v>
      </c>
      <c r="F3596">
        <v>2496212</v>
      </c>
      <c r="G3596">
        <v>91679465</v>
      </c>
      <c r="H3596">
        <v>-19833782</v>
      </c>
      <c r="I3596">
        <v>-40259838</v>
      </c>
      <c r="J3596">
        <v>13781309</v>
      </c>
      <c r="K3596">
        <v>-11757142</v>
      </c>
      <c r="L3596">
        <v>-10930289</v>
      </c>
      <c r="M3596">
        <v>14981855</v>
      </c>
      <c r="P3596">
        <v>102</v>
      </c>
      <c r="Q3596" t="s">
        <v>7236</v>
      </c>
    </row>
    <row r="3597" spans="1:17" x14ac:dyDescent="0.3">
      <c r="A3597" t="s">
        <v>4446</v>
      </c>
      <c r="B3597" t="str">
        <f>"002884"</f>
        <v>002884</v>
      </c>
      <c r="C3597" t="s">
        <v>7237</v>
      </c>
      <c r="D3597" t="s">
        <v>78</v>
      </c>
      <c r="F3597">
        <v>143695051</v>
      </c>
      <c r="G3597">
        <v>202615106</v>
      </c>
      <c r="H3597">
        <v>290065408</v>
      </c>
      <c r="I3597">
        <v>159011796</v>
      </c>
      <c r="J3597">
        <v>94823398</v>
      </c>
      <c r="K3597">
        <v>114336806</v>
      </c>
      <c r="L3597">
        <v>152202421</v>
      </c>
      <c r="M3597">
        <v>74525447</v>
      </c>
      <c r="P3597">
        <v>997</v>
      </c>
      <c r="Q3597" t="s">
        <v>7238</v>
      </c>
    </row>
    <row r="3598" spans="1:17" x14ac:dyDescent="0.3">
      <c r="A3598" t="s">
        <v>4446</v>
      </c>
      <c r="B3598" t="str">
        <f>"002885"</f>
        <v>002885</v>
      </c>
      <c r="C3598" t="s">
        <v>7239</v>
      </c>
      <c r="D3598" t="s">
        <v>150</v>
      </c>
      <c r="F3598">
        <v>-162695463</v>
      </c>
      <c r="G3598">
        <v>25318857</v>
      </c>
      <c r="H3598">
        <v>-59014493</v>
      </c>
      <c r="I3598">
        <v>-150829973</v>
      </c>
      <c r="J3598">
        <v>-99663135</v>
      </c>
      <c r="K3598">
        <v>1436588</v>
      </c>
      <c r="L3598">
        <v>11436958</v>
      </c>
      <c r="M3598">
        <v>19166353</v>
      </c>
      <c r="P3598">
        <v>199</v>
      </c>
      <c r="Q3598" t="s">
        <v>7240</v>
      </c>
    </row>
    <row r="3599" spans="1:17" x14ac:dyDescent="0.3">
      <c r="A3599" t="s">
        <v>4446</v>
      </c>
      <c r="B3599" t="str">
        <f>"002886"</f>
        <v>002886</v>
      </c>
      <c r="C3599" t="s">
        <v>7241</v>
      </c>
      <c r="D3599" t="s">
        <v>133</v>
      </c>
      <c r="F3599">
        <v>-427777682</v>
      </c>
      <c r="G3599">
        <v>-46157183</v>
      </c>
      <c r="H3599">
        <v>12397999</v>
      </c>
      <c r="I3599">
        <v>-167960963</v>
      </c>
      <c r="J3599">
        <v>-149199744</v>
      </c>
      <c r="K3599">
        <v>-3889957</v>
      </c>
      <c r="L3599">
        <v>-77528967</v>
      </c>
      <c r="M3599">
        <v>-7617639</v>
      </c>
      <c r="P3599">
        <v>191</v>
      </c>
      <c r="Q3599" t="s">
        <v>7242</v>
      </c>
    </row>
    <row r="3600" spans="1:17" x14ac:dyDescent="0.3">
      <c r="A3600" t="s">
        <v>4446</v>
      </c>
      <c r="B3600" t="str">
        <f>"002887"</f>
        <v>002887</v>
      </c>
      <c r="C3600" t="s">
        <v>7243</v>
      </c>
      <c r="D3600" t="s">
        <v>33</v>
      </c>
      <c r="F3600">
        <v>-230720886</v>
      </c>
      <c r="G3600">
        <v>-525941425</v>
      </c>
      <c r="H3600">
        <v>-54651758</v>
      </c>
      <c r="I3600">
        <v>-22976408</v>
      </c>
      <c r="J3600">
        <v>5956704</v>
      </c>
      <c r="K3600">
        <v>120522881</v>
      </c>
      <c r="L3600">
        <v>117269615</v>
      </c>
      <c r="M3600">
        <v>-24660927</v>
      </c>
      <c r="P3600">
        <v>167</v>
      </c>
      <c r="Q3600" t="s">
        <v>7244</v>
      </c>
    </row>
    <row r="3601" spans="1:17" x14ac:dyDescent="0.3">
      <c r="A3601" t="s">
        <v>4446</v>
      </c>
      <c r="B3601" t="str">
        <f>"002888"</f>
        <v>002888</v>
      </c>
      <c r="C3601" t="s">
        <v>7245</v>
      </c>
      <c r="D3601" t="s">
        <v>150</v>
      </c>
      <c r="F3601">
        <v>-81151039</v>
      </c>
      <c r="G3601">
        <v>26274312</v>
      </c>
      <c r="H3601">
        <v>59806727</v>
      </c>
      <c r="I3601">
        <v>-1697380</v>
      </c>
      <c r="J3601">
        <v>-10825946</v>
      </c>
      <c r="K3601">
        <v>31422692</v>
      </c>
      <c r="L3601">
        <v>38198361</v>
      </c>
      <c r="M3601">
        <v>34443386</v>
      </c>
      <c r="P3601">
        <v>80</v>
      </c>
      <c r="Q3601" t="s">
        <v>7246</v>
      </c>
    </row>
    <row r="3602" spans="1:17" x14ac:dyDescent="0.3">
      <c r="A3602" t="s">
        <v>4446</v>
      </c>
      <c r="B3602" t="str">
        <f>"002889"</f>
        <v>002889</v>
      </c>
      <c r="C3602" t="s">
        <v>7247</v>
      </c>
      <c r="D3602" t="s">
        <v>22</v>
      </c>
      <c r="F3602">
        <v>-324484517</v>
      </c>
      <c r="G3602">
        <v>42087677</v>
      </c>
      <c r="H3602">
        <v>123694600</v>
      </c>
      <c r="I3602">
        <v>146892137</v>
      </c>
      <c r="J3602">
        <v>183934656</v>
      </c>
      <c r="K3602">
        <v>-396280479</v>
      </c>
      <c r="L3602">
        <v>-18449297</v>
      </c>
      <c r="M3602">
        <v>119262492</v>
      </c>
      <c r="P3602">
        <v>123</v>
      </c>
      <c r="Q3602" t="s">
        <v>7248</v>
      </c>
    </row>
    <row r="3603" spans="1:17" x14ac:dyDescent="0.3">
      <c r="A3603" t="s">
        <v>4446</v>
      </c>
      <c r="B3603" t="str">
        <f>"002890"</f>
        <v>002890</v>
      </c>
      <c r="C3603" t="s">
        <v>7249</v>
      </c>
      <c r="D3603" t="s">
        <v>78</v>
      </c>
      <c r="F3603">
        <v>736104</v>
      </c>
      <c r="G3603">
        <v>47615338</v>
      </c>
      <c r="H3603">
        <v>10766624</v>
      </c>
      <c r="I3603">
        <v>-1225773</v>
      </c>
      <c r="J3603">
        <v>19513100</v>
      </c>
      <c r="K3603">
        <v>28420662</v>
      </c>
      <c r="L3603">
        <v>46614769</v>
      </c>
      <c r="M3603">
        <v>77311573</v>
      </c>
      <c r="P3603">
        <v>70</v>
      </c>
      <c r="Q3603" t="s">
        <v>7250</v>
      </c>
    </row>
    <row r="3604" spans="1:17" x14ac:dyDescent="0.3">
      <c r="A3604" t="s">
        <v>4446</v>
      </c>
      <c r="B3604" t="str">
        <f>"002891"</f>
        <v>002891</v>
      </c>
      <c r="C3604" t="s">
        <v>7251</v>
      </c>
      <c r="D3604" t="s">
        <v>205</v>
      </c>
      <c r="F3604">
        <v>-71265110</v>
      </c>
      <c r="G3604">
        <v>-175975680</v>
      </c>
      <c r="H3604">
        <v>-54918019</v>
      </c>
      <c r="I3604">
        <v>-223771948</v>
      </c>
      <c r="J3604">
        <v>-61312739</v>
      </c>
      <c r="K3604">
        <v>20249643</v>
      </c>
      <c r="L3604">
        <v>-3881488</v>
      </c>
      <c r="M3604">
        <v>-70415106</v>
      </c>
      <c r="P3604">
        <v>650</v>
      </c>
      <c r="Q3604" t="s">
        <v>7252</v>
      </c>
    </row>
    <row r="3605" spans="1:17" x14ac:dyDescent="0.3">
      <c r="A3605" t="s">
        <v>4446</v>
      </c>
      <c r="B3605" t="str">
        <f>"002892"</f>
        <v>002892</v>
      </c>
      <c r="C3605" t="s">
        <v>7253</v>
      </c>
      <c r="D3605" t="s">
        <v>188</v>
      </c>
      <c r="F3605">
        <v>-87294683</v>
      </c>
      <c r="G3605">
        <v>-27918961</v>
      </c>
      <c r="H3605">
        <v>43085252</v>
      </c>
      <c r="I3605">
        <v>19320240</v>
      </c>
      <c r="J3605">
        <v>30825779</v>
      </c>
      <c r="K3605">
        <v>-49325680</v>
      </c>
      <c r="L3605">
        <v>58485924</v>
      </c>
      <c r="M3605">
        <v>31941915</v>
      </c>
      <c r="P3605">
        <v>145</v>
      </c>
      <c r="Q3605" t="s">
        <v>7254</v>
      </c>
    </row>
    <row r="3606" spans="1:17" x14ac:dyDescent="0.3">
      <c r="A3606" t="s">
        <v>4446</v>
      </c>
      <c r="B3606" t="str">
        <f>"002893"</f>
        <v>002893</v>
      </c>
      <c r="C3606" t="s">
        <v>7255</v>
      </c>
      <c r="D3606" t="s">
        <v>41</v>
      </c>
      <c r="F3606">
        <v>131280670</v>
      </c>
      <c r="G3606">
        <v>41172096</v>
      </c>
      <c r="H3606">
        <v>125419399</v>
      </c>
      <c r="I3606">
        <v>27440303</v>
      </c>
      <c r="J3606">
        <v>-125296688</v>
      </c>
      <c r="K3606">
        <v>64173781</v>
      </c>
      <c r="L3606">
        <v>43439229</v>
      </c>
      <c r="M3606">
        <v>-49027780</v>
      </c>
      <c r="P3606">
        <v>92</v>
      </c>
      <c r="Q3606" t="s">
        <v>7256</v>
      </c>
    </row>
    <row r="3607" spans="1:17" x14ac:dyDescent="0.3">
      <c r="A3607" t="s">
        <v>4446</v>
      </c>
      <c r="B3607" t="str">
        <f>"002895"</f>
        <v>002895</v>
      </c>
      <c r="C3607" t="s">
        <v>7257</v>
      </c>
      <c r="D3607" t="s">
        <v>133</v>
      </c>
      <c r="F3607">
        <v>-1836649155</v>
      </c>
      <c r="G3607">
        <v>92304964</v>
      </c>
      <c r="H3607">
        <v>34043693</v>
      </c>
      <c r="I3607">
        <v>-130057560</v>
      </c>
      <c r="J3607">
        <v>35687207</v>
      </c>
      <c r="K3607">
        <v>175732819</v>
      </c>
      <c r="L3607">
        <v>136245805</v>
      </c>
      <c r="M3607">
        <v>59907205</v>
      </c>
      <c r="P3607">
        <v>149</v>
      </c>
      <c r="Q3607" t="s">
        <v>7258</v>
      </c>
    </row>
    <row r="3608" spans="1:17" x14ac:dyDescent="0.3">
      <c r="A3608" t="s">
        <v>4446</v>
      </c>
      <c r="B3608" t="str">
        <f>"002896"</f>
        <v>002896</v>
      </c>
      <c r="C3608" t="s">
        <v>7259</v>
      </c>
      <c r="D3608" t="s">
        <v>78</v>
      </c>
      <c r="F3608">
        <v>-30818029</v>
      </c>
      <c r="G3608">
        <v>112665614</v>
      </c>
      <c r="H3608">
        <v>-59500450</v>
      </c>
      <c r="I3608">
        <v>-114116549</v>
      </c>
      <c r="J3608">
        <v>9106501</v>
      </c>
      <c r="K3608">
        <v>26782873</v>
      </c>
      <c r="L3608">
        <v>21053876</v>
      </c>
      <c r="M3608">
        <v>928794</v>
      </c>
      <c r="P3608">
        <v>137</v>
      </c>
      <c r="Q3608" t="s">
        <v>7260</v>
      </c>
    </row>
    <row r="3609" spans="1:17" x14ac:dyDescent="0.3">
      <c r="A3609" t="s">
        <v>4446</v>
      </c>
      <c r="B3609" t="str">
        <f>"002897"</f>
        <v>002897</v>
      </c>
      <c r="C3609" t="s">
        <v>7261</v>
      </c>
      <c r="D3609" t="s">
        <v>100</v>
      </c>
      <c r="F3609">
        <v>-752596967</v>
      </c>
      <c r="G3609">
        <v>-63832847</v>
      </c>
      <c r="H3609">
        <v>-272079506</v>
      </c>
      <c r="I3609">
        <v>-129591750</v>
      </c>
      <c r="J3609">
        <v>-48323274</v>
      </c>
      <c r="K3609">
        <v>58435655</v>
      </c>
      <c r="L3609">
        <v>133158130</v>
      </c>
      <c r="M3609">
        <v>23239508</v>
      </c>
      <c r="P3609">
        <v>235</v>
      </c>
      <c r="Q3609" t="s">
        <v>7262</v>
      </c>
    </row>
    <row r="3610" spans="1:17" x14ac:dyDescent="0.3">
      <c r="A3610" t="s">
        <v>4446</v>
      </c>
      <c r="B3610" t="str">
        <f>"002898"</f>
        <v>002898</v>
      </c>
      <c r="C3610" t="s">
        <v>7263</v>
      </c>
      <c r="D3610" t="s">
        <v>113</v>
      </c>
      <c r="F3610">
        <v>4279294</v>
      </c>
      <c r="G3610">
        <v>-63882423</v>
      </c>
      <c r="H3610">
        <v>-158240933</v>
      </c>
      <c r="I3610">
        <v>-131510259</v>
      </c>
      <c r="J3610">
        <v>-9251511</v>
      </c>
      <c r="K3610">
        <v>27221796</v>
      </c>
      <c r="L3610">
        <v>199860</v>
      </c>
      <c r="M3610">
        <v>15622142</v>
      </c>
      <c r="P3610">
        <v>90</v>
      </c>
      <c r="Q3610" t="s">
        <v>7264</v>
      </c>
    </row>
    <row r="3611" spans="1:17" x14ac:dyDescent="0.3">
      <c r="A3611" t="s">
        <v>4446</v>
      </c>
      <c r="B3611" t="str">
        <f>"002899"</f>
        <v>002899</v>
      </c>
      <c r="C3611" t="s">
        <v>7265</v>
      </c>
      <c r="D3611" t="s">
        <v>161</v>
      </c>
      <c r="F3611">
        <v>-370160204</v>
      </c>
      <c r="G3611">
        <v>73220128</v>
      </c>
      <c r="H3611">
        <v>16759886</v>
      </c>
      <c r="I3611">
        <v>-45438837</v>
      </c>
      <c r="J3611">
        <v>14615995</v>
      </c>
      <c r="K3611">
        <v>72019868</v>
      </c>
      <c r="L3611">
        <v>101628291</v>
      </c>
      <c r="M3611">
        <v>64332872</v>
      </c>
      <c r="P3611">
        <v>65</v>
      </c>
      <c r="Q3611" t="s">
        <v>7266</v>
      </c>
    </row>
    <row r="3612" spans="1:17" x14ac:dyDescent="0.3">
      <c r="A3612" t="s">
        <v>4446</v>
      </c>
      <c r="B3612" t="str">
        <f>"002900"</f>
        <v>002900</v>
      </c>
      <c r="C3612" t="s">
        <v>7267</v>
      </c>
      <c r="D3612" t="s">
        <v>113</v>
      </c>
      <c r="F3612">
        <v>-74868935</v>
      </c>
      <c r="G3612">
        <v>-149776812</v>
      </c>
      <c r="H3612">
        <v>122247883</v>
      </c>
      <c r="I3612">
        <v>214603011</v>
      </c>
      <c r="J3612">
        <v>118596112</v>
      </c>
      <c r="K3612">
        <v>137386062</v>
      </c>
      <c r="L3612">
        <v>59165089</v>
      </c>
      <c r="M3612">
        <v>-28154971</v>
      </c>
      <c r="P3612">
        <v>196</v>
      </c>
      <c r="Q3612" t="s">
        <v>7268</v>
      </c>
    </row>
    <row r="3613" spans="1:17" x14ac:dyDescent="0.3">
      <c r="A3613" t="s">
        <v>4446</v>
      </c>
      <c r="B3613" t="str">
        <f>"002901"</f>
        <v>002901</v>
      </c>
      <c r="C3613" t="s">
        <v>7269</v>
      </c>
      <c r="D3613" t="s">
        <v>113</v>
      </c>
      <c r="F3613">
        <v>438158520</v>
      </c>
      <c r="G3613">
        <v>418736666</v>
      </c>
      <c r="H3613">
        <v>114767997</v>
      </c>
      <c r="I3613">
        <v>231840661</v>
      </c>
      <c r="J3613">
        <v>271974415</v>
      </c>
      <c r="K3613">
        <v>178136725</v>
      </c>
      <c r="L3613">
        <v>46911924</v>
      </c>
      <c r="M3613">
        <v>70378319</v>
      </c>
      <c r="P3613">
        <v>1704</v>
      </c>
      <c r="Q3613" t="s">
        <v>7270</v>
      </c>
    </row>
    <row r="3614" spans="1:17" x14ac:dyDescent="0.3">
      <c r="A3614" t="s">
        <v>4446</v>
      </c>
      <c r="B3614" t="str">
        <f>"002902"</f>
        <v>002902</v>
      </c>
      <c r="C3614" t="s">
        <v>7271</v>
      </c>
      <c r="D3614" t="s">
        <v>100</v>
      </c>
      <c r="F3614">
        <v>-67565205</v>
      </c>
      <c r="G3614">
        <v>-216271219</v>
      </c>
      <c r="H3614">
        <v>158366030</v>
      </c>
      <c r="I3614">
        <v>-152886883</v>
      </c>
      <c r="J3614">
        <v>-65365803</v>
      </c>
      <c r="K3614">
        <v>28532481</v>
      </c>
      <c r="L3614">
        <v>6117489</v>
      </c>
      <c r="M3614">
        <v>-21494587</v>
      </c>
      <c r="P3614">
        <v>216</v>
      </c>
      <c r="Q3614" t="s">
        <v>7272</v>
      </c>
    </row>
    <row r="3615" spans="1:17" x14ac:dyDescent="0.3">
      <c r="A3615" t="s">
        <v>4446</v>
      </c>
      <c r="B3615" t="str">
        <f>"002903"</f>
        <v>002903</v>
      </c>
      <c r="C3615" t="s">
        <v>7273</v>
      </c>
      <c r="D3615" t="s">
        <v>78</v>
      </c>
      <c r="F3615">
        <v>37340028</v>
      </c>
      <c r="G3615">
        <v>14411078</v>
      </c>
      <c r="H3615">
        <v>27669845</v>
      </c>
      <c r="I3615">
        <v>-114413994</v>
      </c>
      <c r="J3615">
        <v>83442148</v>
      </c>
      <c r="K3615">
        <v>65136434</v>
      </c>
      <c r="L3615">
        <v>-29507590</v>
      </c>
      <c r="M3615">
        <v>9967465</v>
      </c>
      <c r="P3615">
        <v>143</v>
      </c>
      <c r="Q3615" t="s">
        <v>7274</v>
      </c>
    </row>
    <row r="3616" spans="1:17" x14ac:dyDescent="0.3">
      <c r="A3616" t="s">
        <v>4446</v>
      </c>
      <c r="B3616" t="str">
        <f>"002905"</f>
        <v>002905</v>
      </c>
      <c r="C3616" t="s">
        <v>7275</v>
      </c>
      <c r="D3616" t="s">
        <v>89</v>
      </c>
      <c r="F3616">
        <v>207901511</v>
      </c>
      <c r="G3616">
        <v>-199301486</v>
      </c>
      <c r="H3616">
        <v>-8117315</v>
      </c>
      <c r="I3616">
        <v>-313016495</v>
      </c>
      <c r="J3616">
        <v>107766546</v>
      </c>
      <c r="K3616">
        <v>74222257</v>
      </c>
      <c r="L3616">
        <v>290586351</v>
      </c>
      <c r="M3616">
        <v>394308076</v>
      </c>
      <c r="P3616">
        <v>133</v>
      </c>
      <c r="Q3616" t="s">
        <v>7276</v>
      </c>
    </row>
    <row r="3617" spans="1:17" x14ac:dyDescent="0.3">
      <c r="A3617" t="s">
        <v>4446</v>
      </c>
      <c r="B3617" t="str">
        <f>"002906"</f>
        <v>002906</v>
      </c>
      <c r="C3617" t="s">
        <v>7277</v>
      </c>
      <c r="D3617" t="s">
        <v>27</v>
      </c>
      <c r="F3617">
        <v>178448261</v>
      </c>
      <c r="G3617">
        <v>-82592802</v>
      </c>
      <c r="H3617">
        <v>40399856</v>
      </c>
      <c r="I3617">
        <v>-170323935</v>
      </c>
      <c r="J3617">
        <v>4985948</v>
      </c>
      <c r="K3617">
        <v>221389470</v>
      </c>
      <c r="L3617">
        <v>308720822</v>
      </c>
      <c r="M3617">
        <v>301019229</v>
      </c>
      <c r="P3617">
        <v>229</v>
      </c>
      <c r="Q3617" t="s">
        <v>7278</v>
      </c>
    </row>
    <row r="3618" spans="1:17" x14ac:dyDescent="0.3">
      <c r="A3618" t="s">
        <v>4446</v>
      </c>
      <c r="B3618" t="str">
        <f>"002907"</f>
        <v>002907</v>
      </c>
      <c r="C3618" t="s">
        <v>7279</v>
      </c>
      <c r="D3618" t="s">
        <v>113</v>
      </c>
      <c r="F3618">
        <v>26211087</v>
      </c>
      <c r="G3618">
        <v>66952079</v>
      </c>
      <c r="H3618">
        <v>1261053</v>
      </c>
      <c r="I3618">
        <v>-4498413</v>
      </c>
      <c r="J3618">
        <v>39616488</v>
      </c>
      <c r="K3618">
        <v>41042075</v>
      </c>
      <c r="L3618">
        <v>49907232</v>
      </c>
      <c r="M3618">
        <v>6435309</v>
      </c>
      <c r="P3618">
        <v>286</v>
      </c>
      <c r="Q3618" t="s">
        <v>7280</v>
      </c>
    </row>
    <row r="3619" spans="1:17" x14ac:dyDescent="0.3">
      <c r="A3619" t="s">
        <v>4446</v>
      </c>
      <c r="B3619" t="str">
        <f>"002908"</f>
        <v>002908</v>
      </c>
      <c r="C3619" t="s">
        <v>7281</v>
      </c>
      <c r="D3619" t="s">
        <v>100</v>
      </c>
      <c r="F3619">
        <v>-20571733</v>
      </c>
      <c r="G3619">
        <v>-196442876</v>
      </c>
      <c r="H3619">
        <v>51688089</v>
      </c>
      <c r="I3619">
        <v>35989336</v>
      </c>
      <c r="J3619">
        <v>51464315</v>
      </c>
      <c r="K3619">
        <v>-36312392</v>
      </c>
      <c r="L3619">
        <v>87195013</v>
      </c>
      <c r="M3619">
        <v>83866116</v>
      </c>
      <c r="P3619">
        <v>127</v>
      </c>
      <c r="Q3619" t="s">
        <v>7282</v>
      </c>
    </row>
    <row r="3620" spans="1:17" x14ac:dyDescent="0.3">
      <c r="A3620" t="s">
        <v>4446</v>
      </c>
      <c r="B3620" t="str">
        <f>"002909"</f>
        <v>002909</v>
      </c>
      <c r="C3620" t="s">
        <v>7283</v>
      </c>
      <c r="D3620" t="s">
        <v>133</v>
      </c>
      <c r="F3620">
        <v>-113208423</v>
      </c>
      <c r="G3620">
        <v>-66182364</v>
      </c>
      <c r="H3620">
        <v>-10350251</v>
      </c>
      <c r="I3620">
        <v>32951572</v>
      </c>
      <c r="J3620">
        <v>-4265158</v>
      </c>
      <c r="K3620">
        <v>16420587</v>
      </c>
      <c r="L3620">
        <v>27927706</v>
      </c>
      <c r="M3620">
        <v>7871324</v>
      </c>
      <c r="P3620">
        <v>87</v>
      </c>
      <c r="Q3620" t="s">
        <v>7284</v>
      </c>
    </row>
    <row r="3621" spans="1:17" x14ac:dyDescent="0.3">
      <c r="A3621" t="s">
        <v>4446</v>
      </c>
      <c r="B3621" t="str">
        <f>"002910"</f>
        <v>002910</v>
      </c>
      <c r="C3621" t="s">
        <v>7285</v>
      </c>
      <c r="D3621" t="s">
        <v>123</v>
      </c>
      <c r="F3621">
        <v>-139961199</v>
      </c>
      <c r="G3621">
        <v>-246529448</v>
      </c>
      <c r="H3621">
        <v>-290978378</v>
      </c>
      <c r="I3621">
        <v>-102483011</v>
      </c>
      <c r="J3621">
        <v>85589201</v>
      </c>
      <c r="K3621">
        <v>116998889</v>
      </c>
      <c r="L3621">
        <v>56143098</v>
      </c>
      <c r="M3621">
        <v>166834784</v>
      </c>
      <c r="P3621">
        <v>147</v>
      </c>
      <c r="Q3621" t="s">
        <v>7286</v>
      </c>
    </row>
    <row r="3622" spans="1:17" x14ac:dyDescent="0.3">
      <c r="A3622" t="s">
        <v>4446</v>
      </c>
      <c r="B3622" t="str">
        <f>"002911"</f>
        <v>002911</v>
      </c>
      <c r="C3622" t="s">
        <v>7287</v>
      </c>
      <c r="D3622" t="s">
        <v>41</v>
      </c>
      <c r="F3622">
        <v>-888949949</v>
      </c>
      <c r="G3622">
        <v>-82603396</v>
      </c>
      <c r="H3622">
        <v>262902625</v>
      </c>
      <c r="I3622">
        <v>296916905</v>
      </c>
      <c r="J3622">
        <v>369131581</v>
      </c>
      <c r="K3622">
        <v>329564844</v>
      </c>
      <c r="L3622">
        <v>457479928</v>
      </c>
      <c r="M3622">
        <v>259797871</v>
      </c>
      <c r="P3622">
        <v>183</v>
      </c>
      <c r="Q3622" t="s">
        <v>7288</v>
      </c>
    </row>
    <row r="3623" spans="1:17" x14ac:dyDescent="0.3">
      <c r="A3623" t="s">
        <v>4446</v>
      </c>
      <c r="B3623" t="str">
        <f>"002912"</f>
        <v>002912</v>
      </c>
      <c r="C3623" t="s">
        <v>7289</v>
      </c>
      <c r="D3623" t="s">
        <v>212</v>
      </c>
      <c r="F3623">
        <v>-231224631</v>
      </c>
      <c r="G3623">
        <v>198515099</v>
      </c>
      <c r="H3623">
        <v>193629465</v>
      </c>
      <c r="I3623">
        <v>172527600</v>
      </c>
      <c r="J3623">
        <v>181837947</v>
      </c>
      <c r="K3623">
        <v>68450669</v>
      </c>
      <c r="L3623">
        <v>85334321</v>
      </c>
      <c r="M3623">
        <v>-3729679</v>
      </c>
      <c r="P3623">
        <v>586</v>
      </c>
      <c r="Q3623" t="s">
        <v>7290</v>
      </c>
    </row>
    <row r="3624" spans="1:17" x14ac:dyDescent="0.3">
      <c r="A3624" t="s">
        <v>4446</v>
      </c>
      <c r="B3624" t="str">
        <f>"002913"</f>
        <v>002913</v>
      </c>
      <c r="C3624" t="s">
        <v>7291</v>
      </c>
      <c r="D3624" t="s">
        <v>150</v>
      </c>
      <c r="F3624">
        <v>-696119882</v>
      </c>
      <c r="G3624">
        <v>-578019049</v>
      </c>
      <c r="H3624">
        <v>112996031</v>
      </c>
      <c r="I3624">
        <v>-21372264</v>
      </c>
      <c r="J3624">
        <v>-55547373</v>
      </c>
      <c r="K3624">
        <v>-95570658</v>
      </c>
      <c r="L3624">
        <v>90173901</v>
      </c>
      <c r="M3624">
        <v>-18106775</v>
      </c>
      <c r="P3624">
        <v>205</v>
      </c>
      <c r="Q3624" t="s">
        <v>7292</v>
      </c>
    </row>
    <row r="3625" spans="1:17" x14ac:dyDescent="0.3">
      <c r="A3625" t="s">
        <v>4446</v>
      </c>
      <c r="B3625" t="str">
        <f>"002915"</f>
        <v>002915</v>
      </c>
      <c r="C3625" t="s">
        <v>7293</v>
      </c>
      <c r="D3625" t="s">
        <v>133</v>
      </c>
      <c r="F3625">
        <v>67579361</v>
      </c>
      <c r="G3625">
        <v>-11752191</v>
      </c>
      <c r="H3625">
        <v>64273748</v>
      </c>
      <c r="I3625">
        <v>-8677246</v>
      </c>
      <c r="J3625">
        <v>11712870</v>
      </c>
      <c r="K3625">
        <v>29605689</v>
      </c>
      <c r="L3625">
        <v>3355501</v>
      </c>
      <c r="M3625">
        <v>54605827</v>
      </c>
      <c r="P3625">
        <v>90</v>
      </c>
      <c r="Q3625" t="s">
        <v>7294</v>
      </c>
    </row>
    <row r="3626" spans="1:17" x14ac:dyDescent="0.3">
      <c r="A3626" t="s">
        <v>4446</v>
      </c>
      <c r="B3626" t="str">
        <f>"002916"</f>
        <v>002916</v>
      </c>
      <c r="C3626" t="s">
        <v>7295</v>
      </c>
      <c r="D3626" t="s">
        <v>150</v>
      </c>
      <c r="F3626">
        <v>-311648578</v>
      </c>
      <c r="G3626">
        <v>-680111614</v>
      </c>
      <c r="H3626">
        <v>-906858370</v>
      </c>
      <c r="I3626">
        <v>-301876918</v>
      </c>
      <c r="J3626">
        <v>365060021</v>
      </c>
      <c r="K3626">
        <v>314499874</v>
      </c>
      <c r="L3626">
        <v>-282743390</v>
      </c>
      <c r="M3626">
        <v>-381590389</v>
      </c>
      <c r="P3626">
        <v>2555</v>
      </c>
      <c r="Q3626" t="s">
        <v>7296</v>
      </c>
    </row>
    <row r="3627" spans="1:17" x14ac:dyDescent="0.3">
      <c r="A3627" t="s">
        <v>4446</v>
      </c>
      <c r="B3627" t="str">
        <f>"002917"</f>
        <v>002917</v>
      </c>
      <c r="C3627" t="s">
        <v>7297</v>
      </c>
      <c r="D3627" t="s">
        <v>133</v>
      </c>
      <c r="F3627">
        <v>-242364</v>
      </c>
      <c r="G3627">
        <v>9820870</v>
      </c>
      <c r="H3627">
        <v>5709345</v>
      </c>
      <c r="I3627">
        <v>-21336068</v>
      </c>
      <c r="J3627">
        <v>5937472</v>
      </c>
      <c r="K3627">
        <v>-4478707</v>
      </c>
      <c r="L3627">
        <v>54107544</v>
      </c>
      <c r="M3627">
        <v>13478564</v>
      </c>
      <c r="P3627">
        <v>67</v>
      </c>
      <c r="Q3627" t="s">
        <v>7298</v>
      </c>
    </row>
    <row r="3628" spans="1:17" x14ac:dyDescent="0.3">
      <c r="A3628" t="s">
        <v>4446</v>
      </c>
      <c r="B3628" t="str">
        <f>"002918"</f>
        <v>002918</v>
      </c>
      <c r="C3628" t="s">
        <v>7299</v>
      </c>
      <c r="D3628" t="s">
        <v>161</v>
      </c>
      <c r="F3628">
        <v>-1149510633</v>
      </c>
      <c r="G3628">
        <v>-619862332</v>
      </c>
      <c r="H3628">
        <v>192871905</v>
      </c>
      <c r="I3628">
        <v>77936453</v>
      </c>
      <c r="J3628">
        <v>176835534</v>
      </c>
      <c r="K3628">
        <v>132660216</v>
      </c>
      <c r="L3628">
        <v>98085387</v>
      </c>
      <c r="M3628">
        <v>23485542</v>
      </c>
      <c r="P3628">
        <v>530</v>
      </c>
      <c r="Q3628" t="s">
        <v>7300</v>
      </c>
    </row>
    <row r="3629" spans="1:17" x14ac:dyDescent="0.3">
      <c r="A3629" t="s">
        <v>4446</v>
      </c>
      <c r="B3629" t="str">
        <f>"002919"</f>
        <v>002919</v>
      </c>
      <c r="C3629" t="s">
        <v>7301</v>
      </c>
      <c r="D3629" t="s">
        <v>481</v>
      </c>
      <c r="F3629">
        <v>64444848</v>
      </c>
      <c r="G3629">
        <v>157134798</v>
      </c>
      <c r="H3629">
        <v>22538315</v>
      </c>
      <c r="I3629">
        <v>-9357884</v>
      </c>
      <c r="J3629">
        <v>-36336255</v>
      </c>
      <c r="K3629">
        <v>71690327</v>
      </c>
      <c r="L3629">
        <v>100817338</v>
      </c>
      <c r="M3629">
        <v>22469732</v>
      </c>
      <c r="P3629">
        <v>146</v>
      </c>
      <c r="Q3629" t="s">
        <v>7302</v>
      </c>
    </row>
    <row r="3630" spans="1:17" x14ac:dyDescent="0.3">
      <c r="A3630" t="s">
        <v>4446</v>
      </c>
      <c r="B3630" t="str">
        <f>"002920"</f>
        <v>002920</v>
      </c>
      <c r="C3630" t="s">
        <v>7303</v>
      </c>
      <c r="D3630" t="s">
        <v>212</v>
      </c>
      <c r="F3630">
        <v>169219758</v>
      </c>
      <c r="G3630">
        <v>8264324</v>
      </c>
      <c r="H3630">
        <v>4979514</v>
      </c>
      <c r="I3630">
        <v>489290997</v>
      </c>
      <c r="J3630">
        <v>391402839</v>
      </c>
      <c r="K3630">
        <v>211309686</v>
      </c>
      <c r="L3630">
        <v>-37284419</v>
      </c>
      <c r="M3630">
        <v>58883141</v>
      </c>
      <c r="P3630">
        <v>688</v>
      </c>
      <c r="Q3630" t="s">
        <v>7304</v>
      </c>
    </row>
    <row r="3631" spans="1:17" x14ac:dyDescent="0.3">
      <c r="A3631" t="s">
        <v>4446</v>
      </c>
      <c r="B3631" t="str">
        <f>"002921"</f>
        <v>002921</v>
      </c>
      <c r="C3631" t="s">
        <v>7305</v>
      </c>
      <c r="D3631" t="s">
        <v>27</v>
      </c>
      <c r="F3631">
        <v>-141939336</v>
      </c>
      <c r="G3631">
        <v>-79929958</v>
      </c>
      <c r="H3631">
        <v>4322221</v>
      </c>
      <c r="I3631">
        <v>-83856859</v>
      </c>
      <c r="J3631">
        <v>-12940862</v>
      </c>
      <c r="K3631">
        <v>43388138</v>
      </c>
      <c r="L3631">
        <v>21317060</v>
      </c>
      <c r="M3631">
        <v>5774727</v>
      </c>
      <c r="P3631">
        <v>95</v>
      </c>
      <c r="Q3631" t="s">
        <v>7306</v>
      </c>
    </row>
    <row r="3632" spans="1:17" x14ac:dyDescent="0.3">
      <c r="A3632" t="s">
        <v>4446</v>
      </c>
      <c r="B3632" t="str">
        <f>"002922"</f>
        <v>002922</v>
      </c>
      <c r="C3632" t="s">
        <v>7307</v>
      </c>
      <c r="D3632" t="s">
        <v>150</v>
      </c>
      <c r="F3632">
        <v>-86064148</v>
      </c>
      <c r="G3632">
        <v>-74127882</v>
      </c>
      <c r="H3632">
        <v>-108619283</v>
      </c>
      <c r="I3632">
        <v>-90199199</v>
      </c>
      <c r="J3632">
        <v>4053853</v>
      </c>
      <c r="K3632">
        <v>12192717</v>
      </c>
      <c r="L3632">
        <v>60880961</v>
      </c>
      <c r="M3632">
        <v>63593051</v>
      </c>
      <c r="P3632">
        <v>170</v>
      </c>
      <c r="Q3632" t="s">
        <v>7308</v>
      </c>
    </row>
    <row r="3633" spans="1:17" x14ac:dyDescent="0.3">
      <c r="A3633" t="s">
        <v>4446</v>
      </c>
      <c r="B3633" t="str">
        <f>"002923"</f>
        <v>002923</v>
      </c>
      <c r="C3633" t="s">
        <v>7309</v>
      </c>
      <c r="D3633" t="s">
        <v>113</v>
      </c>
      <c r="F3633">
        <v>-170577833</v>
      </c>
      <c r="G3633">
        <v>-6395992</v>
      </c>
      <c r="H3633">
        <v>-88712301</v>
      </c>
      <c r="I3633">
        <v>43855016</v>
      </c>
      <c r="J3633">
        <v>21555612</v>
      </c>
      <c r="K3633">
        <v>30199540</v>
      </c>
      <c r="L3633">
        <v>-15894076</v>
      </c>
      <c r="M3633">
        <v>38854895</v>
      </c>
      <c r="P3633">
        <v>165</v>
      </c>
      <c r="Q3633" t="s">
        <v>7310</v>
      </c>
    </row>
    <row r="3634" spans="1:17" x14ac:dyDescent="0.3">
      <c r="A3634" t="s">
        <v>4446</v>
      </c>
      <c r="B3634" t="str">
        <f>"002925"</f>
        <v>002925</v>
      </c>
      <c r="C3634" t="s">
        <v>7311</v>
      </c>
      <c r="D3634" t="s">
        <v>150</v>
      </c>
      <c r="F3634">
        <v>555425468</v>
      </c>
      <c r="G3634">
        <v>499218785</v>
      </c>
      <c r="H3634">
        <v>137182163</v>
      </c>
      <c r="I3634">
        <v>529011231</v>
      </c>
      <c r="J3634">
        <v>793676440</v>
      </c>
      <c r="K3634">
        <v>263562094</v>
      </c>
      <c r="L3634">
        <v>137720924</v>
      </c>
      <c r="M3634">
        <v>97290843</v>
      </c>
      <c r="P3634">
        <v>1062</v>
      </c>
      <c r="Q3634" t="s">
        <v>7312</v>
      </c>
    </row>
    <row r="3635" spans="1:17" x14ac:dyDescent="0.3">
      <c r="A3635" t="s">
        <v>4446</v>
      </c>
      <c r="B3635" t="str">
        <f>"002926"</f>
        <v>002926</v>
      </c>
      <c r="C3635" t="s">
        <v>7313</v>
      </c>
      <c r="D3635" t="s">
        <v>75</v>
      </c>
      <c r="F3635">
        <v>3741050151</v>
      </c>
      <c r="G3635">
        <v>-4516529002</v>
      </c>
      <c r="H3635">
        <v>1206731944</v>
      </c>
      <c r="I3635">
        <v>-3100591968</v>
      </c>
      <c r="J3635">
        <v>35876323</v>
      </c>
      <c r="K3635">
        <v>-9151137496</v>
      </c>
      <c r="L3635">
        <v>4893802506</v>
      </c>
      <c r="M3635">
        <v>7067107024</v>
      </c>
      <c r="N3635">
        <v>277090300</v>
      </c>
      <c r="O3635">
        <v>-683567900</v>
      </c>
      <c r="P3635">
        <v>921</v>
      </c>
      <c r="Q3635" t="s">
        <v>7314</v>
      </c>
    </row>
    <row r="3636" spans="1:17" x14ac:dyDescent="0.3">
      <c r="A3636" t="s">
        <v>4446</v>
      </c>
      <c r="B3636" t="str">
        <f>"002927"</f>
        <v>002927</v>
      </c>
      <c r="C3636" t="s">
        <v>7315</v>
      </c>
      <c r="D3636" t="s">
        <v>188</v>
      </c>
      <c r="F3636">
        <v>19785325</v>
      </c>
      <c r="G3636">
        <v>-28696262</v>
      </c>
      <c r="H3636">
        <v>25024107</v>
      </c>
      <c r="I3636">
        <v>-12149678</v>
      </c>
      <c r="J3636">
        <v>-113358</v>
      </c>
      <c r="K3636">
        <v>21768461</v>
      </c>
      <c r="L3636">
        <v>124647</v>
      </c>
      <c r="M3636">
        <v>6965445</v>
      </c>
      <c r="P3636">
        <v>117</v>
      </c>
      <c r="Q3636" t="s">
        <v>7316</v>
      </c>
    </row>
    <row r="3637" spans="1:17" x14ac:dyDescent="0.3">
      <c r="A3637" t="s">
        <v>4446</v>
      </c>
      <c r="B3637" t="str">
        <f>"002928"</f>
        <v>002928</v>
      </c>
      <c r="C3637" t="s">
        <v>7317</v>
      </c>
      <c r="D3637" t="s">
        <v>22</v>
      </c>
      <c r="F3637">
        <v>-892489317</v>
      </c>
      <c r="G3637">
        <v>679214819</v>
      </c>
      <c r="H3637">
        <v>-24553141</v>
      </c>
      <c r="I3637">
        <v>-802422918</v>
      </c>
      <c r="J3637">
        <v>-83364426</v>
      </c>
      <c r="K3637">
        <v>199116237</v>
      </c>
      <c r="L3637">
        <v>331452069</v>
      </c>
      <c r="P3637">
        <v>333</v>
      </c>
      <c r="Q3637" t="s">
        <v>7318</v>
      </c>
    </row>
    <row r="3638" spans="1:17" x14ac:dyDescent="0.3">
      <c r="A3638" t="s">
        <v>4446</v>
      </c>
      <c r="B3638" t="str">
        <f>"002929"</f>
        <v>002929</v>
      </c>
      <c r="C3638" t="s">
        <v>7319</v>
      </c>
      <c r="D3638" t="s">
        <v>100</v>
      </c>
      <c r="F3638">
        <v>19876574</v>
      </c>
      <c r="G3638">
        <v>224047066</v>
      </c>
      <c r="H3638">
        <v>287885671</v>
      </c>
      <c r="I3638">
        <v>152595156</v>
      </c>
      <c r="J3638">
        <v>-208866688</v>
      </c>
      <c r="K3638">
        <v>-89110968</v>
      </c>
      <c r="L3638">
        <v>94836409</v>
      </c>
      <c r="P3638">
        <v>271</v>
      </c>
      <c r="Q3638" t="s">
        <v>7320</v>
      </c>
    </row>
    <row r="3639" spans="1:17" x14ac:dyDescent="0.3">
      <c r="A3639" t="s">
        <v>4446</v>
      </c>
      <c r="B3639" t="str">
        <f>"002930"</f>
        <v>002930</v>
      </c>
      <c r="C3639" t="s">
        <v>7321</v>
      </c>
      <c r="D3639" t="s">
        <v>22</v>
      </c>
      <c r="F3639">
        <v>133350873</v>
      </c>
      <c r="G3639">
        <v>102389821</v>
      </c>
      <c r="H3639">
        <v>-115172887</v>
      </c>
      <c r="I3639">
        <v>-368401283</v>
      </c>
      <c r="J3639">
        <v>129954146</v>
      </c>
      <c r="K3639">
        <v>191772075</v>
      </c>
      <c r="L3639">
        <v>71314245</v>
      </c>
      <c r="P3639">
        <v>160</v>
      </c>
      <c r="Q3639" t="s">
        <v>7322</v>
      </c>
    </row>
    <row r="3640" spans="1:17" x14ac:dyDescent="0.3">
      <c r="A3640" t="s">
        <v>4446</v>
      </c>
      <c r="B3640" t="str">
        <f>"002931"</f>
        <v>002931</v>
      </c>
      <c r="C3640" t="s">
        <v>7323</v>
      </c>
      <c r="D3640" t="s">
        <v>78</v>
      </c>
      <c r="F3640">
        <v>-93693326</v>
      </c>
      <c r="G3640">
        <v>19507299</v>
      </c>
      <c r="H3640">
        <v>26362494</v>
      </c>
      <c r="I3640">
        <v>-20169222</v>
      </c>
      <c r="J3640">
        <v>32914066</v>
      </c>
      <c r="K3640">
        <v>55469114</v>
      </c>
      <c r="L3640">
        <v>27766668</v>
      </c>
      <c r="P3640">
        <v>107</v>
      </c>
      <c r="Q3640" t="s">
        <v>7324</v>
      </c>
    </row>
    <row r="3641" spans="1:17" x14ac:dyDescent="0.3">
      <c r="A3641" t="s">
        <v>4446</v>
      </c>
      <c r="B3641" t="str">
        <f>"002932"</f>
        <v>002932</v>
      </c>
      <c r="C3641" t="s">
        <v>7325</v>
      </c>
      <c r="D3641" t="s">
        <v>113</v>
      </c>
      <c r="F3641">
        <v>1023439097</v>
      </c>
      <c r="G3641">
        <v>331406256</v>
      </c>
      <c r="H3641">
        <v>-9451309</v>
      </c>
      <c r="I3641">
        <v>6193726</v>
      </c>
      <c r="J3641">
        <v>979441</v>
      </c>
      <c r="K3641">
        <v>18585448</v>
      </c>
      <c r="L3641">
        <v>43841115</v>
      </c>
      <c r="P3641">
        <v>424</v>
      </c>
      <c r="Q3641" t="s">
        <v>7326</v>
      </c>
    </row>
    <row r="3642" spans="1:17" x14ac:dyDescent="0.3">
      <c r="A3642" t="s">
        <v>4446</v>
      </c>
      <c r="B3642" t="str">
        <f>"002933"</f>
        <v>002933</v>
      </c>
      <c r="C3642" t="s">
        <v>7327</v>
      </c>
      <c r="D3642" t="s">
        <v>92</v>
      </c>
      <c r="F3642">
        <v>93396688</v>
      </c>
      <c r="G3642">
        <v>103302150</v>
      </c>
      <c r="H3642">
        <v>124502600</v>
      </c>
      <c r="I3642">
        <v>92327204</v>
      </c>
      <c r="J3642">
        <v>89844603</v>
      </c>
      <c r="K3642">
        <v>40479512</v>
      </c>
      <c r="L3642">
        <v>90232460</v>
      </c>
      <c r="P3642">
        <v>314</v>
      </c>
      <c r="Q3642" t="s">
        <v>7328</v>
      </c>
    </row>
    <row r="3643" spans="1:17" x14ac:dyDescent="0.3">
      <c r="A3643" t="s">
        <v>4446</v>
      </c>
      <c r="B3643" t="str">
        <f>"002935"</f>
        <v>002935</v>
      </c>
      <c r="C3643" t="s">
        <v>7329</v>
      </c>
      <c r="D3643" t="s">
        <v>92</v>
      </c>
      <c r="F3643">
        <v>23446267</v>
      </c>
      <c r="G3643">
        <v>-44418365</v>
      </c>
      <c r="H3643">
        <v>-28733789</v>
      </c>
      <c r="I3643">
        <v>74013548</v>
      </c>
      <c r="J3643">
        <v>91056899</v>
      </c>
      <c r="K3643">
        <v>-59939165</v>
      </c>
      <c r="L3643">
        <v>-2806864</v>
      </c>
      <c r="P3643">
        <v>203</v>
      </c>
      <c r="Q3643" t="s">
        <v>7330</v>
      </c>
    </row>
    <row r="3644" spans="1:17" x14ac:dyDescent="0.3">
      <c r="A3644" t="s">
        <v>4446</v>
      </c>
      <c r="B3644" t="str">
        <f>"002936"</f>
        <v>002936</v>
      </c>
      <c r="C3644" t="s">
        <v>7331</v>
      </c>
      <c r="D3644" t="s">
        <v>19</v>
      </c>
      <c r="F3644">
        <v>-43314604000</v>
      </c>
      <c r="G3644">
        <v>-11630254000</v>
      </c>
      <c r="H3644">
        <v>-8754779000</v>
      </c>
      <c r="I3644">
        <v>-26438942000</v>
      </c>
      <c r="J3644">
        <v>-2433207000</v>
      </c>
      <c r="K3644">
        <v>53177836000</v>
      </c>
      <c r="L3644">
        <v>7009025000</v>
      </c>
      <c r="M3644">
        <v>29131845000</v>
      </c>
      <c r="N3644">
        <v>11310581000</v>
      </c>
      <c r="O3644">
        <v>9190072000</v>
      </c>
      <c r="P3644">
        <v>469</v>
      </c>
      <c r="Q3644" t="s">
        <v>7332</v>
      </c>
    </row>
    <row r="3645" spans="1:17" x14ac:dyDescent="0.3">
      <c r="A3645" t="s">
        <v>4446</v>
      </c>
      <c r="B3645" t="str">
        <f>"002937"</f>
        <v>002937</v>
      </c>
      <c r="C3645" t="s">
        <v>7333</v>
      </c>
      <c r="D3645" t="s">
        <v>150</v>
      </c>
      <c r="F3645">
        <v>62182491</v>
      </c>
      <c r="G3645">
        <v>193183927</v>
      </c>
      <c r="H3645">
        <v>225140596</v>
      </c>
      <c r="I3645">
        <v>-280027899</v>
      </c>
      <c r="J3645">
        <v>36720760</v>
      </c>
      <c r="K3645">
        <v>99176290</v>
      </c>
      <c r="L3645">
        <v>55876107</v>
      </c>
      <c r="P3645">
        <v>210</v>
      </c>
      <c r="Q3645" t="s">
        <v>7334</v>
      </c>
    </row>
    <row r="3646" spans="1:17" x14ac:dyDescent="0.3">
      <c r="A3646" t="s">
        <v>4446</v>
      </c>
      <c r="B3646" t="str">
        <f>"002938"</f>
        <v>002938</v>
      </c>
      <c r="C3646" t="s">
        <v>7335</v>
      </c>
      <c r="D3646" t="s">
        <v>150</v>
      </c>
      <c r="F3646">
        <v>-2653759298</v>
      </c>
      <c r="G3646">
        <v>-217792171</v>
      </c>
      <c r="H3646">
        <v>445303942</v>
      </c>
      <c r="I3646">
        <v>2224942380</v>
      </c>
      <c r="J3646">
        <v>-1308551659</v>
      </c>
      <c r="K3646">
        <v>-245853822</v>
      </c>
      <c r="L3646">
        <v>1210310320</v>
      </c>
      <c r="P3646">
        <v>961</v>
      </c>
      <c r="Q3646" t="s">
        <v>7336</v>
      </c>
    </row>
    <row r="3647" spans="1:17" x14ac:dyDescent="0.3">
      <c r="A3647" t="s">
        <v>4446</v>
      </c>
      <c r="B3647" t="str">
        <f>"002939"</f>
        <v>002939</v>
      </c>
      <c r="C3647" t="s">
        <v>7337</v>
      </c>
      <c r="D3647" t="s">
        <v>75</v>
      </c>
      <c r="F3647">
        <v>-1312714752</v>
      </c>
      <c r="G3647">
        <v>-4859635504</v>
      </c>
      <c r="H3647">
        <v>-2846407441</v>
      </c>
      <c r="I3647">
        <v>-4252455204</v>
      </c>
      <c r="J3647">
        <v>-6157580537</v>
      </c>
      <c r="K3647">
        <v>-3361734599</v>
      </c>
      <c r="L3647">
        <v>1161743012</v>
      </c>
      <c r="M3647">
        <v>5584957824</v>
      </c>
      <c r="N3647">
        <v>292963254</v>
      </c>
      <c r="O3647">
        <v>-435503638</v>
      </c>
      <c r="P3647">
        <v>832</v>
      </c>
      <c r="Q3647" t="s">
        <v>7338</v>
      </c>
    </row>
    <row r="3648" spans="1:17" x14ac:dyDescent="0.3">
      <c r="A3648" t="s">
        <v>4446</v>
      </c>
      <c r="B3648" t="str">
        <f>"002940"</f>
        <v>002940</v>
      </c>
      <c r="C3648" t="s">
        <v>7339</v>
      </c>
      <c r="D3648" t="s">
        <v>113</v>
      </c>
      <c r="F3648">
        <v>110710279</v>
      </c>
      <c r="G3648">
        <v>107850709</v>
      </c>
      <c r="H3648">
        <v>138106464</v>
      </c>
      <c r="I3648">
        <v>65487125</v>
      </c>
      <c r="J3648">
        <v>142592623</v>
      </c>
      <c r="K3648">
        <v>116037818</v>
      </c>
      <c r="L3648">
        <v>103495242</v>
      </c>
      <c r="P3648">
        <v>148</v>
      </c>
      <c r="Q3648" t="s">
        <v>7340</v>
      </c>
    </row>
    <row r="3649" spans="1:17" x14ac:dyDescent="0.3">
      <c r="A3649" t="s">
        <v>4446</v>
      </c>
      <c r="B3649" t="str">
        <f>"002941"</f>
        <v>002941</v>
      </c>
      <c r="C3649" t="s">
        <v>7341</v>
      </c>
      <c r="D3649" t="s">
        <v>95</v>
      </c>
      <c r="F3649">
        <v>1666004629</v>
      </c>
      <c r="G3649">
        <v>48589055</v>
      </c>
      <c r="H3649">
        <v>-1623129992</v>
      </c>
      <c r="I3649">
        <v>-490803215</v>
      </c>
      <c r="J3649">
        <v>-1310322439</v>
      </c>
      <c r="K3649">
        <v>177989116</v>
      </c>
      <c r="L3649">
        <v>70114858</v>
      </c>
      <c r="P3649">
        <v>145</v>
      </c>
      <c r="Q3649" t="s">
        <v>7342</v>
      </c>
    </row>
    <row r="3650" spans="1:17" x14ac:dyDescent="0.3">
      <c r="A3650" t="s">
        <v>4446</v>
      </c>
      <c r="B3650" t="str">
        <f>"002942"</f>
        <v>002942</v>
      </c>
      <c r="C3650" t="s">
        <v>7343</v>
      </c>
      <c r="D3650" t="s">
        <v>133</v>
      </c>
      <c r="F3650">
        <v>85117864</v>
      </c>
      <c r="G3650">
        <v>54221847</v>
      </c>
      <c r="H3650">
        <v>136462677</v>
      </c>
      <c r="I3650">
        <v>19820797</v>
      </c>
      <c r="J3650">
        <v>56143020</v>
      </c>
      <c r="K3650">
        <v>59983350</v>
      </c>
      <c r="L3650">
        <v>-28740286</v>
      </c>
      <c r="P3650">
        <v>414</v>
      </c>
      <c r="Q3650" t="s">
        <v>7344</v>
      </c>
    </row>
    <row r="3651" spans="1:17" x14ac:dyDescent="0.3">
      <c r="A3651" t="s">
        <v>4446</v>
      </c>
      <c r="B3651" t="str">
        <f>"002943"</f>
        <v>002943</v>
      </c>
      <c r="C3651" t="s">
        <v>7345</v>
      </c>
      <c r="D3651" t="s">
        <v>78</v>
      </c>
      <c r="F3651">
        <v>-137297436</v>
      </c>
      <c r="G3651">
        <v>-105763970</v>
      </c>
      <c r="H3651">
        <v>-154434792</v>
      </c>
      <c r="I3651">
        <v>-64308212</v>
      </c>
      <c r="J3651">
        <v>81283380</v>
      </c>
      <c r="K3651">
        <v>1585921</v>
      </c>
      <c r="L3651">
        <v>1620439</v>
      </c>
      <c r="P3651">
        <v>74</v>
      </c>
      <c r="Q3651" t="s">
        <v>7346</v>
      </c>
    </row>
    <row r="3652" spans="1:17" x14ac:dyDescent="0.3">
      <c r="A3652" t="s">
        <v>4446</v>
      </c>
      <c r="B3652" t="str">
        <f>"002945"</f>
        <v>002945</v>
      </c>
      <c r="C3652" t="s">
        <v>7347</v>
      </c>
      <c r="D3652" t="s">
        <v>75</v>
      </c>
      <c r="F3652">
        <v>-6220709815</v>
      </c>
      <c r="G3652">
        <v>10687383193</v>
      </c>
      <c r="H3652">
        <v>1860473408</v>
      </c>
      <c r="I3652">
        <v>32305385</v>
      </c>
      <c r="J3652">
        <v>-1017757737</v>
      </c>
      <c r="K3652">
        <v>-1729242623</v>
      </c>
      <c r="L3652">
        <v>1225792812</v>
      </c>
      <c r="M3652">
        <v>1977975789</v>
      </c>
      <c r="N3652">
        <v>-629615680</v>
      </c>
      <c r="O3652">
        <v>268131668</v>
      </c>
      <c r="P3652">
        <v>913</v>
      </c>
      <c r="Q3652" t="s">
        <v>7348</v>
      </c>
    </row>
    <row r="3653" spans="1:17" x14ac:dyDescent="0.3">
      <c r="A3653" t="s">
        <v>4446</v>
      </c>
      <c r="B3653" t="str">
        <f>"002946"</f>
        <v>002946</v>
      </c>
      <c r="C3653" t="s">
        <v>7349</v>
      </c>
      <c r="D3653" t="s">
        <v>123</v>
      </c>
      <c r="F3653">
        <v>438307491</v>
      </c>
      <c r="G3653">
        <v>154714817</v>
      </c>
      <c r="H3653">
        <v>87722567</v>
      </c>
      <c r="I3653">
        <v>111785158</v>
      </c>
      <c r="J3653">
        <v>-45616944</v>
      </c>
      <c r="K3653">
        <v>-49059889</v>
      </c>
      <c r="L3653">
        <v>-260790237</v>
      </c>
      <c r="P3653">
        <v>343</v>
      </c>
      <c r="Q3653" t="s">
        <v>7350</v>
      </c>
    </row>
    <row r="3654" spans="1:17" x14ac:dyDescent="0.3">
      <c r="A3654" t="s">
        <v>4446</v>
      </c>
      <c r="B3654" t="str">
        <f>"002947"</f>
        <v>002947</v>
      </c>
      <c r="C3654" t="s">
        <v>7351</v>
      </c>
      <c r="D3654" t="s">
        <v>150</v>
      </c>
      <c r="F3654">
        <v>-225157970</v>
      </c>
      <c r="G3654">
        <v>77040152</v>
      </c>
      <c r="H3654">
        <v>142972442</v>
      </c>
      <c r="I3654">
        <v>72904686</v>
      </c>
      <c r="J3654">
        <v>60362661</v>
      </c>
      <c r="K3654">
        <v>-47723561</v>
      </c>
      <c r="L3654">
        <v>76656671</v>
      </c>
      <c r="P3654">
        <v>266</v>
      </c>
      <c r="Q3654" t="s">
        <v>7352</v>
      </c>
    </row>
    <row r="3655" spans="1:17" x14ac:dyDescent="0.3">
      <c r="A3655" t="s">
        <v>4446</v>
      </c>
      <c r="B3655" t="str">
        <f>"002948"</f>
        <v>002948</v>
      </c>
      <c r="C3655" t="s">
        <v>7353</v>
      </c>
      <c r="D3655" t="s">
        <v>19</v>
      </c>
      <c r="F3655">
        <v>2383738000</v>
      </c>
      <c r="G3655">
        <v>44575659000</v>
      </c>
      <c r="H3655">
        <v>-7280131000</v>
      </c>
      <c r="I3655">
        <v>-21126339000</v>
      </c>
      <c r="J3655">
        <v>-26256384000</v>
      </c>
      <c r="K3655">
        <v>43596358000</v>
      </c>
      <c r="L3655">
        <v>7846418000</v>
      </c>
      <c r="M3655">
        <v>10829350000</v>
      </c>
      <c r="N3655">
        <v>9842485000</v>
      </c>
      <c r="O3655">
        <v>9448090000</v>
      </c>
      <c r="P3655">
        <v>458</v>
      </c>
      <c r="Q3655" t="s">
        <v>7354</v>
      </c>
    </row>
    <row r="3656" spans="1:17" x14ac:dyDescent="0.3">
      <c r="A3656" t="s">
        <v>4446</v>
      </c>
      <c r="B3656" t="str">
        <f>"002949"</f>
        <v>002949</v>
      </c>
      <c r="C3656" t="s">
        <v>7355</v>
      </c>
      <c r="D3656" t="s">
        <v>95</v>
      </c>
      <c r="F3656">
        <v>92252896</v>
      </c>
      <c r="G3656">
        <v>31550676</v>
      </c>
      <c r="H3656">
        <v>-121436007</v>
      </c>
      <c r="I3656">
        <v>49520856</v>
      </c>
      <c r="J3656">
        <v>-139606124</v>
      </c>
      <c r="K3656">
        <v>127708549</v>
      </c>
      <c r="L3656">
        <v>71632092</v>
      </c>
      <c r="P3656">
        <v>159</v>
      </c>
      <c r="Q3656" t="s">
        <v>7356</v>
      </c>
    </row>
    <row r="3657" spans="1:17" x14ac:dyDescent="0.3">
      <c r="A3657" t="s">
        <v>4446</v>
      </c>
      <c r="B3657" t="str">
        <f>"002950"</f>
        <v>002950</v>
      </c>
      <c r="C3657" t="s">
        <v>7357</v>
      </c>
      <c r="D3657" t="s">
        <v>113</v>
      </c>
      <c r="F3657">
        <v>91300323</v>
      </c>
      <c r="G3657">
        <v>1279218331</v>
      </c>
      <c r="H3657">
        <v>40991690</v>
      </c>
      <c r="I3657">
        <v>-273506857</v>
      </c>
      <c r="J3657">
        <v>-205401714</v>
      </c>
      <c r="K3657">
        <v>312409964</v>
      </c>
      <c r="L3657">
        <v>118501085</v>
      </c>
      <c r="P3657">
        <v>1080</v>
      </c>
      <c r="Q3657" t="s">
        <v>7358</v>
      </c>
    </row>
    <row r="3658" spans="1:17" x14ac:dyDescent="0.3">
      <c r="A3658" t="s">
        <v>4446</v>
      </c>
      <c r="B3658" t="str">
        <f>"002951"</f>
        <v>002951</v>
      </c>
      <c r="C3658" t="s">
        <v>7359</v>
      </c>
      <c r="D3658" t="s">
        <v>161</v>
      </c>
      <c r="F3658">
        <v>67324367</v>
      </c>
      <c r="G3658">
        <v>6815980</v>
      </c>
      <c r="H3658">
        <v>246421962</v>
      </c>
      <c r="I3658">
        <v>183211533</v>
      </c>
      <c r="J3658">
        <v>372976014</v>
      </c>
      <c r="K3658">
        <v>577118622</v>
      </c>
      <c r="P3658">
        <v>93</v>
      </c>
      <c r="Q3658" t="s">
        <v>7360</v>
      </c>
    </row>
    <row r="3659" spans="1:17" x14ac:dyDescent="0.3">
      <c r="A3659" t="s">
        <v>4446</v>
      </c>
      <c r="B3659" t="str">
        <f>"002952"</f>
        <v>002952</v>
      </c>
      <c r="C3659" t="s">
        <v>7361</v>
      </c>
      <c r="D3659" t="s">
        <v>150</v>
      </c>
      <c r="F3659">
        <v>-192214099</v>
      </c>
      <c r="G3659">
        <v>30184748</v>
      </c>
      <c r="H3659">
        <v>42869657</v>
      </c>
      <c r="I3659">
        <v>82615051</v>
      </c>
      <c r="J3659">
        <v>71047254</v>
      </c>
      <c r="K3659">
        <v>67938057</v>
      </c>
      <c r="P3659">
        <v>79</v>
      </c>
      <c r="Q3659" t="s">
        <v>7362</v>
      </c>
    </row>
    <row r="3660" spans="1:17" x14ac:dyDescent="0.3">
      <c r="A3660" t="s">
        <v>4446</v>
      </c>
      <c r="B3660" t="str">
        <f>"002953"</f>
        <v>002953</v>
      </c>
      <c r="C3660" t="s">
        <v>7363</v>
      </c>
      <c r="D3660" t="s">
        <v>188</v>
      </c>
      <c r="F3660">
        <v>-443053837</v>
      </c>
      <c r="G3660">
        <v>-221373220</v>
      </c>
      <c r="H3660">
        <v>26601207</v>
      </c>
      <c r="I3660">
        <v>72751043</v>
      </c>
      <c r="J3660">
        <v>5038617</v>
      </c>
      <c r="K3660">
        <v>33581409</v>
      </c>
      <c r="P3660">
        <v>99</v>
      </c>
      <c r="Q3660" t="s">
        <v>7364</v>
      </c>
    </row>
    <row r="3661" spans="1:17" x14ac:dyDescent="0.3">
      <c r="A3661" t="s">
        <v>4446</v>
      </c>
      <c r="B3661" t="str">
        <f>"002955"</f>
        <v>002955</v>
      </c>
      <c r="C3661" t="s">
        <v>7365</v>
      </c>
      <c r="D3661" t="s">
        <v>150</v>
      </c>
      <c r="F3661">
        <v>-9424209</v>
      </c>
      <c r="G3661">
        <v>-209405064</v>
      </c>
      <c r="H3661">
        <v>-147957757</v>
      </c>
      <c r="I3661">
        <v>330379027</v>
      </c>
      <c r="J3661">
        <v>-10617808</v>
      </c>
      <c r="K3661">
        <v>254440098</v>
      </c>
      <c r="P3661">
        <v>167</v>
      </c>
      <c r="Q3661" t="s">
        <v>7366</v>
      </c>
    </row>
    <row r="3662" spans="1:17" x14ac:dyDescent="0.3">
      <c r="A3662" t="s">
        <v>4446</v>
      </c>
      <c r="B3662" t="str">
        <f>"002956"</f>
        <v>002956</v>
      </c>
      <c r="C3662" t="s">
        <v>7367</v>
      </c>
      <c r="D3662" t="s">
        <v>123</v>
      </c>
      <c r="F3662">
        <v>-30845676</v>
      </c>
      <c r="G3662">
        <v>30523152</v>
      </c>
      <c r="H3662">
        <v>73189628</v>
      </c>
      <c r="I3662">
        <v>65116063</v>
      </c>
      <c r="J3662">
        <v>118018847</v>
      </c>
      <c r="K3662">
        <v>108954128</v>
      </c>
      <c r="P3662">
        <v>281</v>
      </c>
      <c r="Q3662" t="s">
        <v>7368</v>
      </c>
    </row>
    <row r="3663" spans="1:17" x14ac:dyDescent="0.3">
      <c r="A3663" t="s">
        <v>4446</v>
      </c>
      <c r="B3663" t="str">
        <f>"002957"</f>
        <v>002957</v>
      </c>
      <c r="C3663" t="s">
        <v>7369</v>
      </c>
      <c r="D3663" t="s">
        <v>78</v>
      </c>
      <c r="F3663">
        <v>-130804244</v>
      </c>
      <c r="G3663">
        <v>131322282</v>
      </c>
      <c r="H3663">
        <v>294180193</v>
      </c>
      <c r="I3663">
        <v>192152148</v>
      </c>
      <c r="J3663">
        <v>129218060</v>
      </c>
      <c r="K3663">
        <v>447949984</v>
      </c>
      <c r="P3663">
        <v>182</v>
      </c>
      <c r="Q3663" t="s">
        <v>7370</v>
      </c>
    </row>
    <row r="3664" spans="1:17" x14ac:dyDescent="0.3">
      <c r="A3664" t="s">
        <v>4446</v>
      </c>
      <c r="B3664" t="str">
        <f>"002958"</f>
        <v>002958</v>
      </c>
      <c r="C3664" t="s">
        <v>7371</v>
      </c>
      <c r="D3664" t="s">
        <v>19</v>
      </c>
      <c r="F3664">
        <v>457111000</v>
      </c>
      <c r="G3664">
        <v>5898653000</v>
      </c>
      <c r="H3664">
        <v>-5104156000</v>
      </c>
      <c r="I3664">
        <v>-2597263000</v>
      </c>
      <c r="J3664">
        <v>1323880000</v>
      </c>
      <c r="K3664">
        <v>18851102000</v>
      </c>
      <c r="L3664">
        <v>12662382000</v>
      </c>
      <c r="M3664">
        <v>7704437331</v>
      </c>
      <c r="N3664">
        <v>8859651000</v>
      </c>
      <c r="O3664">
        <v>4923341000</v>
      </c>
      <c r="P3664">
        <v>416</v>
      </c>
      <c r="Q3664" t="s">
        <v>7372</v>
      </c>
    </row>
    <row r="3665" spans="1:17" x14ac:dyDescent="0.3">
      <c r="A3665" t="s">
        <v>4446</v>
      </c>
      <c r="B3665" t="str">
        <f>"002959"</f>
        <v>002959</v>
      </c>
      <c r="C3665" t="s">
        <v>7373</v>
      </c>
      <c r="D3665" t="s">
        <v>126</v>
      </c>
      <c r="F3665">
        <v>-253898774</v>
      </c>
      <c r="G3665">
        <v>900951827</v>
      </c>
      <c r="H3665">
        <v>182251915</v>
      </c>
      <c r="I3665">
        <v>239564122</v>
      </c>
      <c r="J3665">
        <v>96125567</v>
      </c>
      <c r="K3665">
        <v>48443116</v>
      </c>
      <c r="P3665">
        <v>1480</v>
      </c>
      <c r="Q3665" t="s">
        <v>7374</v>
      </c>
    </row>
    <row r="3666" spans="1:17" x14ac:dyDescent="0.3">
      <c r="A3666" t="s">
        <v>4446</v>
      </c>
      <c r="B3666" t="str">
        <f>"002960"</f>
        <v>002960</v>
      </c>
      <c r="C3666" t="s">
        <v>7375</v>
      </c>
      <c r="D3666" t="s">
        <v>78</v>
      </c>
      <c r="F3666">
        <v>139775762</v>
      </c>
      <c r="G3666">
        <v>266172775</v>
      </c>
      <c r="H3666">
        <v>73671883</v>
      </c>
      <c r="I3666">
        <v>77304581</v>
      </c>
      <c r="J3666">
        <v>80660565</v>
      </c>
      <c r="K3666">
        <v>237810925</v>
      </c>
      <c r="P3666">
        <v>390</v>
      </c>
      <c r="Q3666" t="s">
        <v>7376</v>
      </c>
    </row>
    <row r="3667" spans="1:17" x14ac:dyDescent="0.3">
      <c r="A3667" t="s">
        <v>4446</v>
      </c>
      <c r="B3667" t="str">
        <f>"002961"</f>
        <v>002961</v>
      </c>
      <c r="C3667" t="s">
        <v>7377</v>
      </c>
      <c r="D3667" t="s">
        <v>75</v>
      </c>
      <c r="F3667">
        <v>-514816184</v>
      </c>
      <c r="G3667">
        <v>-109819660</v>
      </c>
      <c r="H3667">
        <v>-646348583</v>
      </c>
      <c r="I3667">
        <v>-308860150</v>
      </c>
      <c r="J3667">
        <v>-1516892441</v>
      </c>
      <c r="K3667">
        <v>2051901597</v>
      </c>
      <c r="L3667">
        <v>-899878950</v>
      </c>
      <c r="M3667">
        <v>863377962</v>
      </c>
      <c r="N3667">
        <v>-539390464</v>
      </c>
      <c r="O3667">
        <v>-37446629</v>
      </c>
      <c r="P3667">
        <v>121</v>
      </c>
      <c r="Q3667" t="s">
        <v>7378</v>
      </c>
    </row>
    <row r="3668" spans="1:17" x14ac:dyDescent="0.3">
      <c r="A3668" t="s">
        <v>4446</v>
      </c>
      <c r="B3668" t="str">
        <f>"002962"</f>
        <v>002962</v>
      </c>
      <c r="C3668" t="s">
        <v>7379</v>
      </c>
      <c r="D3668" t="s">
        <v>150</v>
      </c>
      <c r="F3668">
        <v>-2179117</v>
      </c>
      <c r="G3668">
        <v>150076797</v>
      </c>
      <c r="H3668">
        <v>52878152</v>
      </c>
      <c r="I3668">
        <v>71474254</v>
      </c>
      <c r="J3668">
        <v>-24305929</v>
      </c>
      <c r="K3668">
        <v>-5901130</v>
      </c>
      <c r="P3668">
        <v>137</v>
      </c>
      <c r="Q3668" t="s">
        <v>7380</v>
      </c>
    </row>
    <row r="3669" spans="1:17" x14ac:dyDescent="0.3">
      <c r="A3669" t="s">
        <v>4446</v>
      </c>
      <c r="B3669" t="str">
        <f>"002963"</f>
        <v>002963</v>
      </c>
      <c r="C3669" t="s">
        <v>7381</v>
      </c>
      <c r="D3669" t="s">
        <v>95</v>
      </c>
      <c r="F3669">
        <v>48048601</v>
      </c>
      <c r="G3669">
        <v>-126724850</v>
      </c>
      <c r="H3669">
        <v>106309845</v>
      </c>
      <c r="I3669">
        <v>46323594</v>
      </c>
      <c r="J3669">
        <v>26961406</v>
      </c>
      <c r="K3669">
        <v>-68948647</v>
      </c>
      <c r="P3669">
        <v>75</v>
      </c>
      <c r="Q3669" t="s">
        <v>7382</v>
      </c>
    </row>
    <row r="3670" spans="1:17" x14ac:dyDescent="0.3">
      <c r="A3670" t="s">
        <v>4446</v>
      </c>
      <c r="B3670" t="str">
        <f>"002965"</f>
        <v>002965</v>
      </c>
      <c r="C3670" t="s">
        <v>7383</v>
      </c>
      <c r="D3670" t="s">
        <v>78</v>
      </c>
      <c r="F3670">
        <v>-296623216</v>
      </c>
      <c r="G3670">
        <v>30676384</v>
      </c>
      <c r="H3670">
        <v>-99663701</v>
      </c>
      <c r="I3670">
        <v>7956366</v>
      </c>
      <c r="J3670">
        <v>-14307995</v>
      </c>
      <c r="K3670">
        <v>99080643</v>
      </c>
      <c r="P3670">
        <v>400</v>
      </c>
      <c r="Q3670" t="s">
        <v>7384</v>
      </c>
    </row>
    <row r="3671" spans="1:17" x14ac:dyDescent="0.3">
      <c r="A3671" t="s">
        <v>4446</v>
      </c>
      <c r="B3671" t="str">
        <f>"002966"</f>
        <v>002966</v>
      </c>
      <c r="C3671" t="s">
        <v>7385</v>
      </c>
      <c r="D3671" t="s">
        <v>19</v>
      </c>
      <c r="F3671">
        <v>-8143574463</v>
      </c>
      <c r="G3671">
        <v>18860047800</v>
      </c>
      <c r="H3671">
        <v>-14171618774</v>
      </c>
      <c r="I3671">
        <v>-8835340498</v>
      </c>
      <c r="J3671">
        <v>6653468826</v>
      </c>
      <c r="K3671">
        <v>-16223902637</v>
      </c>
      <c r="L3671">
        <v>8276091000</v>
      </c>
      <c r="M3671">
        <v>14949385000</v>
      </c>
      <c r="N3671">
        <v>15006055000</v>
      </c>
      <c r="O3671">
        <v>19520441846</v>
      </c>
      <c r="P3671">
        <v>365</v>
      </c>
      <c r="Q3671" t="s">
        <v>7386</v>
      </c>
    </row>
    <row r="3672" spans="1:17" x14ac:dyDescent="0.3">
      <c r="A3672" t="s">
        <v>4446</v>
      </c>
      <c r="B3672" t="str">
        <f>"002967"</f>
        <v>002967</v>
      </c>
      <c r="C3672" t="s">
        <v>7387</v>
      </c>
      <c r="D3672" t="s">
        <v>110</v>
      </c>
      <c r="F3672">
        <v>43654192</v>
      </c>
      <c r="G3672">
        <v>56944597</v>
      </c>
      <c r="H3672">
        <v>-251728308</v>
      </c>
      <c r="I3672">
        <v>-288678738</v>
      </c>
      <c r="J3672">
        <v>-168809892</v>
      </c>
      <c r="K3672">
        <v>-150933622</v>
      </c>
      <c r="P3672">
        <v>238</v>
      </c>
      <c r="Q3672" t="s">
        <v>7388</v>
      </c>
    </row>
    <row r="3673" spans="1:17" x14ac:dyDescent="0.3">
      <c r="A3673" t="s">
        <v>4446</v>
      </c>
      <c r="B3673" t="str">
        <f>"002968"</f>
        <v>002968</v>
      </c>
      <c r="C3673" t="s">
        <v>7389</v>
      </c>
      <c r="D3673" t="s">
        <v>30</v>
      </c>
      <c r="F3673">
        <v>39326625</v>
      </c>
      <c r="G3673">
        <v>151453446</v>
      </c>
      <c r="H3673">
        <v>24133503</v>
      </c>
      <c r="I3673">
        <v>57981979</v>
      </c>
      <c r="J3673">
        <v>28728585</v>
      </c>
      <c r="K3673">
        <v>58464418</v>
      </c>
      <c r="P3673">
        <v>237</v>
      </c>
      <c r="Q3673" t="s">
        <v>7390</v>
      </c>
    </row>
    <row r="3674" spans="1:17" x14ac:dyDescent="0.3">
      <c r="A3674" t="s">
        <v>4446</v>
      </c>
      <c r="B3674" t="str">
        <f>"002969"</f>
        <v>002969</v>
      </c>
      <c r="C3674" t="s">
        <v>7391</v>
      </c>
      <c r="D3674" t="s">
        <v>161</v>
      </c>
      <c r="F3674">
        <v>-5515080</v>
      </c>
      <c r="G3674">
        <v>71601429</v>
      </c>
      <c r="H3674">
        <v>153071600</v>
      </c>
      <c r="I3674">
        <v>327934553</v>
      </c>
      <c r="J3674">
        <v>104468824</v>
      </c>
      <c r="K3674">
        <v>279832537</v>
      </c>
      <c r="P3674">
        <v>78</v>
      </c>
      <c r="Q3674" t="s">
        <v>7392</v>
      </c>
    </row>
    <row r="3675" spans="1:17" x14ac:dyDescent="0.3">
      <c r="A3675" t="s">
        <v>4446</v>
      </c>
      <c r="B3675" t="str">
        <f>"002970"</f>
        <v>002970</v>
      </c>
      <c r="C3675" t="s">
        <v>7393</v>
      </c>
      <c r="D3675" t="s">
        <v>212</v>
      </c>
      <c r="F3675">
        <v>-494107060</v>
      </c>
      <c r="G3675">
        <v>-87488703</v>
      </c>
      <c r="H3675">
        <v>179934095</v>
      </c>
      <c r="I3675">
        <v>69748225</v>
      </c>
      <c r="J3675">
        <v>46927214</v>
      </c>
      <c r="K3675">
        <v>109981271</v>
      </c>
      <c r="P3675">
        <v>563</v>
      </c>
      <c r="Q3675" t="s">
        <v>7394</v>
      </c>
    </row>
    <row r="3676" spans="1:17" x14ac:dyDescent="0.3">
      <c r="A3676" t="s">
        <v>4446</v>
      </c>
      <c r="B3676" t="str">
        <f>"002971"</f>
        <v>002971</v>
      </c>
      <c r="C3676" t="s">
        <v>7395</v>
      </c>
      <c r="D3676" t="s">
        <v>133</v>
      </c>
      <c r="F3676">
        <v>-287294167</v>
      </c>
      <c r="G3676">
        <v>-130498632</v>
      </c>
      <c r="H3676">
        <v>11559922</v>
      </c>
      <c r="I3676">
        <v>27446894</v>
      </c>
      <c r="J3676">
        <v>-9934723</v>
      </c>
      <c r="K3676">
        <v>-81930275</v>
      </c>
      <c r="P3676">
        <v>70</v>
      </c>
      <c r="Q3676" t="s">
        <v>7396</v>
      </c>
    </row>
    <row r="3677" spans="1:17" x14ac:dyDescent="0.3">
      <c r="A3677" t="s">
        <v>4446</v>
      </c>
      <c r="B3677" t="str">
        <f>"002972"</f>
        <v>002972</v>
      </c>
      <c r="C3677" t="s">
        <v>7397</v>
      </c>
      <c r="D3677" t="s">
        <v>78</v>
      </c>
      <c r="F3677">
        <v>40630992</v>
      </c>
      <c r="G3677">
        <v>68181591</v>
      </c>
      <c r="H3677">
        <v>38891887</v>
      </c>
      <c r="I3677">
        <v>-6793450</v>
      </c>
      <c r="J3677">
        <v>52315096</v>
      </c>
      <c r="K3677">
        <v>13820638</v>
      </c>
      <c r="P3677">
        <v>188</v>
      </c>
      <c r="Q3677" t="s">
        <v>7398</v>
      </c>
    </row>
    <row r="3678" spans="1:17" x14ac:dyDescent="0.3">
      <c r="A3678" t="s">
        <v>4446</v>
      </c>
      <c r="B3678" t="str">
        <f>"002973"</f>
        <v>002973</v>
      </c>
      <c r="C3678" t="s">
        <v>7399</v>
      </c>
      <c r="D3678" t="s">
        <v>33</v>
      </c>
      <c r="F3678">
        <v>-552757033</v>
      </c>
      <c r="G3678">
        <v>-367841482</v>
      </c>
      <c r="H3678">
        <v>-550710548</v>
      </c>
      <c r="I3678">
        <v>-491952890</v>
      </c>
      <c r="J3678">
        <v>-237750298</v>
      </c>
      <c r="K3678">
        <v>-33097890</v>
      </c>
      <c r="P3678">
        <v>213</v>
      </c>
      <c r="Q3678" t="s">
        <v>7400</v>
      </c>
    </row>
    <row r="3679" spans="1:17" x14ac:dyDescent="0.3">
      <c r="A3679" t="s">
        <v>4446</v>
      </c>
      <c r="B3679" t="str">
        <f>"002975"</f>
        <v>002975</v>
      </c>
      <c r="C3679" t="s">
        <v>7401</v>
      </c>
      <c r="D3679" t="s">
        <v>78</v>
      </c>
      <c r="F3679">
        <v>44565727</v>
      </c>
      <c r="G3679">
        <v>202059990</v>
      </c>
      <c r="H3679">
        <v>113446317</v>
      </c>
      <c r="I3679">
        <v>-24414128</v>
      </c>
      <c r="J3679">
        <v>46610182</v>
      </c>
      <c r="K3679">
        <v>89170906</v>
      </c>
      <c r="P3679">
        <v>293</v>
      </c>
      <c r="Q3679" t="s">
        <v>7402</v>
      </c>
    </row>
    <row r="3680" spans="1:17" x14ac:dyDescent="0.3">
      <c r="A3680" t="s">
        <v>4446</v>
      </c>
      <c r="B3680" t="str">
        <f>"002976"</f>
        <v>002976</v>
      </c>
      <c r="C3680" t="s">
        <v>7403</v>
      </c>
      <c r="D3680" t="s">
        <v>150</v>
      </c>
      <c r="F3680">
        <v>-58975719</v>
      </c>
      <c r="G3680">
        <v>-24117146</v>
      </c>
      <c r="H3680">
        <v>56634979</v>
      </c>
      <c r="I3680">
        <v>43014598</v>
      </c>
      <c r="J3680">
        <v>48900147</v>
      </c>
      <c r="K3680">
        <v>38368896</v>
      </c>
      <c r="P3680">
        <v>104</v>
      </c>
      <c r="Q3680" t="s">
        <v>7404</v>
      </c>
    </row>
    <row r="3681" spans="1:17" x14ac:dyDescent="0.3">
      <c r="A3681" t="s">
        <v>4446</v>
      </c>
      <c r="B3681" t="str">
        <f>"002977"</f>
        <v>002977</v>
      </c>
      <c r="C3681" t="s">
        <v>7405</v>
      </c>
      <c r="D3681" t="s">
        <v>92</v>
      </c>
      <c r="F3681">
        <v>-84926361</v>
      </c>
      <c r="G3681">
        <v>-17168512</v>
      </c>
      <c r="H3681">
        <v>-40456495</v>
      </c>
      <c r="I3681">
        <v>30160403</v>
      </c>
      <c r="J3681">
        <v>46396014</v>
      </c>
      <c r="P3681">
        <v>126</v>
      </c>
      <c r="Q3681" t="s">
        <v>7406</v>
      </c>
    </row>
    <row r="3682" spans="1:17" x14ac:dyDescent="0.3">
      <c r="A3682" t="s">
        <v>4446</v>
      </c>
      <c r="B3682" t="str">
        <f>"002978"</f>
        <v>002978</v>
      </c>
      <c r="C3682" t="s">
        <v>7407</v>
      </c>
      <c r="D3682" t="s">
        <v>234</v>
      </c>
      <c r="F3682">
        <v>998634093</v>
      </c>
      <c r="G3682">
        <v>885429155</v>
      </c>
      <c r="H3682">
        <v>214258577</v>
      </c>
      <c r="I3682">
        <v>548498397</v>
      </c>
      <c r="J3682">
        <v>238466045</v>
      </c>
      <c r="P3682">
        <v>229</v>
      </c>
      <c r="Q3682" t="s">
        <v>7408</v>
      </c>
    </row>
    <row r="3683" spans="1:17" x14ac:dyDescent="0.3">
      <c r="A3683" t="s">
        <v>4446</v>
      </c>
      <c r="B3683" t="str">
        <f>"002979"</f>
        <v>002979</v>
      </c>
      <c r="C3683" t="s">
        <v>7409</v>
      </c>
      <c r="D3683" t="s">
        <v>78</v>
      </c>
      <c r="F3683">
        <v>-61674747</v>
      </c>
      <c r="G3683">
        <v>99601369</v>
      </c>
      <c r="H3683">
        <v>79638322</v>
      </c>
      <c r="I3683">
        <v>-3155286</v>
      </c>
      <c r="J3683">
        <v>31427650</v>
      </c>
      <c r="P3683">
        <v>196</v>
      </c>
      <c r="Q3683" t="s">
        <v>7410</v>
      </c>
    </row>
    <row r="3684" spans="1:17" x14ac:dyDescent="0.3">
      <c r="A3684" t="s">
        <v>4446</v>
      </c>
      <c r="B3684" t="str">
        <f>"002980"</f>
        <v>002980</v>
      </c>
      <c r="C3684" t="s">
        <v>7411</v>
      </c>
      <c r="D3684" t="s">
        <v>188</v>
      </c>
      <c r="F3684">
        <v>-3541790</v>
      </c>
      <c r="G3684">
        <v>272417569</v>
      </c>
      <c r="H3684">
        <v>112513614</v>
      </c>
      <c r="I3684">
        <v>91798443</v>
      </c>
      <c r="J3684">
        <v>42398966</v>
      </c>
      <c r="P3684">
        <v>154</v>
      </c>
      <c r="Q3684" t="s">
        <v>7412</v>
      </c>
    </row>
    <row r="3685" spans="1:17" x14ac:dyDescent="0.3">
      <c r="A3685" t="s">
        <v>4446</v>
      </c>
      <c r="B3685" t="str">
        <f>"002981"</f>
        <v>002981</v>
      </c>
      <c r="C3685" t="s">
        <v>7413</v>
      </c>
      <c r="D3685" t="s">
        <v>150</v>
      </c>
      <c r="F3685">
        <v>-83797394</v>
      </c>
      <c r="G3685">
        <v>-153656080</v>
      </c>
      <c r="H3685">
        <v>-36987333</v>
      </c>
      <c r="I3685">
        <v>66629468</v>
      </c>
      <c r="J3685">
        <v>29651845</v>
      </c>
      <c r="K3685">
        <v>7378225</v>
      </c>
      <c r="P3685">
        <v>73</v>
      </c>
      <c r="Q3685" t="s">
        <v>7414</v>
      </c>
    </row>
    <row r="3686" spans="1:17" x14ac:dyDescent="0.3">
      <c r="A3686" t="s">
        <v>4446</v>
      </c>
      <c r="B3686" t="str">
        <f>"002982"</f>
        <v>002982</v>
      </c>
      <c r="C3686" t="s">
        <v>7415</v>
      </c>
      <c r="D3686" t="s">
        <v>205</v>
      </c>
      <c r="F3686">
        <v>-556529074</v>
      </c>
      <c r="G3686">
        <v>-259049748</v>
      </c>
      <c r="H3686">
        <v>138469145</v>
      </c>
      <c r="I3686">
        <v>88694035</v>
      </c>
      <c r="J3686">
        <v>-87945197</v>
      </c>
      <c r="P3686">
        <v>131</v>
      </c>
      <c r="Q3686" t="s">
        <v>7416</v>
      </c>
    </row>
    <row r="3687" spans="1:17" x14ac:dyDescent="0.3">
      <c r="A3687" t="s">
        <v>4446</v>
      </c>
      <c r="B3687" t="str">
        <f>"002983"</f>
        <v>002983</v>
      </c>
      <c r="C3687" t="s">
        <v>7417</v>
      </c>
      <c r="D3687" t="s">
        <v>150</v>
      </c>
      <c r="F3687">
        <v>-140275490</v>
      </c>
      <c r="G3687">
        <v>62111447</v>
      </c>
      <c r="H3687">
        <v>108469118</v>
      </c>
      <c r="I3687">
        <v>21674554</v>
      </c>
      <c r="J3687">
        <v>-20531443</v>
      </c>
      <c r="P3687">
        <v>109</v>
      </c>
      <c r="Q3687" t="s">
        <v>7418</v>
      </c>
    </row>
    <row r="3688" spans="1:17" x14ac:dyDescent="0.3">
      <c r="A3688" t="s">
        <v>4446</v>
      </c>
      <c r="B3688" t="str">
        <f>"002984"</f>
        <v>002984</v>
      </c>
      <c r="C3688" t="s">
        <v>7419</v>
      </c>
      <c r="D3688" t="s">
        <v>27</v>
      </c>
      <c r="F3688">
        <v>-635825915</v>
      </c>
      <c r="G3688">
        <v>745830495</v>
      </c>
      <c r="H3688">
        <v>1110741361</v>
      </c>
      <c r="I3688">
        <v>241552003</v>
      </c>
      <c r="J3688">
        <v>178394762</v>
      </c>
      <c r="P3688">
        <v>204</v>
      </c>
      <c r="Q3688" t="s">
        <v>7420</v>
      </c>
    </row>
    <row r="3689" spans="1:17" x14ac:dyDescent="0.3">
      <c r="A3689" t="s">
        <v>4446</v>
      </c>
      <c r="B3689" t="str">
        <f>"002985"</f>
        <v>002985</v>
      </c>
      <c r="C3689" t="s">
        <v>7421</v>
      </c>
      <c r="D3689" t="s">
        <v>92</v>
      </c>
      <c r="F3689">
        <v>25024030</v>
      </c>
      <c r="G3689">
        <v>83661212</v>
      </c>
      <c r="H3689">
        <v>21668182</v>
      </c>
      <c r="I3689">
        <v>44350114</v>
      </c>
      <c r="J3689">
        <v>-94476899</v>
      </c>
      <c r="P3689">
        <v>549</v>
      </c>
      <c r="Q3689" t="s">
        <v>7422</v>
      </c>
    </row>
    <row r="3690" spans="1:17" x14ac:dyDescent="0.3">
      <c r="A3690" t="s">
        <v>4446</v>
      </c>
      <c r="B3690" t="str">
        <f>"002986"</f>
        <v>002986</v>
      </c>
      <c r="C3690" t="s">
        <v>7423</v>
      </c>
      <c r="D3690" t="s">
        <v>70</v>
      </c>
      <c r="F3690">
        <v>-390816257</v>
      </c>
      <c r="G3690">
        <v>-457975896</v>
      </c>
      <c r="H3690">
        <v>984186</v>
      </c>
      <c r="I3690">
        <v>69240271</v>
      </c>
      <c r="J3690">
        <v>73922091</v>
      </c>
      <c r="P3690">
        <v>58</v>
      </c>
      <c r="Q3690" t="s">
        <v>7424</v>
      </c>
    </row>
    <row r="3691" spans="1:17" x14ac:dyDescent="0.3">
      <c r="A3691" t="s">
        <v>4446</v>
      </c>
      <c r="B3691" t="str">
        <f>"002987"</f>
        <v>002987</v>
      </c>
      <c r="C3691" t="s">
        <v>7425</v>
      </c>
      <c r="D3691" t="s">
        <v>212</v>
      </c>
      <c r="F3691">
        <v>-63066028</v>
      </c>
      <c r="G3691">
        <v>32049186</v>
      </c>
      <c r="H3691">
        <v>176835622</v>
      </c>
      <c r="I3691">
        <v>34340282</v>
      </c>
      <c r="J3691">
        <v>-26598557</v>
      </c>
      <c r="P3691">
        <v>128</v>
      </c>
      <c r="Q3691" t="s">
        <v>7426</v>
      </c>
    </row>
    <row r="3692" spans="1:17" x14ac:dyDescent="0.3">
      <c r="A3692" t="s">
        <v>4446</v>
      </c>
      <c r="B3692" t="str">
        <f>"002988"</f>
        <v>002988</v>
      </c>
      <c r="C3692" t="s">
        <v>7427</v>
      </c>
      <c r="D3692" t="s">
        <v>234</v>
      </c>
      <c r="F3692">
        <v>-732845325</v>
      </c>
      <c r="G3692">
        <v>-422518671</v>
      </c>
      <c r="H3692">
        <v>80172499</v>
      </c>
      <c r="I3692">
        <v>-25679942</v>
      </c>
      <c r="J3692">
        <v>-147372271</v>
      </c>
      <c r="P3692">
        <v>62</v>
      </c>
      <c r="Q3692" t="s">
        <v>7428</v>
      </c>
    </row>
    <row r="3693" spans="1:17" x14ac:dyDescent="0.3">
      <c r="A3693" t="s">
        <v>4446</v>
      </c>
      <c r="B3693" t="str">
        <f>"002989"</f>
        <v>002989</v>
      </c>
      <c r="C3693" t="s">
        <v>7429</v>
      </c>
      <c r="D3693" t="s">
        <v>95</v>
      </c>
      <c r="F3693">
        <v>172769155</v>
      </c>
      <c r="G3693">
        <v>66823736</v>
      </c>
      <c r="H3693">
        <v>171046107</v>
      </c>
      <c r="I3693">
        <v>131790726</v>
      </c>
      <c r="J3693">
        <v>35124796</v>
      </c>
      <c r="P3693">
        <v>137</v>
      </c>
      <c r="Q3693" t="s">
        <v>7430</v>
      </c>
    </row>
    <row r="3694" spans="1:17" x14ac:dyDescent="0.3">
      <c r="A3694" t="s">
        <v>4446</v>
      </c>
      <c r="B3694" t="str">
        <f>"002990"</f>
        <v>002990</v>
      </c>
      <c r="C3694" t="s">
        <v>7431</v>
      </c>
      <c r="D3694" t="s">
        <v>212</v>
      </c>
      <c r="F3694">
        <v>137397524</v>
      </c>
      <c r="G3694">
        <v>32981523</v>
      </c>
      <c r="H3694">
        <v>104173173</v>
      </c>
      <c r="I3694">
        <v>115104658</v>
      </c>
      <c r="J3694">
        <v>54838339</v>
      </c>
      <c r="P3694">
        <v>110</v>
      </c>
      <c r="Q3694" t="s">
        <v>7432</v>
      </c>
    </row>
    <row r="3695" spans="1:17" x14ac:dyDescent="0.3">
      <c r="A3695" t="s">
        <v>4446</v>
      </c>
      <c r="B3695" t="str">
        <f>"002991"</f>
        <v>002991</v>
      </c>
      <c r="C3695" t="s">
        <v>7433</v>
      </c>
      <c r="D3695" t="s">
        <v>123</v>
      </c>
      <c r="F3695">
        <v>-74509835</v>
      </c>
      <c r="G3695">
        <v>52332844</v>
      </c>
      <c r="H3695">
        <v>160867300</v>
      </c>
      <c r="I3695">
        <v>85792700</v>
      </c>
      <c r="J3695">
        <v>-2796000</v>
      </c>
      <c r="P3695">
        <v>212</v>
      </c>
      <c r="Q3695" t="s">
        <v>7434</v>
      </c>
    </row>
    <row r="3696" spans="1:17" x14ac:dyDescent="0.3">
      <c r="A3696" t="s">
        <v>4446</v>
      </c>
      <c r="B3696" t="str">
        <f>"002992"</f>
        <v>002992</v>
      </c>
      <c r="C3696" t="s">
        <v>7435</v>
      </c>
      <c r="D3696" t="s">
        <v>150</v>
      </c>
      <c r="F3696">
        <v>-305933065</v>
      </c>
      <c r="G3696">
        <v>-374117193</v>
      </c>
      <c r="H3696">
        <v>22972753</v>
      </c>
      <c r="I3696">
        <v>276382661</v>
      </c>
      <c r="J3696">
        <v>73180408</v>
      </c>
      <c r="P3696">
        <v>51</v>
      </c>
      <c r="Q3696" t="s">
        <v>7436</v>
      </c>
    </row>
    <row r="3697" spans="1:17" x14ac:dyDescent="0.3">
      <c r="A3697" t="s">
        <v>4446</v>
      </c>
      <c r="B3697" t="str">
        <f>"002993"</f>
        <v>002993</v>
      </c>
      <c r="C3697" t="s">
        <v>7437</v>
      </c>
      <c r="D3697" t="s">
        <v>150</v>
      </c>
      <c r="F3697">
        <v>-172447365</v>
      </c>
      <c r="G3697">
        <v>378859486</v>
      </c>
      <c r="H3697">
        <v>152134311</v>
      </c>
      <c r="I3697">
        <v>32906138</v>
      </c>
      <c r="J3697">
        <v>16873629</v>
      </c>
      <c r="P3697">
        <v>146</v>
      </c>
      <c r="Q3697" t="s">
        <v>7438</v>
      </c>
    </row>
    <row r="3698" spans="1:17" x14ac:dyDescent="0.3">
      <c r="A3698" t="s">
        <v>4446</v>
      </c>
      <c r="B3698" t="str">
        <f>"002995"</f>
        <v>002995</v>
      </c>
      <c r="C3698" t="s">
        <v>7439</v>
      </c>
      <c r="D3698" t="s">
        <v>89</v>
      </c>
      <c r="F3698">
        <v>-142399796</v>
      </c>
      <c r="G3698">
        <v>-13768468</v>
      </c>
      <c r="H3698">
        <v>114065733</v>
      </c>
      <c r="I3698">
        <v>12258734</v>
      </c>
      <c r="J3698">
        <v>-3230524</v>
      </c>
      <c r="P3698">
        <v>74</v>
      </c>
      <c r="Q3698" t="s">
        <v>7440</v>
      </c>
    </row>
    <row r="3699" spans="1:17" x14ac:dyDescent="0.3">
      <c r="A3699" t="s">
        <v>4446</v>
      </c>
      <c r="B3699" t="str">
        <f>"002996"</f>
        <v>002996</v>
      </c>
      <c r="C3699" t="s">
        <v>7441</v>
      </c>
      <c r="D3699" t="s">
        <v>234</v>
      </c>
      <c r="F3699">
        <v>-1059268483</v>
      </c>
      <c r="G3699">
        <v>-313549398</v>
      </c>
      <c r="H3699">
        <v>73258607</v>
      </c>
      <c r="I3699">
        <v>37524323</v>
      </c>
      <c r="J3699">
        <v>-31043537</v>
      </c>
      <c r="P3699">
        <v>73</v>
      </c>
      <c r="Q3699" t="s">
        <v>7442</v>
      </c>
    </row>
    <row r="3700" spans="1:17" x14ac:dyDescent="0.3">
      <c r="A3700" t="s">
        <v>4446</v>
      </c>
      <c r="B3700" t="str">
        <f>"002997"</f>
        <v>002997</v>
      </c>
      <c r="C3700" t="s">
        <v>7443</v>
      </c>
      <c r="D3700" t="s">
        <v>27</v>
      </c>
      <c r="F3700">
        <v>-51150518</v>
      </c>
      <c r="G3700">
        <v>3466152</v>
      </c>
      <c r="H3700">
        <v>52877944</v>
      </c>
      <c r="I3700">
        <v>66518168</v>
      </c>
      <c r="J3700">
        <v>9634791</v>
      </c>
      <c r="P3700">
        <v>86</v>
      </c>
      <c r="Q3700" t="s">
        <v>7444</v>
      </c>
    </row>
    <row r="3701" spans="1:17" x14ac:dyDescent="0.3">
      <c r="A3701" t="s">
        <v>4446</v>
      </c>
      <c r="B3701" t="str">
        <f>"002998"</f>
        <v>002998</v>
      </c>
      <c r="C3701" t="s">
        <v>7445</v>
      </c>
      <c r="D3701" t="s">
        <v>133</v>
      </c>
      <c r="F3701">
        <v>-161678063</v>
      </c>
      <c r="G3701">
        <v>24282489</v>
      </c>
      <c r="H3701">
        <v>163285748</v>
      </c>
      <c r="I3701">
        <v>-201641062</v>
      </c>
      <c r="J3701">
        <v>-52790104</v>
      </c>
      <c r="K3701">
        <v>-92618912</v>
      </c>
      <c r="P3701">
        <v>36</v>
      </c>
      <c r="Q3701" t="s">
        <v>7446</v>
      </c>
    </row>
    <row r="3702" spans="1:17" x14ac:dyDescent="0.3">
      <c r="A3702" t="s">
        <v>4446</v>
      </c>
      <c r="B3702" t="str">
        <f>"002999"</f>
        <v>002999</v>
      </c>
      <c r="C3702" t="s">
        <v>7447</v>
      </c>
      <c r="D3702" t="s">
        <v>133</v>
      </c>
      <c r="F3702">
        <v>340623822</v>
      </c>
      <c r="G3702">
        <v>368679679</v>
      </c>
      <c r="H3702">
        <v>345512482</v>
      </c>
      <c r="I3702">
        <v>-320537572</v>
      </c>
      <c r="J3702">
        <v>110711844</v>
      </c>
      <c r="P3702">
        <v>45</v>
      </c>
      <c r="Q3702" t="s">
        <v>7448</v>
      </c>
    </row>
    <row r="3703" spans="1:17" x14ac:dyDescent="0.3">
      <c r="A3703" t="s">
        <v>4446</v>
      </c>
      <c r="B3703" t="str">
        <f>"003000"</f>
        <v>003000</v>
      </c>
      <c r="C3703" t="s">
        <v>7449</v>
      </c>
      <c r="D3703" t="s">
        <v>123</v>
      </c>
      <c r="F3703">
        <v>128928386</v>
      </c>
      <c r="G3703">
        <v>-16306736</v>
      </c>
      <c r="H3703">
        <v>149942499</v>
      </c>
      <c r="I3703">
        <v>53645580</v>
      </c>
      <c r="J3703">
        <v>-4313076</v>
      </c>
      <c r="P3703">
        <v>86</v>
      </c>
      <c r="Q3703" t="s">
        <v>7450</v>
      </c>
    </row>
    <row r="3704" spans="1:17" x14ac:dyDescent="0.3">
      <c r="A3704" t="s">
        <v>4446</v>
      </c>
      <c r="B3704" t="str">
        <f>"003001"</f>
        <v>003001</v>
      </c>
      <c r="C3704" t="s">
        <v>7451</v>
      </c>
      <c r="D3704" t="s">
        <v>95</v>
      </c>
      <c r="F3704">
        <v>-171628632</v>
      </c>
      <c r="G3704">
        <v>4184332</v>
      </c>
      <c r="H3704">
        <v>79129140</v>
      </c>
      <c r="I3704">
        <v>3711581</v>
      </c>
      <c r="J3704">
        <v>48462110</v>
      </c>
      <c r="K3704">
        <v>24091133</v>
      </c>
      <c r="P3704">
        <v>95</v>
      </c>
      <c r="Q3704" t="s">
        <v>7452</v>
      </c>
    </row>
    <row r="3705" spans="1:17" x14ac:dyDescent="0.3">
      <c r="A3705" t="s">
        <v>4446</v>
      </c>
      <c r="B3705" t="str">
        <f>"003002"</f>
        <v>003002</v>
      </c>
      <c r="C3705" t="s">
        <v>7453</v>
      </c>
      <c r="D3705" t="s">
        <v>133</v>
      </c>
      <c r="F3705">
        <v>23480969</v>
      </c>
      <c r="G3705">
        <v>83619900</v>
      </c>
      <c r="H3705">
        <v>32063843</v>
      </c>
      <c r="I3705">
        <v>39721293</v>
      </c>
      <c r="J3705">
        <v>87292525</v>
      </c>
      <c r="K3705">
        <v>76316772</v>
      </c>
      <c r="P3705">
        <v>39</v>
      </c>
      <c r="Q3705" t="s">
        <v>7454</v>
      </c>
    </row>
    <row r="3706" spans="1:17" x14ac:dyDescent="0.3">
      <c r="A3706" t="s">
        <v>4446</v>
      </c>
      <c r="B3706" t="str">
        <f>"003003"</f>
        <v>003003</v>
      </c>
      <c r="C3706" t="s">
        <v>7455</v>
      </c>
      <c r="D3706" t="s">
        <v>161</v>
      </c>
      <c r="F3706">
        <v>-272638314</v>
      </c>
      <c r="G3706">
        <v>-178463160</v>
      </c>
      <c r="H3706">
        <v>-74292634</v>
      </c>
      <c r="I3706">
        <v>-2485661</v>
      </c>
      <c r="J3706">
        <v>-76284530</v>
      </c>
      <c r="K3706">
        <v>-24137473</v>
      </c>
      <c r="P3706">
        <v>39</v>
      </c>
      <c r="Q3706" t="s">
        <v>7456</v>
      </c>
    </row>
    <row r="3707" spans="1:17" x14ac:dyDescent="0.3">
      <c r="A3707" t="s">
        <v>4446</v>
      </c>
      <c r="B3707" t="str">
        <f>"003004"</f>
        <v>003004</v>
      </c>
      <c r="C3707" t="s">
        <v>7457</v>
      </c>
      <c r="D3707" t="s">
        <v>212</v>
      </c>
      <c r="F3707">
        <v>-18389138</v>
      </c>
      <c r="G3707">
        <v>-126147393</v>
      </c>
      <c r="H3707">
        <v>42097222</v>
      </c>
      <c r="I3707">
        <v>49110183</v>
      </c>
      <c r="J3707">
        <v>-16412784</v>
      </c>
      <c r="K3707">
        <v>-10641661</v>
      </c>
      <c r="P3707">
        <v>37</v>
      </c>
      <c r="Q3707" t="s">
        <v>7458</v>
      </c>
    </row>
    <row r="3708" spans="1:17" x14ac:dyDescent="0.3">
      <c r="A3708" t="s">
        <v>4446</v>
      </c>
      <c r="B3708" t="str">
        <f>"003005"</f>
        <v>003005</v>
      </c>
      <c r="C3708" t="s">
        <v>7459</v>
      </c>
      <c r="D3708" t="s">
        <v>212</v>
      </c>
      <c r="F3708">
        <v>-113948241</v>
      </c>
      <c r="G3708">
        <v>44817880</v>
      </c>
      <c r="H3708">
        <v>59976346</v>
      </c>
      <c r="I3708">
        <v>54825714</v>
      </c>
      <c r="J3708">
        <v>47395398</v>
      </c>
      <c r="K3708">
        <v>4799568</v>
      </c>
      <c r="P3708">
        <v>68</v>
      </c>
      <c r="Q3708" t="s">
        <v>7460</v>
      </c>
    </row>
    <row r="3709" spans="1:17" x14ac:dyDescent="0.3">
      <c r="A3709" t="s">
        <v>4446</v>
      </c>
      <c r="B3709" t="str">
        <f>"003006"</f>
        <v>003006</v>
      </c>
      <c r="C3709" t="s">
        <v>7461</v>
      </c>
      <c r="D3709" t="s">
        <v>481</v>
      </c>
      <c r="F3709">
        <v>76172265</v>
      </c>
      <c r="G3709">
        <v>154039582</v>
      </c>
      <c r="H3709">
        <v>107555532</v>
      </c>
      <c r="I3709">
        <v>34417390</v>
      </c>
      <c r="J3709">
        <v>47085308</v>
      </c>
      <c r="K3709">
        <v>-11517200</v>
      </c>
      <c r="P3709">
        <v>172</v>
      </c>
      <c r="Q3709" t="s">
        <v>7462</v>
      </c>
    </row>
    <row r="3710" spans="1:17" x14ac:dyDescent="0.3">
      <c r="A3710" t="s">
        <v>4446</v>
      </c>
      <c r="B3710" t="str">
        <f>"003007"</f>
        <v>003007</v>
      </c>
      <c r="C3710" t="s">
        <v>7463</v>
      </c>
      <c r="D3710" t="s">
        <v>212</v>
      </c>
      <c r="F3710">
        <v>-107048119</v>
      </c>
      <c r="G3710">
        <v>21229482</v>
      </c>
      <c r="H3710">
        <v>74736635</v>
      </c>
      <c r="I3710">
        <v>9776537</v>
      </c>
      <c r="J3710">
        <v>88777538</v>
      </c>
      <c r="K3710">
        <v>70712240</v>
      </c>
      <c r="P3710">
        <v>38</v>
      </c>
      <c r="Q3710" t="s">
        <v>7464</v>
      </c>
    </row>
    <row r="3711" spans="1:17" x14ac:dyDescent="0.3">
      <c r="A3711" t="s">
        <v>4446</v>
      </c>
      <c r="B3711" t="str">
        <f>"003008"</f>
        <v>003008</v>
      </c>
      <c r="C3711" t="s">
        <v>7465</v>
      </c>
      <c r="D3711" t="s">
        <v>110</v>
      </c>
      <c r="F3711">
        <v>2392694</v>
      </c>
      <c r="G3711">
        <v>52322723</v>
      </c>
      <c r="H3711">
        <v>10461447</v>
      </c>
      <c r="I3711">
        <v>18241912</v>
      </c>
      <c r="J3711">
        <v>26055051</v>
      </c>
      <c r="K3711">
        <v>52989751</v>
      </c>
      <c r="P3711">
        <v>68</v>
      </c>
      <c r="Q3711" t="s">
        <v>7466</v>
      </c>
    </row>
    <row r="3712" spans="1:17" x14ac:dyDescent="0.3">
      <c r="A3712" t="s">
        <v>4446</v>
      </c>
      <c r="B3712" t="str">
        <f>"003009"</f>
        <v>003009</v>
      </c>
      <c r="C3712" t="s">
        <v>7467</v>
      </c>
      <c r="D3712" t="s">
        <v>92</v>
      </c>
      <c r="F3712">
        <v>-5505863</v>
      </c>
      <c r="G3712">
        <v>30349670</v>
      </c>
      <c r="H3712">
        <v>91733802</v>
      </c>
      <c r="I3712">
        <v>-13345228</v>
      </c>
      <c r="J3712">
        <v>-9120072</v>
      </c>
      <c r="K3712">
        <v>34738004</v>
      </c>
      <c r="P3712">
        <v>105</v>
      </c>
      <c r="Q3712" t="s">
        <v>7468</v>
      </c>
    </row>
    <row r="3713" spans="1:17" x14ac:dyDescent="0.3">
      <c r="A3713" t="s">
        <v>4446</v>
      </c>
      <c r="B3713" t="str">
        <f>"003010"</f>
        <v>003010</v>
      </c>
      <c r="C3713" t="s">
        <v>7469</v>
      </c>
      <c r="D3713" t="s">
        <v>120</v>
      </c>
      <c r="F3713">
        <v>-224845219</v>
      </c>
      <c r="G3713">
        <v>-102602931</v>
      </c>
      <c r="H3713">
        <v>13427316</v>
      </c>
      <c r="I3713">
        <v>60285300</v>
      </c>
      <c r="J3713">
        <v>-29802712</v>
      </c>
      <c r="K3713">
        <v>-27214100</v>
      </c>
      <c r="P3713">
        <v>58</v>
      </c>
      <c r="Q3713" t="s">
        <v>7470</v>
      </c>
    </row>
    <row r="3714" spans="1:17" x14ac:dyDescent="0.3">
      <c r="A3714" t="s">
        <v>4446</v>
      </c>
      <c r="B3714" t="str">
        <f>"003011"</f>
        <v>003011</v>
      </c>
      <c r="C3714" t="s">
        <v>7471</v>
      </c>
      <c r="D3714" t="s">
        <v>161</v>
      </c>
      <c r="F3714">
        <v>-551608770</v>
      </c>
      <c r="G3714">
        <v>-37319578</v>
      </c>
      <c r="H3714">
        <v>-54358047</v>
      </c>
      <c r="I3714">
        <v>-156256564</v>
      </c>
      <c r="J3714">
        <v>-884461</v>
      </c>
      <c r="K3714">
        <v>-38572166</v>
      </c>
      <c r="P3714">
        <v>90</v>
      </c>
      <c r="Q3714" t="s">
        <v>7472</v>
      </c>
    </row>
    <row r="3715" spans="1:17" x14ac:dyDescent="0.3">
      <c r="A3715" t="s">
        <v>4446</v>
      </c>
      <c r="B3715" t="str">
        <f>"003012"</f>
        <v>003012</v>
      </c>
      <c r="C3715" t="s">
        <v>7473</v>
      </c>
      <c r="D3715" t="s">
        <v>161</v>
      </c>
      <c r="F3715">
        <v>-191927100</v>
      </c>
      <c r="G3715">
        <v>690351087</v>
      </c>
      <c r="H3715">
        <v>-93170134</v>
      </c>
      <c r="I3715">
        <v>-229356420</v>
      </c>
      <c r="J3715">
        <v>622005874</v>
      </c>
      <c r="K3715">
        <v>1241675333</v>
      </c>
      <c r="P3715">
        <v>120</v>
      </c>
      <c r="Q3715" t="s">
        <v>7474</v>
      </c>
    </row>
    <row r="3716" spans="1:17" x14ac:dyDescent="0.3">
      <c r="A3716" t="s">
        <v>4446</v>
      </c>
      <c r="B3716" t="str">
        <f>"003013"</f>
        <v>003013</v>
      </c>
      <c r="C3716" t="s">
        <v>7475</v>
      </c>
      <c r="D3716" t="s">
        <v>95</v>
      </c>
      <c r="F3716">
        <v>335775525</v>
      </c>
      <c r="G3716">
        <v>-420578463</v>
      </c>
      <c r="H3716">
        <v>93963813</v>
      </c>
      <c r="I3716">
        <v>461665967</v>
      </c>
      <c r="J3716">
        <v>-77535764</v>
      </c>
      <c r="K3716">
        <v>898602159</v>
      </c>
      <c r="P3716">
        <v>101</v>
      </c>
      <c r="Q3716" t="s">
        <v>7476</v>
      </c>
    </row>
    <row r="3717" spans="1:17" x14ac:dyDescent="0.3">
      <c r="A3717" t="s">
        <v>4446</v>
      </c>
      <c r="B3717" t="str">
        <f>"003015"</f>
        <v>003015</v>
      </c>
      <c r="C3717" t="s">
        <v>7477</v>
      </c>
      <c r="D3717" t="s">
        <v>150</v>
      </c>
      <c r="F3717">
        <v>-81070543</v>
      </c>
      <c r="G3717">
        <v>60578352</v>
      </c>
      <c r="H3717">
        <v>-108663000</v>
      </c>
      <c r="I3717">
        <v>-67278976</v>
      </c>
      <c r="J3717">
        <v>-15543779</v>
      </c>
      <c r="K3717">
        <v>-46259135</v>
      </c>
      <c r="P3717">
        <v>46</v>
      </c>
      <c r="Q3717" t="s">
        <v>7478</v>
      </c>
    </row>
    <row r="3718" spans="1:17" x14ac:dyDescent="0.3">
      <c r="A3718" t="s">
        <v>4446</v>
      </c>
      <c r="B3718" t="str">
        <f>"003016"</f>
        <v>003016</v>
      </c>
      <c r="C3718" t="s">
        <v>7479</v>
      </c>
      <c r="D3718" t="s">
        <v>227</v>
      </c>
      <c r="F3718">
        <v>187183400</v>
      </c>
      <c r="G3718">
        <v>338682069</v>
      </c>
      <c r="H3718">
        <v>-63137231</v>
      </c>
      <c r="I3718">
        <v>-66926954</v>
      </c>
      <c r="J3718">
        <v>142331827</v>
      </c>
      <c r="K3718">
        <v>179957559</v>
      </c>
      <c r="P3718">
        <v>58</v>
      </c>
      <c r="Q3718" t="s">
        <v>7480</v>
      </c>
    </row>
    <row r="3719" spans="1:17" x14ac:dyDescent="0.3">
      <c r="A3719" t="s">
        <v>4446</v>
      </c>
      <c r="B3719" t="str">
        <f>"003017"</f>
        <v>003017</v>
      </c>
      <c r="C3719" t="s">
        <v>7481</v>
      </c>
      <c r="D3719" t="s">
        <v>133</v>
      </c>
      <c r="F3719">
        <v>-127864982</v>
      </c>
      <c r="G3719">
        <v>-12025238</v>
      </c>
      <c r="H3719">
        <v>51883717</v>
      </c>
      <c r="I3719">
        <v>-2604370</v>
      </c>
      <c r="J3719">
        <v>22371431</v>
      </c>
      <c r="K3719">
        <v>34012366</v>
      </c>
      <c r="P3719">
        <v>39</v>
      </c>
      <c r="Q3719" t="s">
        <v>7482</v>
      </c>
    </row>
    <row r="3720" spans="1:17" x14ac:dyDescent="0.3">
      <c r="A3720" t="s">
        <v>4446</v>
      </c>
      <c r="B3720" t="str">
        <f>"003018"</f>
        <v>003018</v>
      </c>
      <c r="C3720" t="s">
        <v>7483</v>
      </c>
      <c r="D3720" t="s">
        <v>161</v>
      </c>
      <c r="F3720">
        <v>96431460</v>
      </c>
      <c r="G3720">
        <v>38572565</v>
      </c>
      <c r="H3720">
        <v>64725682</v>
      </c>
      <c r="I3720">
        <v>69364193</v>
      </c>
      <c r="J3720">
        <v>22469245</v>
      </c>
      <c r="K3720">
        <v>21604753</v>
      </c>
      <c r="P3720">
        <v>38</v>
      </c>
      <c r="Q3720" t="s">
        <v>7484</v>
      </c>
    </row>
    <row r="3721" spans="1:17" x14ac:dyDescent="0.3">
      <c r="A3721" t="s">
        <v>4446</v>
      </c>
      <c r="B3721" t="str">
        <f>"003019"</f>
        <v>003019</v>
      </c>
      <c r="C3721" t="s">
        <v>7485</v>
      </c>
      <c r="D3721" t="s">
        <v>150</v>
      </c>
      <c r="F3721">
        <v>-252618235</v>
      </c>
      <c r="G3721">
        <v>71952988</v>
      </c>
      <c r="H3721">
        <v>126525971</v>
      </c>
      <c r="I3721">
        <v>-35020071</v>
      </c>
      <c r="J3721">
        <v>90175225</v>
      </c>
      <c r="K3721">
        <v>23744026</v>
      </c>
      <c r="P3721">
        <v>63</v>
      </c>
      <c r="Q3721" t="s">
        <v>7486</v>
      </c>
    </row>
    <row r="3722" spans="1:17" x14ac:dyDescent="0.3">
      <c r="A3722" t="s">
        <v>4446</v>
      </c>
      <c r="B3722" t="str">
        <f>"003020"</f>
        <v>003020</v>
      </c>
      <c r="C3722" t="s">
        <v>7487</v>
      </c>
      <c r="D3722" t="s">
        <v>113</v>
      </c>
      <c r="F3722">
        <v>-27977094</v>
      </c>
      <c r="G3722">
        <v>116302207</v>
      </c>
      <c r="H3722">
        <v>105500968</v>
      </c>
      <c r="I3722">
        <v>35359390</v>
      </c>
      <c r="J3722">
        <v>-42147</v>
      </c>
      <c r="K3722">
        <v>46277412</v>
      </c>
      <c r="P3722">
        <v>79</v>
      </c>
      <c r="Q3722" t="s">
        <v>7488</v>
      </c>
    </row>
    <row r="3723" spans="1:17" x14ac:dyDescent="0.3">
      <c r="A3723" t="s">
        <v>4446</v>
      </c>
      <c r="B3723" t="str">
        <f>"003021"</f>
        <v>003021</v>
      </c>
      <c r="C3723" t="s">
        <v>7489</v>
      </c>
      <c r="D3723" t="s">
        <v>188</v>
      </c>
      <c r="F3723">
        <v>-12936286</v>
      </c>
      <c r="G3723">
        <v>19737419</v>
      </c>
      <c r="H3723">
        <v>333214750</v>
      </c>
      <c r="I3723">
        <v>120735007</v>
      </c>
      <c r="J3723">
        <v>23354942</v>
      </c>
      <c r="K3723">
        <v>21334369</v>
      </c>
      <c r="P3723">
        <v>80</v>
      </c>
      <c r="Q3723" t="s">
        <v>7490</v>
      </c>
    </row>
    <row r="3724" spans="1:17" x14ac:dyDescent="0.3">
      <c r="A3724" t="s">
        <v>4446</v>
      </c>
      <c r="B3724" t="str">
        <f>"003022"</f>
        <v>003022</v>
      </c>
      <c r="C3724" t="s">
        <v>7491</v>
      </c>
      <c r="D3724" t="s">
        <v>188</v>
      </c>
      <c r="F3724">
        <v>903762410</v>
      </c>
      <c r="G3724">
        <v>790157308</v>
      </c>
      <c r="H3724">
        <v>1140528856</v>
      </c>
      <c r="I3724">
        <v>607900727</v>
      </c>
      <c r="J3724">
        <v>170973257</v>
      </c>
      <c r="K3724">
        <v>626389210</v>
      </c>
      <c r="P3724">
        <v>205</v>
      </c>
      <c r="Q3724" t="s">
        <v>7492</v>
      </c>
    </row>
    <row r="3725" spans="1:17" x14ac:dyDescent="0.3">
      <c r="A3725" t="s">
        <v>4446</v>
      </c>
      <c r="B3725" t="str">
        <f>"003023"</f>
        <v>003023</v>
      </c>
      <c r="C3725" t="s">
        <v>7493</v>
      </c>
      <c r="D3725" t="s">
        <v>126</v>
      </c>
      <c r="F3725">
        <v>14370785</v>
      </c>
      <c r="G3725">
        <v>161724947</v>
      </c>
      <c r="H3725">
        <v>-16643703</v>
      </c>
      <c r="I3725">
        <v>154031448</v>
      </c>
      <c r="J3725">
        <v>16545948</v>
      </c>
      <c r="K3725">
        <v>109097346</v>
      </c>
      <c r="P3725">
        <v>49</v>
      </c>
      <c r="Q3725" t="s">
        <v>7494</v>
      </c>
    </row>
    <row r="3726" spans="1:17" x14ac:dyDescent="0.3">
      <c r="A3726" t="s">
        <v>4446</v>
      </c>
      <c r="B3726" t="str">
        <f>"003025"</f>
        <v>003025</v>
      </c>
      <c r="C3726" t="s">
        <v>7495</v>
      </c>
      <c r="D3726" t="s">
        <v>78</v>
      </c>
      <c r="F3726">
        <v>22343136</v>
      </c>
      <c r="G3726">
        <v>60272710</v>
      </c>
      <c r="H3726">
        <v>2735552</v>
      </c>
      <c r="I3726">
        <v>52897768</v>
      </c>
      <c r="J3726">
        <v>52371265</v>
      </c>
      <c r="K3726">
        <v>44373919</v>
      </c>
      <c r="P3726">
        <v>118</v>
      </c>
      <c r="Q3726" t="s">
        <v>7496</v>
      </c>
    </row>
    <row r="3727" spans="1:17" x14ac:dyDescent="0.3">
      <c r="A3727" t="s">
        <v>4446</v>
      </c>
      <c r="B3727" t="str">
        <f>"003026"</f>
        <v>003026</v>
      </c>
      <c r="C3727" t="s">
        <v>7497</v>
      </c>
      <c r="D3727" t="s">
        <v>150</v>
      </c>
      <c r="F3727">
        <v>-74223014</v>
      </c>
      <c r="G3727">
        <v>72406162</v>
      </c>
      <c r="H3727">
        <v>66809071</v>
      </c>
      <c r="I3727">
        <v>2220621</v>
      </c>
      <c r="J3727">
        <v>13414152</v>
      </c>
      <c r="K3727">
        <v>-52447953</v>
      </c>
      <c r="P3727">
        <v>106</v>
      </c>
      <c r="Q3727" t="s">
        <v>7498</v>
      </c>
    </row>
    <row r="3728" spans="1:17" x14ac:dyDescent="0.3">
      <c r="A3728" t="s">
        <v>4446</v>
      </c>
      <c r="B3728" t="str">
        <f>"003027"</f>
        <v>003027</v>
      </c>
      <c r="C3728" t="s">
        <v>7499</v>
      </c>
      <c r="D3728" t="s">
        <v>33</v>
      </c>
      <c r="F3728">
        <v>-27431617</v>
      </c>
      <c r="G3728">
        <v>47724855</v>
      </c>
      <c r="H3728">
        <v>-13119772</v>
      </c>
      <c r="I3728">
        <v>27151621</v>
      </c>
      <c r="J3728">
        <v>-49679274</v>
      </c>
      <c r="K3728">
        <v>-33774677</v>
      </c>
      <c r="P3728">
        <v>58</v>
      </c>
      <c r="Q3728" t="s">
        <v>7500</v>
      </c>
    </row>
    <row r="3729" spans="1:17" x14ac:dyDescent="0.3">
      <c r="A3729" t="s">
        <v>4446</v>
      </c>
      <c r="B3729" t="str">
        <f>"003028"</f>
        <v>003028</v>
      </c>
      <c r="C3729" t="s">
        <v>7501</v>
      </c>
      <c r="D3729" t="s">
        <v>150</v>
      </c>
      <c r="F3729">
        <v>-22635330</v>
      </c>
      <c r="G3729">
        <v>113004826</v>
      </c>
      <c r="H3729">
        <v>145600283</v>
      </c>
      <c r="I3729">
        <v>44662369</v>
      </c>
      <c r="J3729">
        <v>45360247</v>
      </c>
      <c r="P3729">
        <v>83</v>
      </c>
      <c r="Q3729" t="s">
        <v>7502</v>
      </c>
    </row>
    <row r="3730" spans="1:17" x14ac:dyDescent="0.3">
      <c r="A3730" t="s">
        <v>4446</v>
      </c>
      <c r="B3730" t="str">
        <f>"003029"</f>
        <v>003029</v>
      </c>
      <c r="C3730" t="s">
        <v>7503</v>
      </c>
      <c r="D3730" t="s">
        <v>212</v>
      </c>
      <c r="F3730">
        <v>43507437</v>
      </c>
      <c r="G3730">
        <v>104147322</v>
      </c>
      <c r="H3730">
        <v>70160907</v>
      </c>
      <c r="I3730">
        <v>72566273</v>
      </c>
      <c r="J3730">
        <v>55292976</v>
      </c>
      <c r="K3730">
        <v>-20223936</v>
      </c>
      <c r="P3730">
        <v>76</v>
      </c>
      <c r="Q3730" t="s">
        <v>7504</v>
      </c>
    </row>
    <row r="3731" spans="1:17" x14ac:dyDescent="0.3">
      <c r="A3731" t="s">
        <v>4446</v>
      </c>
      <c r="B3731" t="str">
        <f>"003030"</f>
        <v>003030</v>
      </c>
      <c r="C3731" t="s">
        <v>7505</v>
      </c>
      <c r="D3731" t="s">
        <v>205</v>
      </c>
      <c r="F3731">
        <v>-3456047</v>
      </c>
      <c r="G3731">
        <v>-84199692</v>
      </c>
      <c r="H3731">
        <v>113987640</v>
      </c>
      <c r="I3731">
        <v>-10063039</v>
      </c>
      <c r="J3731">
        <v>-12383276</v>
      </c>
      <c r="P3731">
        <v>60</v>
      </c>
      <c r="Q3731" t="s">
        <v>7506</v>
      </c>
    </row>
    <row r="3732" spans="1:17" x14ac:dyDescent="0.3">
      <c r="A3732" t="s">
        <v>4446</v>
      </c>
      <c r="B3732" t="str">
        <f>"003031"</f>
        <v>003031</v>
      </c>
      <c r="C3732" t="s">
        <v>7507</v>
      </c>
      <c r="D3732" t="s">
        <v>100</v>
      </c>
      <c r="F3732">
        <v>-66998583</v>
      </c>
      <c r="G3732">
        <v>28552404</v>
      </c>
      <c r="H3732">
        <v>-96137698</v>
      </c>
      <c r="I3732">
        <v>-143304121</v>
      </c>
      <c r="J3732">
        <v>8534673</v>
      </c>
      <c r="K3732">
        <v>-8799464</v>
      </c>
      <c r="P3732">
        <v>87</v>
      </c>
      <c r="Q3732" t="s">
        <v>7508</v>
      </c>
    </row>
    <row r="3733" spans="1:17" x14ac:dyDescent="0.3">
      <c r="A3733" t="s">
        <v>4446</v>
      </c>
      <c r="B3733" t="str">
        <f>"003032"</f>
        <v>003032</v>
      </c>
      <c r="C3733" t="s">
        <v>7509</v>
      </c>
      <c r="D3733" t="s">
        <v>110</v>
      </c>
      <c r="F3733">
        <v>184649998</v>
      </c>
      <c r="G3733">
        <v>2603208</v>
      </c>
      <c r="H3733">
        <v>96686099</v>
      </c>
      <c r="I3733">
        <v>157631711</v>
      </c>
      <c r="J3733">
        <v>161118126</v>
      </c>
      <c r="P3733">
        <v>60</v>
      </c>
      <c r="Q3733" t="s">
        <v>7510</v>
      </c>
    </row>
    <row r="3734" spans="1:17" x14ac:dyDescent="0.3">
      <c r="A3734" t="s">
        <v>4446</v>
      </c>
      <c r="B3734" t="str">
        <f>"003033"</f>
        <v>003033</v>
      </c>
      <c r="C3734" t="s">
        <v>7511</v>
      </c>
      <c r="D3734" t="s">
        <v>27</v>
      </c>
      <c r="F3734">
        <v>-101246607</v>
      </c>
      <c r="G3734">
        <v>22957165</v>
      </c>
      <c r="H3734">
        <v>79195916</v>
      </c>
      <c r="I3734">
        <v>68473000</v>
      </c>
      <c r="J3734">
        <v>-7127658</v>
      </c>
      <c r="P3734">
        <v>67</v>
      </c>
      <c r="Q3734" t="s">
        <v>7512</v>
      </c>
    </row>
    <row r="3735" spans="1:17" x14ac:dyDescent="0.3">
      <c r="A3735" t="s">
        <v>4446</v>
      </c>
      <c r="B3735" t="str">
        <f>"003035"</f>
        <v>003035</v>
      </c>
      <c r="C3735" t="s">
        <v>7513</v>
      </c>
      <c r="D3735" t="s">
        <v>41</v>
      </c>
      <c r="F3735">
        <v>-1272291749</v>
      </c>
      <c r="G3735">
        <v>-1125837477</v>
      </c>
      <c r="H3735">
        <v>-1230927555</v>
      </c>
      <c r="I3735">
        <v>-295474701</v>
      </c>
      <c r="J3735">
        <v>-677848586</v>
      </c>
      <c r="P3735">
        <v>279</v>
      </c>
      <c r="Q3735" t="s">
        <v>7514</v>
      </c>
    </row>
    <row r="3736" spans="1:17" x14ac:dyDescent="0.3">
      <c r="A3736" t="s">
        <v>4446</v>
      </c>
      <c r="B3736" t="str">
        <f>"003036"</f>
        <v>003036</v>
      </c>
      <c r="C3736" t="s">
        <v>7515</v>
      </c>
      <c r="D3736" t="s">
        <v>78</v>
      </c>
      <c r="F3736">
        <v>-145829753</v>
      </c>
      <c r="G3736">
        <v>5599161</v>
      </c>
      <c r="H3736">
        <v>171416805</v>
      </c>
      <c r="I3736">
        <v>85793347</v>
      </c>
      <c r="J3736">
        <v>192344025</v>
      </c>
      <c r="P3736">
        <v>37</v>
      </c>
      <c r="Q3736" t="s">
        <v>7516</v>
      </c>
    </row>
    <row r="3737" spans="1:17" x14ac:dyDescent="0.3">
      <c r="A3737" t="s">
        <v>4446</v>
      </c>
      <c r="B3737" t="str">
        <f>"003037"</f>
        <v>003037</v>
      </c>
      <c r="C3737" t="s">
        <v>7517</v>
      </c>
      <c r="D3737" t="s">
        <v>350</v>
      </c>
      <c r="F3737">
        <v>-468986726</v>
      </c>
      <c r="G3737">
        <v>481168519</v>
      </c>
      <c r="H3737">
        <v>43739384</v>
      </c>
      <c r="I3737">
        <v>640064397</v>
      </c>
      <c r="J3737">
        <v>641752187</v>
      </c>
      <c r="K3737">
        <v>618438370</v>
      </c>
      <c r="P3737">
        <v>39</v>
      </c>
      <c r="Q3737" t="s">
        <v>7518</v>
      </c>
    </row>
    <row r="3738" spans="1:17" x14ac:dyDescent="0.3">
      <c r="A3738" t="s">
        <v>4446</v>
      </c>
      <c r="B3738" t="str">
        <f>"003038"</f>
        <v>003038</v>
      </c>
      <c r="C3738" t="s">
        <v>7519</v>
      </c>
      <c r="D3738" t="s">
        <v>234</v>
      </c>
      <c r="F3738">
        <v>-723214674</v>
      </c>
      <c r="G3738">
        <v>-101175852</v>
      </c>
      <c r="H3738">
        <v>-21282693</v>
      </c>
      <c r="I3738">
        <v>-40486023</v>
      </c>
      <c r="J3738">
        <v>-16745383</v>
      </c>
      <c r="P3738">
        <v>75</v>
      </c>
      <c r="Q3738" t="s">
        <v>7520</v>
      </c>
    </row>
    <row r="3739" spans="1:17" x14ac:dyDescent="0.3">
      <c r="A3739" t="s">
        <v>4446</v>
      </c>
      <c r="B3739" t="str">
        <f>"003039"</f>
        <v>003039</v>
      </c>
      <c r="C3739" t="s">
        <v>7521</v>
      </c>
      <c r="D3739" t="s">
        <v>33</v>
      </c>
      <c r="F3739">
        <v>134721456</v>
      </c>
      <c r="G3739">
        <v>289911097</v>
      </c>
      <c r="H3739">
        <v>107991938</v>
      </c>
      <c r="I3739">
        <v>-241515515</v>
      </c>
      <c r="J3739">
        <v>-393792530</v>
      </c>
      <c r="P3739">
        <v>64</v>
      </c>
      <c r="Q3739" t="s">
        <v>7522</v>
      </c>
    </row>
    <row r="3740" spans="1:17" x14ac:dyDescent="0.3">
      <c r="A3740" t="s">
        <v>4446</v>
      </c>
      <c r="B3740" t="str">
        <f>"003040"</f>
        <v>003040</v>
      </c>
      <c r="C3740" t="s">
        <v>7523</v>
      </c>
      <c r="D3740" t="s">
        <v>100</v>
      </c>
      <c r="F3740">
        <v>64664563</v>
      </c>
      <c r="G3740">
        <v>332834129</v>
      </c>
      <c r="H3740">
        <v>-37737307</v>
      </c>
      <c r="I3740">
        <v>44028626</v>
      </c>
      <c r="J3740">
        <v>198898278</v>
      </c>
      <c r="P3740">
        <v>61</v>
      </c>
      <c r="Q3740" t="s">
        <v>7524</v>
      </c>
    </row>
    <row r="3741" spans="1:17" x14ac:dyDescent="0.3">
      <c r="A3741" t="s">
        <v>4446</v>
      </c>
      <c r="B3741" t="str">
        <f>"003041"</f>
        <v>003041</v>
      </c>
      <c r="C3741" t="s">
        <v>7525</v>
      </c>
      <c r="D3741" t="s">
        <v>227</v>
      </c>
      <c r="F3741">
        <v>-146940514</v>
      </c>
      <c r="G3741">
        <v>137955133</v>
      </c>
      <c r="H3741">
        <v>76434401</v>
      </c>
      <c r="I3741">
        <v>52249460</v>
      </c>
      <c r="J3741">
        <v>35015393</v>
      </c>
      <c r="P3741">
        <v>30</v>
      </c>
      <c r="Q3741" t="s">
        <v>7526</v>
      </c>
    </row>
    <row r="3742" spans="1:17" x14ac:dyDescent="0.3">
      <c r="A3742" t="s">
        <v>4446</v>
      </c>
      <c r="B3742" t="str">
        <f>"003042"</f>
        <v>003042</v>
      </c>
      <c r="C3742" t="s">
        <v>7527</v>
      </c>
      <c r="D3742" t="s">
        <v>133</v>
      </c>
      <c r="F3742">
        <v>-190317334</v>
      </c>
      <c r="G3742">
        <v>23873367</v>
      </c>
      <c r="H3742">
        <v>3758457</v>
      </c>
      <c r="I3742">
        <v>230851360</v>
      </c>
      <c r="J3742">
        <v>201404381</v>
      </c>
      <c r="P3742">
        <v>29</v>
      </c>
      <c r="Q3742" t="s">
        <v>7528</v>
      </c>
    </row>
    <row r="3743" spans="1:17" x14ac:dyDescent="0.3">
      <c r="A3743" t="s">
        <v>4446</v>
      </c>
      <c r="B3743" t="str">
        <f>"003043"</f>
        <v>003043</v>
      </c>
      <c r="C3743" t="s">
        <v>7529</v>
      </c>
      <c r="D3743" t="s">
        <v>150</v>
      </c>
      <c r="F3743">
        <v>44284701</v>
      </c>
      <c r="G3743">
        <v>95369511</v>
      </c>
      <c r="H3743">
        <v>63387526</v>
      </c>
      <c r="I3743">
        <v>7117390</v>
      </c>
      <c r="J3743">
        <v>40081105</v>
      </c>
      <c r="K3743">
        <v>43981617</v>
      </c>
      <c r="L3743">
        <v>4844638</v>
      </c>
      <c r="P3743">
        <v>47</v>
      </c>
      <c r="Q3743" t="s">
        <v>7530</v>
      </c>
    </row>
    <row r="3744" spans="1:17" x14ac:dyDescent="0.3">
      <c r="A3744" t="s">
        <v>4446</v>
      </c>
      <c r="B3744" t="str">
        <f>"003816"</f>
        <v>003816</v>
      </c>
      <c r="C3744" t="s">
        <v>7531</v>
      </c>
      <c r="D3744" t="s">
        <v>41</v>
      </c>
      <c r="F3744">
        <v>20477952965</v>
      </c>
      <c r="G3744">
        <v>16659711817</v>
      </c>
      <c r="H3744">
        <v>14946376879</v>
      </c>
      <c r="I3744">
        <v>11782278070</v>
      </c>
      <c r="J3744">
        <v>7729685186</v>
      </c>
      <c r="K3744">
        <v>-1009333322</v>
      </c>
      <c r="P3744">
        <v>523</v>
      </c>
      <c r="Q3744" t="s">
        <v>7532</v>
      </c>
    </row>
    <row r="3745" spans="1:17" x14ac:dyDescent="0.3">
      <c r="A3745" t="s">
        <v>4446</v>
      </c>
      <c r="B3745" t="str">
        <f>"200002"</f>
        <v>200002</v>
      </c>
      <c r="C3745" t="s">
        <v>7533</v>
      </c>
      <c r="K3745">
        <v>42043593192.743202</v>
      </c>
      <c r="L3745">
        <v>16696633484.865801</v>
      </c>
      <c r="M3745">
        <v>49884373899.009399</v>
      </c>
      <c r="N3745">
        <v>-658438903.84510005</v>
      </c>
      <c r="O3745">
        <v>4451715526.1323004</v>
      </c>
      <c r="P3745">
        <v>22</v>
      </c>
      <c r="Q3745" t="s">
        <v>7534</v>
      </c>
    </row>
    <row r="3746" spans="1:17" x14ac:dyDescent="0.3">
      <c r="A3746" t="s">
        <v>4446</v>
      </c>
      <c r="B3746" t="str">
        <f>"200003"</f>
        <v>200003</v>
      </c>
      <c r="C3746" t="s">
        <v>7535</v>
      </c>
      <c r="K3746">
        <v>-43277176.463200003</v>
      </c>
      <c r="L3746">
        <v>2669450.4202999999</v>
      </c>
      <c r="M3746">
        <v>1259982.7779999999</v>
      </c>
      <c r="N3746">
        <v>-5370834.9365999997</v>
      </c>
      <c r="O3746">
        <v>383439.64130000002</v>
      </c>
      <c r="P3746">
        <v>1</v>
      </c>
      <c r="Q3746" t="s">
        <v>7536</v>
      </c>
    </row>
    <row r="3747" spans="1:17" x14ac:dyDescent="0.3">
      <c r="A3747" t="s">
        <v>4446</v>
      </c>
      <c r="B3747" t="str">
        <f>"200011"</f>
        <v>200011</v>
      </c>
      <c r="C3747" t="s">
        <v>7537</v>
      </c>
      <c r="F3747">
        <v>-2244894330.4535999</v>
      </c>
      <c r="G3747">
        <v>399894871.07990003</v>
      </c>
      <c r="H3747">
        <v>982019948.83350003</v>
      </c>
      <c r="I3747">
        <v>1259778558.8025</v>
      </c>
      <c r="J3747">
        <v>-420045910.78579998</v>
      </c>
      <c r="K3747">
        <v>2508688169.5970001</v>
      </c>
      <c r="L3747">
        <v>325222093.16790003</v>
      </c>
      <c r="M3747">
        <v>-34314293.3112</v>
      </c>
      <c r="N3747">
        <v>149172593.7121</v>
      </c>
      <c r="O3747">
        <v>998377110.42999995</v>
      </c>
      <c r="P3747">
        <v>176</v>
      </c>
      <c r="Q3747" t="s">
        <v>7538</v>
      </c>
    </row>
    <row r="3748" spans="1:17" x14ac:dyDescent="0.3">
      <c r="A3748" t="s">
        <v>4446</v>
      </c>
      <c r="B3748" t="str">
        <f>"200012"</f>
        <v>200012</v>
      </c>
      <c r="C3748" t="s">
        <v>7539</v>
      </c>
      <c r="F3748">
        <v>2543195119.9643998</v>
      </c>
      <c r="G3748">
        <v>1923542172.6730001</v>
      </c>
      <c r="H3748">
        <v>1861730679.1784999</v>
      </c>
      <c r="I3748">
        <v>1638048619.7955</v>
      </c>
      <c r="J3748">
        <v>1507024652.5206001</v>
      </c>
      <c r="K3748">
        <v>1071733649.2718</v>
      </c>
      <c r="L3748">
        <v>309466999.551</v>
      </c>
      <c r="M3748">
        <v>-575840807.61119998</v>
      </c>
      <c r="N3748">
        <v>-543328855.04030001</v>
      </c>
      <c r="O3748">
        <v>432330990.53060001</v>
      </c>
      <c r="P3748">
        <v>85</v>
      </c>
      <c r="Q3748" t="s">
        <v>7540</v>
      </c>
    </row>
    <row r="3749" spans="1:17" x14ac:dyDescent="0.3">
      <c r="A3749" t="s">
        <v>4446</v>
      </c>
      <c r="B3749" t="str">
        <f>"200015"</f>
        <v>200015</v>
      </c>
      <c r="C3749" t="s">
        <v>7541</v>
      </c>
      <c r="K3749">
        <v>-42748566.500600003</v>
      </c>
      <c r="L3749">
        <v>56623913.070900001</v>
      </c>
      <c r="P3749">
        <v>0</v>
      </c>
      <c r="Q3749" t="s">
        <v>7542</v>
      </c>
    </row>
    <row r="3750" spans="1:17" x14ac:dyDescent="0.3">
      <c r="A3750" t="s">
        <v>4446</v>
      </c>
      <c r="B3750" t="str">
        <f>"200016"</f>
        <v>200016</v>
      </c>
      <c r="C3750" t="s">
        <v>7543</v>
      </c>
      <c r="F3750">
        <v>-6842940131.2824001</v>
      </c>
      <c r="G3750">
        <v>-6038414419.1604004</v>
      </c>
      <c r="H3750">
        <v>-5894212374.0644999</v>
      </c>
      <c r="I3750">
        <v>-4227830774.0955</v>
      </c>
      <c r="J3750">
        <v>-5359099167.9555998</v>
      </c>
      <c r="K3750">
        <v>-1272131965.7576001</v>
      </c>
      <c r="L3750">
        <v>1264289529.4779</v>
      </c>
      <c r="M3750">
        <v>-1728661876.092</v>
      </c>
      <c r="N3750">
        <v>2595941015.9333</v>
      </c>
      <c r="O3750">
        <v>-711804272.68019998</v>
      </c>
      <c r="P3750">
        <v>36</v>
      </c>
      <c r="Q3750" t="s">
        <v>7544</v>
      </c>
    </row>
    <row r="3751" spans="1:17" x14ac:dyDescent="0.3">
      <c r="A3751" t="s">
        <v>4446</v>
      </c>
      <c r="B3751" t="str">
        <f>"200017"</f>
        <v>200017</v>
      </c>
      <c r="C3751" t="s">
        <v>7545</v>
      </c>
      <c r="F3751">
        <v>19142985.3576</v>
      </c>
      <c r="G3751">
        <v>4730890.3210000005</v>
      </c>
      <c r="H3751">
        <v>-16430225.882999999</v>
      </c>
      <c r="I3751">
        <v>-10812070.368000001</v>
      </c>
      <c r="J3751">
        <v>-4836365.5266000004</v>
      </c>
      <c r="K3751">
        <v>-3054791.6036</v>
      </c>
      <c r="L3751">
        <v>-4072666.8536999999</v>
      </c>
      <c r="M3751">
        <v>4163450.628</v>
      </c>
      <c r="N3751">
        <v>2085008812.5467999</v>
      </c>
      <c r="O3751">
        <v>-8900434.5485999994</v>
      </c>
      <c r="P3751">
        <v>3</v>
      </c>
      <c r="Q3751" t="s">
        <v>7546</v>
      </c>
    </row>
    <row r="3752" spans="1:17" x14ac:dyDescent="0.3">
      <c r="A3752" t="s">
        <v>4446</v>
      </c>
      <c r="B3752" t="str">
        <f>"200018"</f>
        <v>200018</v>
      </c>
      <c r="C3752" t="s">
        <v>7547</v>
      </c>
      <c r="H3752">
        <v>-558923430.43649995</v>
      </c>
      <c r="I3752">
        <v>932211216.18900001</v>
      </c>
      <c r="J3752">
        <v>-2196351631.2055998</v>
      </c>
      <c r="K3752">
        <v>-1901292581.8011999</v>
      </c>
      <c r="L3752">
        <v>-378678167.54229999</v>
      </c>
      <c r="M3752">
        <v>1736826.8568</v>
      </c>
      <c r="N3752">
        <v>28737933.904399998</v>
      </c>
      <c r="O3752">
        <v>-1300040.7069999999</v>
      </c>
      <c r="P3752">
        <v>13</v>
      </c>
      <c r="Q3752" t="s">
        <v>7548</v>
      </c>
    </row>
    <row r="3753" spans="1:17" x14ac:dyDescent="0.3">
      <c r="A3753" t="s">
        <v>4446</v>
      </c>
      <c r="B3753" t="str">
        <f>"200019"</f>
        <v>200019</v>
      </c>
      <c r="C3753" t="s">
        <v>7549</v>
      </c>
      <c r="F3753">
        <v>343314604.60320002</v>
      </c>
      <c r="G3753">
        <v>-51878742.500799999</v>
      </c>
      <c r="H3753">
        <v>-428480261.55699998</v>
      </c>
      <c r="I3753">
        <v>-92906876.947500005</v>
      </c>
      <c r="J3753">
        <v>-121681432.0592</v>
      </c>
      <c r="K3753">
        <v>33087817.973999999</v>
      </c>
      <c r="L3753">
        <v>-95763450.872400001</v>
      </c>
      <c r="M3753">
        <v>-35705964.753600001</v>
      </c>
      <c r="N3753">
        <v>-215886291.20030001</v>
      </c>
      <c r="O3753">
        <v>-234690849.134</v>
      </c>
      <c r="P3753">
        <v>23</v>
      </c>
      <c r="Q3753" t="s">
        <v>7550</v>
      </c>
    </row>
    <row r="3754" spans="1:17" x14ac:dyDescent="0.3">
      <c r="A3754" t="s">
        <v>4446</v>
      </c>
      <c r="B3754" t="str">
        <f>"200020"</f>
        <v>200020</v>
      </c>
      <c r="C3754" t="s">
        <v>7551</v>
      </c>
      <c r="F3754">
        <v>-22954038.428399999</v>
      </c>
      <c r="G3754">
        <v>66482400.6721</v>
      </c>
      <c r="H3754">
        <v>79832048.292500004</v>
      </c>
      <c r="I3754">
        <v>-41023620.593999997</v>
      </c>
      <c r="J3754">
        <v>1949296.4286</v>
      </c>
      <c r="K3754">
        <v>-28053654.399799999</v>
      </c>
      <c r="L3754">
        <v>172942026.48899999</v>
      </c>
      <c r="M3754">
        <v>143714731.50240001</v>
      </c>
      <c r="N3754">
        <v>-101696624.9236</v>
      </c>
      <c r="O3754">
        <v>10576878.389</v>
      </c>
      <c r="P3754">
        <v>6</v>
      </c>
      <c r="Q3754" t="s">
        <v>7552</v>
      </c>
    </row>
    <row r="3755" spans="1:17" x14ac:dyDescent="0.3">
      <c r="A3755" t="s">
        <v>4446</v>
      </c>
      <c r="B3755" t="str">
        <f>"200022"</f>
        <v>200022</v>
      </c>
      <c r="C3755" t="s">
        <v>7553</v>
      </c>
      <c r="J3755">
        <v>1121941589.105</v>
      </c>
      <c r="K3755">
        <v>735550998.03600001</v>
      </c>
      <c r="L3755">
        <v>988557724.17149997</v>
      </c>
      <c r="M3755">
        <v>744623633.78770006</v>
      </c>
      <c r="N3755">
        <v>633276609.60080004</v>
      </c>
      <c r="O3755">
        <v>263116280.97999999</v>
      </c>
      <c r="P3755">
        <v>41</v>
      </c>
      <c r="Q3755" t="s">
        <v>7554</v>
      </c>
    </row>
    <row r="3756" spans="1:17" x14ac:dyDescent="0.3">
      <c r="A3756" t="s">
        <v>4446</v>
      </c>
      <c r="B3756" t="str">
        <f>"200024"</f>
        <v>200024</v>
      </c>
      <c r="C3756" t="s">
        <v>7555</v>
      </c>
      <c r="M3756">
        <v>-8131184328.3305998</v>
      </c>
      <c r="N3756">
        <v>220268386.11309999</v>
      </c>
      <c r="O3756">
        <v>6262442096.9757004</v>
      </c>
      <c r="P3756">
        <v>0</v>
      </c>
      <c r="Q3756" t="s">
        <v>7556</v>
      </c>
    </row>
    <row r="3757" spans="1:17" x14ac:dyDescent="0.3">
      <c r="A3757" t="s">
        <v>4446</v>
      </c>
      <c r="B3757" t="str">
        <f>"200025"</f>
        <v>200025</v>
      </c>
      <c r="C3757" t="s">
        <v>7557</v>
      </c>
      <c r="F3757">
        <v>-17898282.563999999</v>
      </c>
      <c r="G3757">
        <v>-74241579.835899994</v>
      </c>
      <c r="H3757">
        <v>-50250915.491499998</v>
      </c>
      <c r="I3757">
        <v>-42869697.205499999</v>
      </c>
      <c r="J3757">
        <v>-39815121.547799997</v>
      </c>
      <c r="K3757">
        <v>-11007944.3084</v>
      </c>
      <c r="L3757">
        <v>-79686271.9278</v>
      </c>
      <c r="M3757">
        <v>-121547143.8936</v>
      </c>
      <c r="N3757">
        <v>1417888.3152000001</v>
      </c>
      <c r="O3757">
        <v>-13940352.637399999</v>
      </c>
      <c r="P3757">
        <v>7</v>
      </c>
      <c r="Q3757" t="s">
        <v>7558</v>
      </c>
    </row>
    <row r="3758" spans="1:17" x14ac:dyDescent="0.3">
      <c r="A3758" t="s">
        <v>4446</v>
      </c>
      <c r="B3758" t="str">
        <f>"200026"</f>
        <v>200026</v>
      </c>
      <c r="C3758" t="s">
        <v>7559</v>
      </c>
      <c r="F3758">
        <v>419280973.89840001</v>
      </c>
      <c r="G3758">
        <v>290391806.18489999</v>
      </c>
      <c r="H3758">
        <v>311790177.62550002</v>
      </c>
      <c r="I3758">
        <v>210399285.69</v>
      </c>
      <c r="J3758">
        <v>526549552.43480003</v>
      </c>
      <c r="K3758">
        <v>301558578.18059999</v>
      </c>
      <c r="L3758">
        <v>198423135.83520001</v>
      </c>
      <c r="M3758">
        <v>129435901.2384</v>
      </c>
      <c r="N3758">
        <v>-50288194.181400001</v>
      </c>
      <c r="O3758">
        <v>-87590905.539199993</v>
      </c>
      <c r="P3758">
        <v>52</v>
      </c>
      <c r="Q3758" t="s">
        <v>7560</v>
      </c>
    </row>
    <row r="3759" spans="1:17" x14ac:dyDescent="0.3">
      <c r="A3759" t="s">
        <v>4446</v>
      </c>
      <c r="B3759" t="str">
        <f>"200028"</f>
        <v>200028</v>
      </c>
      <c r="C3759" t="s">
        <v>7561</v>
      </c>
      <c r="F3759">
        <v>1572235409.4851999</v>
      </c>
      <c r="G3759">
        <v>1444065611.3348999</v>
      </c>
      <c r="H3759">
        <v>1969101333.8670001</v>
      </c>
      <c r="I3759">
        <v>1221728298.3180001</v>
      </c>
      <c r="J3759">
        <v>1299525549.0996001</v>
      </c>
      <c r="K3759">
        <v>1373180947.8934</v>
      </c>
      <c r="L3759">
        <v>1035061658.0412</v>
      </c>
      <c r="M3759">
        <v>-1422946162.1087999</v>
      </c>
      <c r="N3759">
        <v>409322441.83530003</v>
      </c>
      <c r="O3759">
        <v>165237218.11520001</v>
      </c>
      <c r="P3759">
        <v>209</v>
      </c>
      <c r="Q3759" t="s">
        <v>7562</v>
      </c>
    </row>
    <row r="3760" spans="1:17" x14ac:dyDescent="0.3">
      <c r="A3760" t="s">
        <v>4446</v>
      </c>
      <c r="B3760" t="str">
        <f>"200029"</f>
        <v>200029</v>
      </c>
      <c r="C3760" t="s">
        <v>7563</v>
      </c>
      <c r="F3760">
        <v>-1476695640.2376001</v>
      </c>
      <c r="G3760">
        <v>337411665.12760001</v>
      </c>
      <c r="H3760">
        <v>650753516.37899995</v>
      </c>
      <c r="I3760">
        <v>1209015920.0295</v>
      </c>
      <c r="J3760">
        <v>-22327889.494800001</v>
      </c>
      <c r="K3760">
        <v>585914366.7924</v>
      </c>
      <c r="L3760">
        <v>1303861621.5323999</v>
      </c>
      <c r="M3760">
        <v>399090960.7536</v>
      </c>
      <c r="N3760">
        <v>251786441.6067</v>
      </c>
      <c r="O3760">
        <v>25905289.845400002</v>
      </c>
      <c r="P3760">
        <v>18</v>
      </c>
      <c r="Q3760" t="s">
        <v>7564</v>
      </c>
    </row>
    <row r="3761" spans="1:17" x14ac:dyDescent="0.3">
      <c r="A3761" t="s">
        <v>4446</v>
      </c>
      <c r="B3761" t="str">
        <f>"200030"</f>
        <v>200030</v>
      </c>
      <c r="C3761" t="s">
        <v>7565</v>
      </c>
      <c r="F3761">
        <v>1446756534.1152</v>
      </c>
      <c r="G3761">
        <v>-37527170.906900004</v>
      </c>
      <c r="H3761">
        <v>-125369213.309</v>
      </c>
      <c r="I3761">
        <v>-260597755.58849999</v>
      </c>
      <c r="J3761">
        <v>175314920.68439999</v>
      </c>
      <c r="K3761">
        <v>268120303.544</v>
      </c>
      <c r="L3761">
        <v>648370779.57120001</v>
      </c>
      <c r="M3761">
        <v>363907566.9192</v>
      </c>
      <c r="N3761">
        <v>-308039886.75880003</v>
      </c>
      <c r="O3761">
        <v>-3693445.0896000001</v>
      </c>
      <c r="P3761">
        <v>132</v>
      </c>
      <c r="Q3761" t="s">
        <v>7566</v>
      </c>
    </row>
    <row r="3762" spans="1:17" x14ac:dyDescent="0.3">
      <c r="A3762" t="s">
        <v>4446</v>
      </c>
      <c r="B3762" t="str">
        <f>"200037"</f>
        <v>200037</v>
      </c>
      <c r="C3762" t="s">
        <v>7567</v>
      </c>
      <c r="F3762">
        <v>-100652853.6444</v>
      </c>
      <c r="G3762">
        <v>287101497.17720002</v>
      </c>
      <c r="H3762">
        <v>145060413.63850001</v>
      </c>
      <c r="I3762">
        <v>95716327.211999997</v>
      </c>
      <c r="J3762">
        <v>157820307.4014</v>
      </c>
      <c r="K3762">
        <v>1016939651.3464</v>
      </c>
      <c r="L3762">
        <v>419955292.60650003</v>
      </c>
      <c r="M3762">
        <v>607424537.42159998</v>
      </c>
      <c r="N3762">
        <v>600726904.43359995</v>
      </c>
      <c r="O3762">
        <v>23739714.4712</v>
      </c>
      <c r="P3762">
        <v>9</v>
      </c>
      <c r="Q3762" t="s">
        <v>7568</v>
      </c>
    </row>
    <row r="3763" spans="1:17" x14ac:dyDescent="0.3">
      <c r="A3763" t="s">
        <v>4446</v>
      </c>
      <c r="B3763" t="str">
        <f>"200039"</f>
        <v>200039</v>
      </c>
      <c r="C3763" t="s">
        <v>7569</v>
      </c>
      <c r="K3763">
        <v>-4457406291.1999998</v>
      </c>
      <c r="L3763">
        <v>-18122185198.799999</v>
      </c>
      <c r="M3763">
        <v>-6919828636.8000002</v>
      </c>
      <c r="N3763">
        <v>-5154489846.8000002</v>
      </c>
      <c r="O3763">
        <v>640708878.60000002</v>
      </c>
      <c r="P3763">
        <v>0</v>
      </c>
      <c r="Q3763" t="s">
        <v>7570</v>
      </c>
    </row>
    <row r="3764" spans="1:17" x14ac:dyDescent="0.3">
      <c r="A3764" t="s">
        <v>4446</v>
      </c>
      <c r="B3764" t="str">
        <f>"200045"</f>
        <v>200045</v>
      </c>
      <c r="C3764" t="s">
        <v>7571</v>
      </c>
      <c r="F3764">
        <v>-552675828.48839998</v>
      </c>
      <c r="G3764">
        <v>-663364685.02769995</v>
      </c>
      <c r="H3764">
        <v>-263244888.5095</v>
      </c>
      <c r="I3764">
        <v>-957361229.94599998</v>
      </c>
      <c r="J3764">
        <v>-339651777.59640002</v>
      </c>
      <c r="K3764">
        <v>-189576987.42300001</v>
      </c>
      <c r="L3764">
        <v>26802050.603999998</v>
      </c>
      <c r="M3764">
        <v>-121916640.8448</v>
      </c>
      <c r="N3764">
        <v>-370627052.40609998</v>
      </c>
      <c r="O3764">
        <v>-351809796.32819998</v>
      </c>
      <c r="P3764">
        <v>6</v>
      </c>
      <c r="Q3764" t="s">
        <v>7572</v>
      </c>
    </row>
    <row r="3765" spans="1:17" x14ac:dyDescent="0.3">
      <c r="A3765" t="s">
        <v>4446</v>
      </c>
      <c r="B3765" t="str">
        <f>"200053"</f>
        <v>200053</v>
      </c>
      <c r="C3765" t="s">
        <v>7573</v>
      </c>
      <c r="J3765">
        <v>-501711966.727</v>
      </c>
      <c r="K3765">
        <v>-1419560783.5386</v>
      </c>
      <c r="L3765">
        <v>-250711916.2622</v>
      </c>
      <c r="M3765">
        <v>-411863891.94660002</v>
      </c>
      <c r="N3765">
        <v>-67615134.234500006</v>
      </c>
      <c r="O3765">
        <v>10982165.838300001</v>
      </c>
      <c r="P3765">
        <v>15</v>
      </c>
      <c r="Q3765" t="s">
        <v>7574</v>
      </c>
    </row>
    <row r="3766" spans="1:17" x14ac:dyDescent="0.3">
      <c r="A3766" t="s">
        <v>4446</v>
      </c>
      <c r="B3766" t="str">
        <f>"200054"</f>
        <v>200054</v>
      </c>
      <c r="C3766" t="s">
        <v>7575</v>
      </c>
      <c r="F3766">
        <v>13497127.000800001</v>
      </c>
      <c r="G3766">
        <v>190121927.2511</v>
      </c>
      <c r="H3766">
        <v>10279731.9585</v>
      </c>
      <c r="I3766">
        <v>176161041.98550001</v>
      </c>
      <c r="J3766">
        <v>64594564.766800001</v>
      </c>
      <c r="K3766">
        <v>99627283.776800007</v>
      </c>
      <c r="L3766">
        <v>3321623.0436</v>
      </c>
      <c r="M3766">
        <v>108882017.3496</v>
      </c>
      <c r="N3766">
        <v>309966003.7299</v>
      </c>
      <c r="O3766">
        <v>13913046.113399999</v>
      </c>
      <c r="P3766">
        <v>7</v>
      </c>
      <c r="Q3766" t="s">
        <v>7576</v>
      </c>
    </row>
    <row r="3767" spans="1:17" x14ac:dyDescent="0.3">
      <c r="A3767" t="s">
        <v>4446</v>
      </c>
      <c r="B3767" t="str">
        <f>"200055"</f>
        <v>200055</v>
      </c>
      <c r="C3767" t="s">
        <v>7577</v>
      </c>
      <c r="F3767">
        <v>-212417383.82159999</v>
      </c>
      <c r="G3767">
        <v>502688588.15429997</v>
      </c>
      <c r="H3767">
        <v>-217000291.25749999</v>
      </c>
      <c r="I3767">
        <v>233830017.58050001</v>
      </c>
      <c r="J3767">
        <v>640574697.45879996</v>
      </c>
      <c r="K3767">
        <v>427290282.90280002</v>
      </c>
      <c r="L3767">
        <v>-478723712.44889998</v>
      </c>
      <c r="M3767">
        <v>-732554670.00479996</v>
      </c>
      <c r="N3767">
        <v>148436873.5598</v>
      </c>
      <c r="O3767">
        <v>-43944530.957599998</v>
      </c>
      <c r="P3767">
        <v>71</v>
      </c>
      <c r="Q3767" t="s">
        <v>7578</v>
      </c>
    </row>
    <row r="3768" spans="1:17" x14ac:dyDescent="0.3">
      <c r="A3768" t="s">
        <v>4446</v>
      </c>
      <c r="B3768" t="str">
        <f>"200056"</f>
        <v>200056</v>
      </c>
      <c r="C3768" t="s">
        <v>7579</v>
      </c>
      <c r="F3768">
        <v>490349903.24519998</v>
      </c>
      <c r="G3768">
        <v>539234528.18369997</v>
      </c>
      <c r="H3768">
        <v>273761268.22399998</v>
      </c>
      <c r="I3768">
        <v>81084079.296000004</v>
      </c>
      <c r="J3768">
        <v>-502441283.85960001</v>
      </c>
      <c r="K3768">
        <v>-103855812.1418</v>
      </c>
      <c r="L3768">
        <v>140106918.20159999</v>
      </c>
      <c r="M3768">
        <v>-517128100.55519998</v>
      </c>
      <c r="N3768">
        <v>-517527718.79689997</v>
      </c>
      <c r="O3768">
        <v>-184331479.26620001</v>
      </c>
      <c r="P3768">
        <v>13</v>
      </c>
      <c r="Q3768" t="s">
        <v>7580</v>
      </c>
    </row>
    <row r="3769" spans="1:17" x14ac:dyDescent="0.3">
      <c r="A3769" t="s">
        <v>4446</v>
      </c>
      <c r="B3769" t="str">
        <f>"200058"</f>
        <v>200058</v>
      </c>
      <c r="C3769" t="s">
        <v>7581</v>
      </c>
      <c r="F3769">
        <v>874822662.12600005</v>
      </c>
      <c r="G3769">
        <v>281401229.86210001</v>
      </c>
      <c r="H3769">
        <v>423589643.79549998</v>
      </c>
      <c r="I3769">
        <v>-15816306.131999999</v>
      </c>
      <c r="J3769">
        <v>421021099.69019997</v>
      </c>
      <c r="K3769">
        <v>-145516577.42699999</v>
      </c>
      <c r="L3769">
        <v>-35625041.832900003</v>
      </c>
      <c r="M3769">
        <v>-567905485.37039995</v>
      </c>
      <c r="N3769">
        <v>-179613581.36469999</v>
      </c>
      <c r="O3769">
        <v>-69938051.741600007</v>
      </c>
      <c r="P3769">
        <v>7</v>
      </c>
      <c r="Q3769" t="s">
        <v>7582</v>
      </c>
    </row>
    <row r="3770" spans="1:17" x14ac:dyDescent="0.3">
      <c r="A3770" t="s">
        <v>4446</v>
      </c>
      <c r="B3770" t="str">
        <f>"200152"</f>
        <v>200152</v>
      </c>
      <c r="C3770" t="s">
        <v>7583</v>
      </c>
      <c r="F3770">
        <v>-541222187.37600005</v>
      </c>
      <c r="G3770">
        <v>-2793060665.2744002</v>
      </c>
      <c r="H3770">
        <v>812353781.204</v>
      </c>
      <c r="I3770">
        <v>-1920530237.5710001</v>
      </c>
      <c r="J3770">
        <v>-484420828.15079999</v>
      </c>
      <c r="K3770">
        <v>288706089.93199998</v>
      </c>
      <c r="L3770">
        <v>399401398.45740002</v>
      </c>
      <c r="M3770">
        <v>-400545594.83759999</v>
      </c>
      <c r="N3770">
        <v>-175873442.34110001</v>
      </c>
      <c r="O3770">
        <v>-631543543.38740003</v>
      </c>
      <c r="P3770">
        <v>112</v>
      </c>
      <c r="Q3770" t="s">
        <v>7584</v>
      </c>
    </row>
    <row r="3771" spans="1:17" x14ac:dyDescent="0.3">
      <c r="A3771" t="s">
        <v>4446</v>
      </c>
      <c r="B3771" t="str">
        <f>"200160"</f>
        <v>200160</v>
      </c>
      <c r="C3771" t="s">
        <v>7585</v>
      </c>
      <c r="H3771">
        <v>-34683880.798500001</v>
      </c>
      <c r="I3771">
        <v>-192544605.74250001</v>
      </c>
      <c r="J3771">
        <v>-61300891.912799999</v>
      </c>
      <c r="K3771">
        <v>55283696.073200002</v>
      </c>
      <c r="L3771">
        <v>54897984.330700003</v>
      </c>
      <c r="M3771">
        <v>-65620623.519599997</v>
      </c>
      <c r="N3771">
        <v>-35028128.559699997</v>
      </c>
      <c r="O3771">
        <v>118831608.29719999</v>
      </c>
      <c r="P3771">
        <v>3</v>
      </c>
      <c r="Q3771" t="s">
        <v>7586</v>
      </c>
    </row>
    <row r="3772" spans="1:17" x14ac:dyDescent="0.3">
      <c r="A3772" t="s">
        <v>4446</v>
      </c>
      <c r="B3772" t="str">
        <f>"200168"</f>
        <v>200168</v>
      </c>
      <c r="C3772" t="s">
        <v>7587</v>
      </c>
      <c r="G3772">
        <v>18593085.3576</v>
      </c>
      <c r="H3772">
        <v>7905719.0640000002</v>
      </c>
      <c r="I3772">
        <v>-98413630.672499999</v>
      </c>
      <c r="J3772">
        <v>-11210940.978800001</v>
      </c>
      <c r="K3772">
        <v>-156595017.57879999</v>
      </c>
      <c r="L3772">
        <v>32254983.2181</v>
      </c>
      <c r="M3772">
        <v>-49590695.196000002</v>
      </c>
      <c r="N3772">
        <v>83935128.804800004</v>
      </c>
      <c r="O3772">
        <v>66633404.756800003</v>
      </c>
      <c r="P3772">
        <v>3</v>
      </c>
      <c r="Q3772" t="s">
        <v>7588</v>
      </c>
    </row>
    <row r="3773" spans="1:17" x14ac:dyDescent="0.3">
      <c r="A3773" t="s">
        <v>4446</v>
      </c>
      <c r="B3773" t="str">
        <f>"200413"</f>
        <v>200413</v>
      </c>
      <c r="C3773" t="s">
        <v>7589</v>
      </c>
      <c r="F3773">
        <v>1381472342.6352</v>
      </c>
      <c r="G3773">
        <v>-1878638580.6306</v>
      </c>
      <c r="H3773">
        <v>-6205553092.5314999</v>
      </c>
      <c r="I3773">
        <v>-5701758384.4650002</v>
      </c>
      <c r="J3773">
        <v>-1078555406.8796</v>
      </c>
      <c r="K3773">
        <v>627022158.78419995</v>
      </c>
      <c r="L3773">
        <v>1480466405.4572999</v>
      </c>
      <c r="M3773">
        <v>-1480073599.5408001</v>
      </c>
      <c r="N3773">
        <v>-5238909287.7386999</v>
      </c>
      <c r="O3773">
        <v>-1457444873.2172</v>
      </c>
      <c r="P3773">
        <v>44</v>
      </c>
      <c r="Q3773" t="s">
        <v>7590</v>
      </c>
    </row>
    <row r="3774" spans="1:17" x14ac:dyDescent="0.3">
      <c r="A3774" t="s">
        <v>4446</v>
      </c>
      <c r="B3774" t="str">
        <f>"200418"</f>
        <v>200418</v>
      </c>
      <c r="C3774" t="s">
        <v>7591</v>
      </c>
      <c r="I3774">
        <v>2693283221.178</v>
      </c>
      <c r="J3774">
        <v>2174164980.0465999</v>
      </c>
      <c r="K3774">
        <v>4284215324.0416002</v>
      </c>
      <c r="L3774">
        <v>4167560550.6396999</v>
      </c>
      <c r="M3774">
        <v>1983483737.4897001</v>
      </c>
      <c r="N3774">
        <v>1212646429.3896999</v>
      </c>
      <c r="O3774">
        <v>326471891.79350001</v>
      </c>
      <c r="P3774">
        <v>89</v>
      </c>
      <c r="Q3774" t="s">
        <v>7592</v>
      </c>
    </row>
    <row r="3775" spans="1:17" x14ac:dyDescent="0.3">
      <c r="A3775" t="s">
        <v>4446</v>
      </c>
      <c r="B3775" t="str">
        <f>"200429"</f>
        <v>200429</v>
      </c>
      <c r="C3775" t="s">
        <v>7593</v>
      </c>
      <c r="F3775">
        <v>3865109522.4624</v>
      </c>
      <c r="G3775">
        <v>2344022678.6641998</v>
      </c>
      <c r="H3775">
        <v>1325985681.5274999</v>
      </c>
      <c r="I3775">
        <v>1478725778.7720001</v>
      </c>
      <c r="J3775">
        <v>2120275023.0838001</v>
      </c>
      <c r="K3775">
        <v>1604648988.2883999</v>
      </c>
      <c r="L3775">
        <v>1074162648.0348001</v>
      </c>
      <c r="M3775">
        <v>921408696.46080005</v>
      </c>
      <c r="N3775">
        <v>406399412.19569999</v>
      </c>
      <c r="O3775">
        <v>-632630272.10039997</v>
      </c>
      <c r="P3775">
        <v>453</v>
      </c>
      <c r="Q3775" t="s">
        <v>7594</v>
      </c>
    </row>
    <row r="3776" spans="1:17" x14ac:dyDescent="0.3">
      <c r="A3776" t="s">
        <v>4446</v>
      </c>
      <c r="B3776" t="str">
        <f>"200468"</f>
        <v>200468</v>
      </c>
      <c r="C3776" t="s">
        <v>7595</v>
      </c>
      <c r="F3776">
        <v>-87094196.5704</v>
      </c>
      <c r="G3776">
        <v>192825266.20739999</v>
      </c>
      <c r="H3776">
        <v>10109788.187000001</v>
      </c>
      <c r="I3776">
        <v>-151199210.8935</v>
      </c>
      <c r="J3776">
        <v>-74566176.825200006</v>
      </c>
      <c r="K3776">
        <v>112253863.1912</v>
      </c>
      <c r="L3776">
        <v>11304578.933700001</v>
      </c>
      <c r="M3776">
        <v>79829015.863199994</v>
      </c>
      <c r="N3776">
        <v>36526728.676899999</v>
      </c>
      <c r="O3776">
        <v>141034562.22799999</v>
      </c>
      <c r="P3776">
        <v>4</v>
      </c>
      <c r="Q3776" t="s">
        <v>7596</v>
      </c>
    </row>
    <row r="3777" spans="1:17" x14ac:dyDescent="0.3">
      <c r="A3777" t="s">
        <v>4446</v>
      </c>
      <c r="B3777" t="str">
        <f>"200488"</f>
        <v>200488</v>
      </c>
      <c r="C3777" t="s">
        <v>7597</v>
      </c>
      <c r="F3777">
        <v>9986691969.531601</v>
      </c>
      <c r="G3777">
        <v>13210218452.3162</v>
      </c>
      <c r="H3777">
        <v>12591772862.828501</v>
      </c>
      <c r="I3777">
        <v>11944802064.393</v>
      </c>
      <c r="J3777">
        <v>-2672883058.6753998</v>
      </c>
      <c r="K3777">
        <v>-357213140.63340002</v>
      </c>
      <c r="L3777">
        <v>-16014526788.384001</v>
      </c>
      <c r="M3777">
        <v>-2604546887.1336002</v>
      </c>
      <c r="N3777">
        <v>-3192220590.5513</v>
      </c>
      <c r="O3777">
        <v>-993175135.46440005</v>
      </c>
      <c r="P3777">
        <v>268</v>
      </c>
      <c r="Q3777" t="s">
        <v>7598</v>
      </c>
    </row>
    <row r="3778" spans="1:17" x14ac:dyDescent="0.3">
      <c r="A3778" t="s">
        <v>4446</v>
      </c>
      <c r="B3778" t="str">
        <f>"200505"</f>
        <v>200505</v>
      </c>
      <c r="C3778" t="s">
        <v>7599</v>
      </c>
      <c r="F3778">
        <v>691803258.7428</v>
      </c>
      <c r="G3778">
        <v>-335269764.23409998</v>
      </c>
      <c r="H3778">
        <v>309807626.30900002</v>
      </c>
      <c r="I3778">
        <v>906999261.20099998</v>
      </c>
      <c r="J3778">
        <v>-1654199551.983</v>
      </c>
      <c r="K3778">
        <v>289975856.72799999</v>
      </c>
      <c r="L3778">
        <v>283000341.64230001</v>
      </c>
      <c r="M3778">
        <v>-405664777.45200002</v>
      </c>
      <c r="N3778">
        <v>-110275028.9249</v>
      </c>
      <c r="O3778">
        <v>-203897959.08160001</v>
      </c>
      <c r="P3778">
        <v>16</v>
      </c>
      <c r="Q3778" t="s">
        <v>7600</v>
      </c>
    </row>
    <row r="3779" spans="1:17" x14ac:dyDescent="0.3">
      <c r="A3779" t="s">
        <v>4446</v>
      </c>
      <c r="B3779" t="str">
        <f>"200512"</f>
        <v>200512</v>
      </c>
      <c r="C3779" t="s">
        <v>7601</v>
      </c>
      <c r="F3779">
        <v>124900512.9804</v>
      </c>
      <c r="G3779">
        <v>324428068.92159998</v>
      </c>
      <c r="H3779">
        <v>170373568.54699999</v>
      </c>
      <c r="I3779">
        <v>45383056.636500001</v>
      </c>
      <c r="J3779">
        <v>-15838331.282</v>
      </c>
      <c r="K3779">
        <v>59833461.217200004</v>
      </c>
      <c r="L3779">
        <v>14484431.0031</v>
      </c>
      <c r="M3779">
        <v>9755325.7056000009</v>
      </c>
      <c r="N3779">
        <v>174696989.13659999</v>
      </c>
      <c r="O3779">
        <v>90312926.6382</v>
      </c>
      <c r="P3779">
        <v>34</v>
      </c>
      <c r="Q3779" t="s">
        <v>7602</v>
      </c>
    </row>
    <row r="3780" spans="1:17" x14ac:dyDescent="0.3">
      <c r="A3780" t="s">
        <v>4446</v>
      </c>
      <c r="B3780" t="str">
        <f>"200513"</f>
        <v>200513</v>
      </c>
      <c r="C3780" t="s">
        <v>7603</v>
      </c>
      <c r="K3780">
        <v>1021095998.2051001</v>
      </c>
      <c r="L3780">
        <v>546296931.50829995</v>
      </c>
      <c r="M3780">
        <v>68403106.741899997</v>
      </c>
      <c r="N3780">
        <v>-614996074.48119998</v>
      </c>
      <c r="O3780">
        <v>-209088167.16319999</v>
      </c>
      <c r="P3780">
        <v>1</v>
      </c>
      <c r="Q3780" t="s">
        <v>7604</v>
      </c>
    </row>
    <row r="3781" spans="1:17" x14ac:dyDescent="0.3">
      <c r="A3781" t="s">
        <v>4446</v>
      </c>
      <c r="B3781" t="str">
        <f>"200521"</f>
        <v>200521</v>
      </c>
      <c r="C3781" t="s">
        <v>7605</v>
      </c>
      <c r="F3781">
        <v>-121808286.558</v>
      </c>
      <c r="G3781">
        <v>1233212068.7289</v>
      </c>
      <c r="H3781">
        <v>1095772907.6900001</v>
      </c>
      <c r="I3781">
        <v>-950659572.65400004</v>
      </c>
      <c r="J3781">
        <v>-1286429990.4702001</v>
      </c>
      <c r="K3781">
        <v>981179375.98720002</v>
      </c>
      <c r="L3781">
        <v>148680694.713</v>
      </c>
      <c r="M3781">
        <v>151289159.544</v>
      </c>
      <c r="N3781">
        <v>611401792.81509995</v>
      </c>
      <c r="O3781">
        <v>331235967.14319998</v>
      </c>
      <c r="P3781">
        <v>23</v>
      </c>
      <c r="Q3781" t="s">
        <v>7606</v>
      </c>
    </row>
    <row r="3782" spans="1:17" x14ac:dyDescent="0.3">
      <c r="A3782" t="s">
        <v>4446</v>
      </c>
      <c r="B3782" t="str">
        <f>"200530"</f>
        <v>200530</v>
      </c>
      <c r="C3782" t="s">
        <v>7607</v>
      </c>
      <c r="F3782">
        <v>-34755108.813600004</v>
      </c>
      <c r="G3782">
        <v>-31297250.636799999</v>
      </c>
      <c r="H3782">
        <v>-111373854.55</v>
      </c>
      <c r="I3782">
        <v>-306462615.1785</v>
      </c>
      <c r="J3782">
        <v>-394289562.37639999</v>
      </c>
      <c r="K3782">
        <v>-386007873.69919997</v>
      </c>
      <c r="L3782">
        <v>-132463445.8167</v>
      </c>
      <c r="M3782">
        <v>-11957920.3104</v>
      </c>
      <c r="N3782">
        <v>-3533514.8848999999</v>
      </c>
      <c r="O3782">
        <v>-134446965.37020001</v>
      </c>
      <c r="P3782">
        <v>25</v>
      </c>
      <c r="Q3782" t="s">
        <v>7608</v>
      </c>
    </row>
    <row r="3783" spans="1:17" x14ac:dyDescent="0.3">
      <c r="A3783" t="s">
        <v>4446</v>
      </c>
      <c r="B3783" t="str">
        <f>"200539"</f>
        <v>200539</v>
      </c>
      <c r="C3783" t="s">
        <v>7609</v>
      </c>
      <c r="F3783">
        <v>-11147118796.519199</v>
      </c>
      <c r="G3783">
        <v>-1626476970.5446</v>
      </c>
      <c r="H3783">
        <v>3945039870.3260002</v>
      </c>
      <c r="I3783">
        <v>2682653418.9675002</v>
      </c>
      <c r="J3783">
        <v>326824148.01440001</v>
      </c>
      <c r="K3783">
        <v>6038252787.7572002</v>
      </c>
      <c r="L3783">
        <v>6067109772.4184999</v>
      </c>
      <c r="M3783">
        <v>2193198804.1055999</v>
      </c>
      <c r="N3783">
        <v>6856801276.6561003</v>
      </c>
      <c r="O3783">
        <v>6256382063.7919998</v>
      </c>
      <c r="P3783">
        <v>185</v>
      </c>
      <c r="Q3783" t="s">
        <v>7610</v>
      </c>
    </row>
    <row r="3784" spans="1:17" x14ac:dyDescent="0.3">
      <c r="A3784" t="s">
        <v>4446</v>
      </c>
      <c r="B3784" t="str">
        <f>"200541"</f>
        <v>200541</v>
      </c>
      <c r="C3784" t="s">
        <v>7611</v>
      </c>
      <c r="F3784">
        <v>-596885077.86479998</v>
      </c>
      <c r="G3784">
        <v>203967476.56029999</v>
      </c>
      <c r="H3784">
        <v>508525381.86250001</v>
      </c>
      <c r="I3784">
        <v>512220141.87300003</v>
      </c>
      <c r="J3784">
        <v>-6875213.6780000003</v>
      </c>
      <c r="K3784">
        <v>212686361.3698</v>
      </c>
      <c r="L3784">
        <v>144159344.67809999</v>
      </c>
      <c r="M3784">
        <v>275479005.08160001</v>
      </c>
      <c r="N3784">
        <v>206038287.72870001</v>
      </c>
      <c r="O3784">
        <v>481666670.67540002</v>
      </c>
      <c r="P3784">
        <v>119</v>
      </c>
      <c r="Q3784" t="s">
        <v>7612</v>
      </c>
    </row>
    <row r="3785" spans="1:17" x14ac:dyDescent="0.3">
      <c r="A3785" t="s">
        <v>4446</v>
      </c>
      <c r="B3785" t="str">
        <f>"200550"</f>
        <v>200550</v>
      </c>
      <c r="C3785" t="s">
        <v>7613</v>
      </c>
      <c r="F3785">
        <v>768218955.68040001</v>
      </c>
      <c r="G3785">
        <v>2752345524.4400001</v>
      </c>
      <c r="H3785">
        <v>1257098266.4665</v>
      </c>
      <c r="I3785">
        <v>-1689684527.9159999</v>
      </c>
      <c r="J3785">
        <v>-294397336.44639999</v>
      </c>
      <c r="K3785">
        <v>3852918601.9716001</v>
      </c>
      <c r="L3785">
        <v>508673663.35439998</v>
      </c>
      <c r="M3785">
        <v>3643092006.5088</v>
      </c>
      <c r="N3785">
        <v>2672752375.3909998</v>
      </c>
      <c r="O3785">
        <v>1088621856.6356001</v>
      </c>
      <c r="P3785">
        <v>154</v>
      </c>
      <c r="Q3785" t="s">
        <v>7614</v>
      </c>
    </row>
    <row r="3786" spans="1:17" x14ac:dyDescent="0.3">
      <c r="A3786" t="s">
        <v>4446</v>
      </c>
      <c r="B3786" t="str">
        <f>"200553"</f>
        <v>200553</v>
      </c>
      <c r="C3786" t="s">
        <v>7615</v>
      </c>
      <c r="F3786">
        <v>2445442258.8000002</v>
      </c>
      <c r="G3786">
        <v>90024990</v>
      </c>
      <c r="H3786">
        <v>-816399861</v>
      </c>
      <c r="I3786">
        <v>1192762048.5</v>
      </c>
      <c r="J3786">
        <v>3063416884.4000001</v>
      </c>
      <c r="K3786">
        <v>179584368.77200001</v>
      </c>
      <c r="L3786">
        <v>-27864660.8574</v>
      </c>
      <c r="M3786">
        <v>380566669.8768</v>
      </c>
      <c r="N3786">
        <v>571052402.86010003</v>
      </c>
      <c r="O3786">
        <v>105397503.5302</v>
      </c>
      <c r="P3786">
        <v>58</v>
      </c>
      <c r="Q3786" t="s">
        <v>7616</v>
      </c>
    </row>
    <row r="3787" spans="1:17" x14ac:dyDescent="0.3">
      <c r="A3787" t="s">
        <v>4446</v>
      </c>
      <c r="B3787" t="str">
        <f>"200570"</f>
        <v>200570</v>
      </c>
      <c r="C3787" t="s">
        <v>7617</v>
      </c>
      <c r="F3787">
        <v>-495854451.1656</v>
      </c>
      <c r="G3787">
        <v>140357069.96180001</v>
      </c>
      <c r="H3787">
        <v>-66254196.502499998</v>
      </c>
      <c r="I3787">
        <v>292559011.81650001</v>
      </c>
      <c r="J3787">
        <v>-213582937.62439999</v>
      </c>
      <c r="K3787">
        <v>45098836.5286</v>
      </c>
      <c r="L3787">
        <v>117677888.47050001</v>
      </c>
      <c r="M3787">
        <v>-139772390.35679999</v>
      </c>
      <c r="N3787">
        <v>-44648677.012100004</v>
      </c>
      <c r="O3787">
        <v>268947519.48259997</v>
      </c>
      <c r="P3787">
        <v>10</v>
      </c>
      <c r="Q3787" t="s">
        <v>7618</v>
      </c>
    </row>
    <row r="3788" spans="1:17" x14ac:dyDescent="0.3">
      <c r="A3788" t="s">
        <v>4446</v>
      </c>
      <c r="B3788" t="str">
        <f>"200581"</f>
        <v>200581</v>
      </c>
      <c r="C3788" t="s">
        <v>7619</v>
      </c>
      <c r="F3788">
        <v>-135200355.47400001</v>
      </c>
      <c r="G3788">
        <v>393760734.31529999</v>
      </c>
      <c r="H3788">
        <v>678657628.44200003</v>
      </c>
      <c r="I3788">
        <v>354598781.13</v>
      </c>
      <c r="J3788">
        <v>654137399.13240004</v>
      </c>
      <c r="K3788">
        <v>186643931.94</v>
      </c>
      <c r="L3788">
        <v>173649648.26789999</v>
      </c>
      <c r="M3788">
        <v>114999062.928</v>
      </c>
      <c r="N3788">
        <v>498005528.3175</v>
      </c>
      <c r="O3788">
        <v>1149915967.2196</v>
      </c>
      <c r="P3788">
        <v>448</v>
      </c>
      <c r="Q3788" t="s">
        <v>7620</v>
      </c>
    </row>
    <row r="3789" spans="1:17" x14ac:dyDescent="0.3">
      <c r="A3789" t="s">
        <v>4446</v>
      </c>
      <c r="B3789" t="str">
        <f>"200596"</f>
        <v>200596</v>
      </c>
      <c r="C3789" t="s">
        <v>7621</v>
      </c>
      <c r="F3789">
        <v>5728408047.7404003</v>
      </c>
      <c r="G3789">
        <v>3637393175.9956002</v>
      </c>
      <c r="H3789">
        <v>-241070496.26350001</v>
      </c>
      <c r="I3789">
        <v>1291799801.457</v>
      </c>
      <c r="J3789">
        <v>879862616.13279998</v>
      </c>
      <c r="K3789">
        <v>1133252170.6570001</v>
      </c>
      <c r="L3789">
        <v>659433123.3513</v>
      </c>
      <c r="M3789">
        <v>1500900.1344000001</v>
      </c>
      <c r="N3789">
        <v>107158269.0486</v>
      </c>
      <c r="O3789">
        <v>579843818.97399998</v>
      </c>
      <c r="P3789">
        <v>745</v>
      </c>
      <c r="Q3789" t="s">
        <v>7622</v>
      </c>
    </row>
    <row r="3790" spans="1:17" x14ac:dyDescent="0.3">
      <c r="A3790" t="s">
        <v>4446</v>
      </c>
      <c r="B3790" t="str">
        <f>"200613"</f>
        <v>200613</v>
      </c>
      <c r="C3790" t="s">
        <v>7623</v>
      </c>
      <c r="F3790">
        <v>9221822.0135999992</v>
      </c>
      <c r="G3790">
        <v>-24269969.897300001</v>
      </c>
      <c r="H3790">
        <v>-8882472.6775000002</v>
      </c>
      <c r="I3790">
        <v>6469808.5980000002</v>
      </c>
      <c r="J3790">
        <v>1141821.0718</v>
      </c>
      <c r="K3790">
        <v>7185660.2819999997</v>
      </c>
      <c r="L3790">
        <v>-3807780.0488999998</v>
      </c>
      <c r="M3790">
        <v>2836980.0432000002</v>
      </c>
      <c r="N3790">
        <v>2103291.4889000002</v>
      </c>
      <c r="O3790">
        <v>361041.0356</v>
      </c>
      <c r="P3790">
        <v>4</v>
      </c>
      <c r="Q3790" t="s">
        <v>7624</v>
      </c>
    </row>
    <row r="3791" spans="1:17" x14ac:dyDescent="0.3">
      <c r="A3791" t="s">
        <v>4446</v>
      </c>
      <c r="B3791" t="str">
        <f>"200625"</f>
        <v>200625</v>
      </c>
      <c r="C3791" t="s">
        <v>7625</v>
      </c>
      <c r="F3791">
        <v>25736373378.535198</v>
      </c>
      <c r="G3791">
        <v>9863270192.5051994</v>
      </c>
      <c r="H3791">
        <v>-927320327.10099995</v>
      </c>
      <c r="I3791">
        <v>-11764007303.499001</v>
      </c>
      <c r="J3791">
        <v>-5583678784.4544001</v>
      </c>
      <c r="K3791">
        <v>-2629150411.3202</v>
      </c>
      <c r="L3791">
        <v>2862873303.1599002</v>
      </c>
      <c r="M3791">
        <v>1961883933.276</v>
      </c>
      <c r="N3791">
        <v>-803714469.31509995</v>
      </c>
      <c r="O3791">
        <v>-5441666857.7418003</v>
      </c>
      <c r="P3791">
        <v>710</v>
      </c>
      <c r="Q3791" t="s">
        <v>7626</v>
      </c>
    </row>
    <row r="3792" spans="1:17" x14ac:dyDescent="0.3">
      <c r="A3792" t="s">
        <v>4446</v>
      </c>
      <c r="B3792" t="str">
        <f>"200706"</f>
        <v>200706</v>
      </c>
      <c r="C3792" t="s">
        <v>7627</v>
      </c>
      <c r="F3792">
        <v>91737017.766000003</v>
      </c>
      <c r="G3792">
        <v>68373367.877399996</v>
      </c>
      <c r="H3792">
        <v>179555631.44949999</v>
      </c>
      <c r="I3792">
        <v>255620445.3495</v>
      </c>
      <c r="J3792">
        <v>-14283665.4142</v>
      </c>
      <c r="K3792">
        <v>-5841254.3081999999</v>
      </c>
      <c r="L3792">
        <v>-77563727.696400002</v>
      </c>
      <c r="M3792">
        <v>30795588.936000001</v>
      </c>
      <c r="N3792">
        <v>-22483938.9943</v>
      </c>
      <c r="O3792">
        <v>75079663.607199997</v>
      </c>
      <c r="P3792">
        <v>7</v>
      </c>
      <c r="Q3792" t="s">
        <v>7628</v>
      </c>
    </row>
    <row r="3793" spans="1:17" x14ac:dyDescent="0.3">
      <c r="A3793" t="s">
        <v>4446</v>
      </c>
      <c r="B3793" t="str">
        <f>"200725"</f>
        <v>200725</v>
      </c>
      <c r="C3793" t="s">
        <v>7629</v>
      </c>
      <c r="F3793">
        <v>32611735477.101601</v>
      </c>
      <c r="G3793">
        <v>-5676303398.1440001</v>
      </c>
      <c r="H3793">
        <v>-26075586149.035</v>
      </c>
      <c r="I3793">
        <v>-32718045808.998001</v>
      </c>
      <c r="J3793">
        <v>-25765903123.587002</v>
      </c>
      <c r="K3793">
        <v>-22787435370.444401</v>
      </c>
      <c r="L3793">
        <v>-9654625588.8132</v>
      </c>
      <c r="M3793">
        <v>-16461961973.916</v>
      </c>
      <c r="N3793">
        <v>-11990835395.246401</v>
      </c>
      <c r="O3793">
        <v>-1343944000.6257999</v>
      </c>
      <c r="P3793">
        <v>85</v>
      </c>
      <c r="Q3793" t="s">
        <v>7630</v>
      </c>
    </row>
    <row r="3794" spans="1:17" x14ac:dyDescent="0.3">
      <c r="A3794" t="s">
        <v>4446</v>
      </c>
      <c r="B3794" t="str">
        <f>"200726"</f>
        <v>200726</v>
      </c>
      <c r="C3794" t="s">
        <v>7631</v>
      </c>
      <c r="F3794">
        <v>-95144818.2984</v>
      </c>
      <c r="G3794">
        <v>137515620.33539999</v>
      </c>
      <c r="H3794">
        <v>334889043.67650002</v>
      </c>
      <c r="I3794">
        <v>607994024.81400001</v>
      </c>
      <c r="J3794">
        <v>515565624.48519999</v>
      </c>
      <c r="K3794">
        <v>504266965.44340003</v>
      </c>
      <c r="L3794">
        <v>685477995.72090006</v>
      </c>
      <c r="M3794">
        <v>456943815.24479997</v>
      </c>
      <c r="N3794">
        <v>1106001819.8803</v>
      </c>
      <c r="O3794">
        <v>646262095.86539996</v>
      </c>
      <c r="P3794">
        <v>329</v>
      </c>
      <c r="Q3794" t="s">
        <v>7632</v>
      </c>
    </row>
    <row r="3795" spans="1:17" x14ac:dyDescent="0.3">
      <c r="A3795" t="s">
        <v>4446</v>
      </c>
      <c r="B3795" t="str">
        <f>"200761"</f>
        <v>200761</v>
      </c>
      <c r="C3795" t="s">
        <v>7633</v>
      </c>
      <c r="F3795">
        <v>-1090126366.3008001</v>
      </c>
      <c r="G3795">
        <v>-3620859185.1461</v>
      </c>
      <c r="H3795">
        <v>2720279376.1015</v>
      </c>
      <c r="I3795">
        <v>3450735428.5304999</v>
      </c>
      <c r="J3795">
        <v>2599970309.7756</v>
      </c>
      <c r="K3795">
        <v>8060067448.5312004</v>
      </c>
      <c r="L3795">
        <v>-6870934818.5684996</v>
      </c>
      <c r="M3795">
        <v>2788417813.2575998</v>
      </c>
      <c r="N3795">
        <v>1981006290.1250999</v>
      </c>
      <c r="O3795">
        <v>-1233062062.6492</v>
      </c>
      <c r="P3795">
        <v>41</v>
      </c>
      <c r="Q3795" t="s">
        <v>7634</v>
      </c>
    </row>
    <row r="3796" spans="1:17" x14ac:dyDescent="0.3">
      <c r="A3796" t="s">
        <v>4446</v>
      </c>
      <c r="B3796" t="str">
        <f>"200770"</f>
        <v>200770</v>
      </c>
      <c r="C3796" t="s">
        <v>7635</v>
      </c>
      <c r="K3796">
        <v>-98363954.541500002</v>
      </c>
      <c r="L3796">
        <v>327773386.01730001</v>
      </c>
      <c r="M3796">
        <v>268937700.2712</v>
      </c>
      <c r="N3796">
        <v>44141974.822400004</v>
      </c>
      <c r="O3796">
        <v>77864609.802900001</v>
      </c>
      <c r="P3796">
        <v>0</v>
      </c>
      <c r="Q3796" t="s">
        <v>7636</v>
      </c>
    </row>
    <row r="3797" spans="1:17" x14ac:dyDescent="0.3">
      <c r="A3797" t="s">
        <v>4446</v>
      </c>
      <c r="B3797" t="str">
        <f>"200771"</f>
        <v>200771</v>
      </c>
      <c r="C3797" t="s">
        <v>7637</v>
      </c>
      <c r="F3797">
        <v>-131503308.9384</v>
      </c>
      <c r="G3797">
        <v>91718131.144600004</v>
      </c>
      <c r="H3797">
        <v>52523924.480499998</v>
      </c>
      <c r="I3797">
        <v>185076478.3725</v>
      </c>
      <c r="J3797">
        <v>86367240.5414</v>
      </c>
      <c r="K3797">
        <v>473068809.32980001</v>
      </c>
      <c r="L3797">
        <v>321009692.98589998</v>
      </c>
      <c r="M3797">
        <v>247651057.98719999</v>
      </c>
      <c r="N3797">
        <v>64705620.928900003</v>
      </c>
      <c r="O3797">
        <v>844821607.10220003</v>
      </c>
      <c r="P3797">
        <v>65</v>
      </c>
      <c r="Q3797" t="s">
        <v>7638</v>
      </c>
    </row>
    <row r="3798" spans="1:17" x14ac:dyDescent="0.3">
      <c r="A3798" t="s">
        <v>4446</v>
      </c>
      <c r="B3798" t="str">
        <f>"200869"</f>
        <v>200869</v>
      </c>
      <c r="C3798" t="s">
        <v>7639</v>
      </c>
      <c r="F3798">
        <v>1110062261.6447999</v>
      </c>
      <c r="G3798">
        <v>472576010.63919997</v>
      </c>
      <c r="H3798">
        <v>629901875.65499997</v>
      </c>
      <c r="I3798">
        <v>738387104.94449997</v>
      </c>
      <c r="J3798">
        <v>653960985.33500004</v>
      </c>
      <c r="K3798">
        <v>214630126.56040001</v>
      </c>
      <c r="L3798">
        <v>442804723.18470001</v>
      </c>
      <c r="M3798">
        <v>-208852303.8576</v>
      </c>
      <c r="N3798">
        <v>-289766400.19459999</v>
      </c>
      <c r="O3798">
        <v>540119969.31340003</v>
      </c>
      <c r="P3798">
        <v>348</v>
      </c>
      <c r="Q3798" t="s">
        <v>7640</v>
      </c>
    </row>
    <row r="3799" spans="1:17" x14ac:dyDescent="0.3">
      <c r="A3799" t="s">
        <v>4446</v>
      </c>
      <c r="B3799" t="str">
        <f>"200986"</f>
        <v>200986</v>
      </c>
      <c r="C3799" t="s">
        <v>7641</v>
      </c>
      <c r="G3799">
        <v>778882100.07609999</v>
      </c>
      <c r="H3799">
        <v>77230852.388999999</v>
      </c>
      <c r="I3799">
        <v>436076940.81599998</v>
      </c>
      <c r="J3799">
        <v>-83580470.957200006</v>
      </c>
      <c r="K3799">
        <v>373160429.55839998</v>
      </c>
      <c r="L3799">
        <v>747205067.86049998</v>
      </c>
      <c r="M3799">
        <v>388044623.3064</v>
      </c>
      <c r="N3799">
        <v>923436442.40120006</v>
      </c>
      <c r="O3799">
        <v>-118324195.4314</v>
      </c>
      <c r="P3799">
        <v>8</v>
      </c>
      <c r="Q3799" t="s">
        <v>7642</v>
      </c>
    </row>
    <row r="3800" spans="1:17" x14ac:dyDescent="0.3">
      <c r="A3800" t="s">
        <v>4446</v>
      </c>
      <c r="B3800" t="str">
        <f>"200992"</f>
        <v>200992</v>
      </c>
      <c r="C3800" t="s">
        <v>7643</v>
      </c>
      <c r="F3800">
        <v>-198011431.50839999</v>
      </c>
      <c r="G3800">
        <v>120639322.212</v>
      </c>
      <c r="H3800">
        <v>38774320.304499999</v>
      </c>
      <c r="I3800">
        <v>35357941.376999997</v>
      </c>
      <c r="J3800">
        <v>-102805363.37199999</v>
      </c>
      <c r="K3800">
        <v>67723471.604200006</v>
      </c>
      <c r="L3800">
        <v>44704224.955799997</v>
      </c>
      <c r="M3800">
        <v>-24004805.330400001</v>
      </c>
      <c r="N3800">
        <v>-14507094.479499999</v>
      </c>
      <c r="O3800">
        <v>-133743149.0486</v>
      </c>
      <c r="P3800">
        <v>22</v>
      </c>
      <c r="Q3800" t="s">
        <v>7644</v>
      </c>
    </row>
    <row r="3801" spans="1:17" x14ac:dyDescent="0.3">
      <c r="A3801" t="s">
        <v>4446</v>
      </c>
      <c r="B3801" t="str">
        <f>"201872"</f>
        <v>201872</v>
      </c>
      <c r="C3801" t="s">
        <v>7645</v>
      </c>
      <c r="F3801">
        <v>5320543064.9424</v>
      </c>
      <c r="G3801">
        <v>3744684728.9741998</v>
      </c>
      <c r="H3801">
        <v>9239722056.2180004</v>
      </c>
      <c r="I3801">
        <v>2130522604.0065</v>
      </c>
      <c r="J3801">
        <v>1121941589.105</v>
      </c>
      <c r="K3801">
        <v>735550998.03600001</v>
      </c>
      <c r="L3801">
        <v>988557723.82529998</v>
      </c>
      <c r="M3801">
        <v>744623634.58800006</v>
      </c>
      <c r="N3801">
        <v>633276609.01119995</v>
      </c>
      <c r="O3801">
        <v>263116280.97999999</v>
      </c>
      <c r="P3801">
        <v>90</v>
      </c>
      <c r="Q3801" t="s">
        <v>7646</v>
      </c>
    </row>
    <row r="3802" spans="1:17" x14ac:dyDescent="0.3">
      <c r="A3802" t="s">
        <v>4446</v>
      </c>
      <c r="B3802" t="str">
        <f>"300001"</f>
        <v>300001</v>
      </c>
      <c r="C3802" t="s">
        <v>7647</v>
      </c>
      <c r="D3802" t="s">
        <v>188</v>
      </c>
      <c r="F3802">
        <v>-503915606</v>
      </c>
      <c r="G3802">
        <v>-352213115</v>
      </c>
      <c r="H3802">
        <v>-54364938</v>
      </c>
      <c r="I3802">
        <v>-16652039</v>
      </c>
      <c r="J3802">
        <v>-1277678871</v>
      </c>
      <c r="K3802">
        <v>-541230348</v>
      </c>
      <c r="L3802">
        <v>60083870</v>
      </c>
      <c r="M3802">
        <v>-92396161</v>
      </c>
      <c r="N3802">
        <v>4192353</v>
      </c>
      <c r="O3802">
        <v>-28861688</v>
      </c>
      <c r="P3802">
        <v>530</v>
      </c>
      <c r="Q3802" t="s">
        <v>7648</v>
      </c>
    </row>
    <row r="3803" spans="1:17" x14ac:dyDescent="0.3">
      <c r="A3803" t="s">
        <v>4446</v>
      </c>
      <c r="B3803" t="str">
        <f>"300002"</f>
        <v>300002</v>
      </c>
      <c r="C3803" t="s">
        <v>7649</v>
      </c>
      <c r="D3803" t="s">
        <v>89</v>
      </c>
      <c r="F3803">
        <v>224858739</v>
      </c>
      <c r="G3803">
        <v>567360873</v>
      </c>
      <c r="H3803">
        <v>33588998</v>
      </c>
      <c r="I3803">
        <v>133553109</v>
      </c>
      <c r="J3803">
        <v>24510043</v>
      </c>
      <c r="K3803">
        <v>-84369177</v>
      </c>
      <c r="L3803">
        <v>-136145119</v>
      </c>
      <c r="M3803">
        <v>219146301</v>
      </c>
      <c r="N3803">
        <v>314083076</v>
      </c>
      <c r="O3803">
        <v>167197755</v>
      </c>
      <c r="P3803">
        <v>282</v>
      </c>
      <c r="Q3803" t="s">
        <v>7650</v>
      </c>
    </row>
    <row r="3804" spans="1:17" x14ac:dyDescent="0.3">
      <c r="A3804" t="s">
        <v>4446</v>
      </c>
      <c r="B3804" t="str">
        <f>"300003"</f>
        <v>300003</v>
      </c>
      <c r="C3804" t="s">
        <v>7651</v>
      </c>
      <c r="D3804" t="s">
        <v>113</v>
      </c>
      <c r="F3804">
        <v>2079682457</v>
      </c>
      <c r="G3804">
        <v>1534212073</v>
      </c>
      <c r="H3804">
        <v>1434133158</v>
      </c>
      <c r="I3804">
        <v>430898054</v>
      </c>
      <c r="J3804">
        <v>197360501</v>
      </c>
      <c r="K3804">
        <v>578032903</v>
      </c>
      <c r="L3804">
        <v>272497503</v>
      </c>
      <c r="M3804">
        <v>224115553</v>
      </c>
      <c r="N3804">
        <v>232100057</v>
      </c>
      <c r="O3804">
        <v>163784325</v>
      </c>
      <c r="P3804">
        <v>3270</v>
      </c>
      <c r="Q3804" t="s">
        <v>7652</v>
      </c>
    </row>
    <row r="3805" spans="1:17" x14ac:dyDescent="0.3">
      <c r="A3805" t="s">
        <v>4446</v>
      </c>
      <c r="B3805" t="str">
        <f>"300004"</f>
        <v>300004</v>
      </c>
      <c r="C3805" t="s">
        <v>7653</v>
      </c>
      <c r="D3805" t="s">
        <v>78</v>
      </c>
      <c r="F3805">
        <v>13757924</v>
      </c>
      <c r="G3805">
        <v>-230823968</v>
      </c>
      <c r="H3805">
        <v>88257228</v>
      </c>
      <c r="I3805">
        <v>144804881</v>
      </c>
      <c r="J3805">
        <v>-144383954</v>
      </c>
      <c r="K3805">
        <v>37526037</v>
      </c>
      <c r="L3805">
        <v>67659431</v>
      </c>
      <c r="M3805">
        <v>34521627</v>
      </c>
      <c r="N3805">
        <v>-16272055</v>
      </c>
      <c r="O3805">
        <v>-4207622</v>
      </c>
      <c r="P3805">
        <v>84</v>
      </c>
      <c r="Q3805" t="s">
        <v>7654</v>
      </c>
    </row>
    <row r="3806" spans="1:17" x14ac:dyDescent="0.3">
      <c r="A3806" t="s">
        <v>4446</v>
      </c>
      <c r="B3806" t="str">
        <f>"300005"</f>
        <v>300005</v>
      </c>
      <c r="C3806" t="s">
        <v>7655</v>
      </c>
      <c r="D3806" t="s">
        <v>227</v>
      </c>
      <c r="F3806">
        <v>10604377</v>
      </c>
      <c r="G3806">
        <v>-133146978</v>
      </c>
      <c r="H3806">
        <v>83898326</v>
      </c>
      <c r="I3806">
        <v>-176672907</v>
      </c>
      <c r="J3806">
        <v>-177377602</v>
      </c>
      <c r="K3806">
        <v>237022494</v>
      </c>
      <c r="L3806">
        <v>33819599</v>
      </c>
      <c r="M3806">
        <v>283095691</v>
      </c>
      <c r="N3806">
        <v>213371703</v>
      </c>
      <c r="O3806">
        <v>214063894</v>
      </c>
      <c r="P3806">
        <v>181</v>
      </c>
      <c r="Q3806" t="s">
        <v>7656</v>
      </c>
    </row>
    <row r="3807" spans="1:17" x14ac:dyDescent="0.3">
      <c r="A3807" t="s">
        <v>4446</v>
      </c>
      <c r="B3807" t="str">
        <f>"300006"</f>
        <v>300006</v>
      </c>
      <c r="C3807" t="s">
        <v>7657</v>
      </c>
      <c r="D3807" t="s">
        <v>113</v>
      </c>
      <c r="F3807">
        <v>70368495</v>
      </c>
      <c r="G3807">
        <v>180972869</v>
      </c>
      <c r="H3807">
        <v>169824967</v>
      </c>
      <c r="I3807">
        <v>100109365</v>
      </c>
      <c r="J3807">
        <v>49124309</v>
      </c>
      <c r="K3807">
        <v>54509605</v>
      </c>
      <c r="L3807">
        <v>-77888197</v>
      </c>
      <c r="M3807">
        <v>-199900452</v>
      </c>
      <c r="N3807">
        <v>-180694812</v>
      </c>
      <c r="O3807">
        <v>-159149957</v>
      </c>
      <c r="P3807">
        <v>136</v>
      </c>
      <c r="Q3807" t="s">
        <v>7658</v>
      </c>
    </row>
    <row r="3808" spans="1:17" x14ac:dyDescent="0.3">
      <c r="A3808" t="s">
        <v>4446</v>
      </c>
      <c r="B3808" t="str">
        <f>"300007"</f>
        <v>300007</v>
      </c>
      <c r="C3808" t="s">
        <v>7659</v>
      </c>
      <c r="D3808" t="s">
        <v>78</v>
      </c>
      <c r="F3808">
        <v>-29916442</v>
      </c>
      <c r="G3808">
        <v>209650993</v>
      </c>
      <c r="H3808">
        <v>-28902309</v>
      </c>
      <c r="I3808">
        <v>359943350</v>
      </c>
      <c r="J3808">
        <v>-92031485</v>
      </c>
      <c r="K3808">
        <v>-72565432</v>
      </c>
      <c r="L3808">
        <v>5714094</v>
      </c>
      <c r="M3808">
        <v>-17611557</v>
      </c>
      <c r="N3808">
        <v>-31745557</v>
      </c>
      <c r="O3808">
        <v>-74423557</v>
      </c>
      <c r="P3808">
        <v>315</v>
      </c>
      <c r="Q3808" t="s">
        <v>7660</v>
      </c>
    </row>
    <row r="3809" spans="1:17" x14ac:dyDescent="0.3">
      <c r="A3809" t="s">
        <v>4446</v>
      </c>
      <c r="B3809" t="str">
        <f>"300008"</f>
        <v>300008</v>
      </c>
      <c r="C3809" t="s">
        <v>7661</v>
      </c>
      <c r="D3809" t="s">
        <v>92</v>
      </c>
      <c r="F3809">
        <v>-241852445</v>
      </c>
      <c r="G3809">
        <v>-133928895</v>
      </c>
      <c r="H3809">
        <v>24548783</v>
      </c>
      <c r="I3809">
        <v>29450217</v>
      </c>
      <c r="J3809">
        <v>-183242227</v>
      </c>
      <c r="K3809">
        <v>-308567722</v>
      </c>
      <c r="L3809">
        <v>-80227870</v>
      </c>
      <c r="M3809">
        <v>-111522283</v>
      </c>
      <c r="N3809">
        <v>61356209</v>
      </c>
      <c r="O3809">
        <v>-82141378</v>
      </c>
      <c r="P3809">
        <v>107</v>
      </c>
      <c r="Q3809" t="s">
        <v>7662</v>
      </c>
    </row>
    <row r="3810" spans="1:17" x14ac:dyDescent="0.3">
      <c r="A3810" t="s">
        <v>4446</v>
      </c>
      <c r="B3810" t="str">
        <f>"300009"</f>
        <v>300009</v>
      </c>
      <c r="C3810" t="s">
        <v>7663</v>
      </c>
      <c r="D3810" t="s">
        <v>113</v>
      </c>
      <c r="F3810">
        <v>462702612</v>
      </c>
      <c r="G3810">
        <v>326702971</v>
      </c>
      <c r="H3810">
        <v>112396678</v>
      </c>
      <c r="I3810">
        <v>92496927</v>
      </c>
      <c r="J3810">
        <v>148879631</v>
      </c>
      <c r="K3810">
        <v>188997389</v>
      </c>
      <c r="L3810">
        <v>81896182</v>
      </c>
      <c r="M3810">
        <v>20667125</v>
      </c>
      <c r="N3810">
        <v>21635504</v>
      </c>
      <c r="O3810">
        <v>-5606770</v>
      </c>
      <c r="P3810">
        <v>842</v>
      </c>
      <c r="Q3810" t="s">
        <v>7664</v>
      </c>
    </row>
    <row r="3811" spans="1:17" x14ac:dyDescent="0.3">
      <c r="A3811" t="s">
        <v>4446</v>
      </c>
      <c r="B3811" t="str">
        <f>"300010"</f>
        <v>300010</v>
      </c>
      <c r="C3811" t="s">
        <v>7665</v>
      </c>
      <c r="D3811" t="s">
        <v>110</v>
      </c>
      <c r="F3811">
        <v>37238850</v>
      </c>
      <c r="G3811">
        <v>-95412027</v>
      </c>
      <c r="H3811">
        <v>48789574</v>
      </c>
      <c r="I3811">
        <v>-275479189</v>
      </c>
      <c r="J3811">
        <v>-381776960</v>
      </c>
      <c r="K3811">
        <v>139414622</v>
      </c>
      <c r="L3811">
        <v>-42950686</v>
      </c>
      <c r="M3811">
        <v>14717743</v>
      </c>
      <c r="N3811">
        <v>-39710015</v>
      </c>
      <c r="O3811">
        <v>-32262897</v>
      </c>
      <c r="P3811">
        <v>262</v>
      </c>
      <c r="Q3811" t="s">
        <v>7666</v>
      </c>
    </row>
    <row r="3812" spans="1:17" x14ac:dyDescent="0.3">
      <c r="A3812" t="s">
        <v>4446</v>
      </c>
      <c r="B3812" t="str">
        <f>"300011"</f>
        <v>300011</v>
      </c>
      <c r="C3812" t="s">
        <v>7667</v>
      </c>
      <c r="D3812" t="s">
        <v>78</v>
      </c>
      <c r="F3812">
        <v>-61245880</v>
      </c>
      <c r="G3812">
        <v>-23824924</v>
      </c>
      <c r="H3812">
        <v>63297122</v>
      </c>
      <c r="I3812">
        <v>40725837</v>
      </c>
      <c r="J3812">
        <v>16728428</v>
      </c>
      <c r="K3812">
        <v>2437918</v>
      </c>
      <c r="L3812">
        <v>-47557437</v>
      </c>
      <c r="M3812">
        <v>110985746</v>
      </c>
      <c r="N3812">
        <v>-7420405</v>
      </c>
      <c r="O3812">
        <v>-72420942</v>
      </c>
      <c r="P3812">
        <v>109</v>
      </c>
      <c r="Q3812" t="s">
        <v>7668</v>
      </c>
    </row>
    <row r="3813" spans="1:17" x14ac:dyDescent="0.3">
      <c r="A3813" t="s">
        <v>4446</v>
      </c>
      <c r="B3813" t="str">
        <f>"300012"</f>
        <v>300012</v>
      </c>
      <c r="C3813" t="s">
        <v>7669</v>
      </c>
      <c r="D3813" t="s">
        <v>110</v>
      </c>
      <c r="F3813">
        <v>511997419</v>
      </c>
      <c r="G3813">
        <v>385591749</v>
      </c>
      <c r="H3813">
        <v>351019649</v>
      </c>
      <c r="I3813">
        <v>240067418</v>
      </c>
      <c r="J3813">
        <v>-310397022</v>
      </c>
      <c r="K3813">
        <v>-54076861</v>
      </c>
      <c r="L3813">
        <v>-27398023</v>
      </c>
      <c r="M3813">
        <v>-22558815</v>
      </c>
      <c r="N3813">
        <v>58665164</v>
      </c>
      <c r="O3813">
        <v>-14065532</v>
      </c>
      <c r="P3813">
        <v>1304</v>
      </c>
      <c r="Q3813" t="s">
        <v>7670</v>
      </c>
    </row>
    <row r="3814" spans="1:17" x14ac:dyDescent="0.3">
      <c r="A3814" t="s">
        <v>4446</v>
      </c>
      <c r="B3814" t="str">
        <f>"300013"</f>
        <v>300013</v>
      </c>
      <c r="C3814" t="s">
        <v>7671</v>
      </c>
      <c r="D3814" t="s">
        <v>22</v>
      </c>
      <c r="F3814">
        <v>250521468</v>
      </c>
      <c r="G3814">
        <v>-44865815</v>
      </c>
      <c r="H3814">
        <v>-70884809</v>
      </c>
      <c r="I3814">
        <v>-4620457</v>
      </c>
      <c r="J3814">
        <v>-111463079</v>
      </c>
      <c r="K3814">
        <v>-111780757</v>
      </c>
      <c r="L3814">
        <v>-89831859</v>
      </c>
      <c r="M3814">
        <v>-27548605</v>
      </c>
      <c r="N3814">
        <v>-26155231</v>
      </c>
      <c r="O3814">
        <v>-17250633</v>
      </c>
      <c r="P3814">
        <v>70</v>
      </c>
      <c r="Q3814" t="s">
        <v>7672</v>
      </c>
    </row>
    <row r="3815" spans="1:17" x14ac:dyDescent="0.3">
      <c r="A3815" t="s">
        <v>4446</v>
      </c>
      <c r="B3815" t="str">
        <f>"300014"</f>
        <v>300014</v>
      </c>
      <c r="C3815" t="s">
        <v>7673</v>
      </c>
      <c r="D3815" t="s">
        <v>188</v>
      </c>
      <c r="F3815">
        <v>-4405973973</v>
      </c>
      <c r="G3815">
        <v>-477847796</v>
      </c>
      <c r="H3815">
        <v>-1475385387</v>
      </c>
      <c r="I3815">
        <v>-362381070</v>
      </c>
      <c r="J3815">
        <v>-1301080697</v>
      </c>
      <c r="K3815">
        <v>-847262545</v>
      </c>
      <c r="L3815">
        <v>-258190412</v>
      </c>
      <c r="M3815">
        <v>-36578551</v>
      </c>
      <c r="N3815">
        <v>117709569</v>
      </c>
      <c r="O3815">
        <v>-38285345</v>
      </c>
      <c r="P3815">
        <v>2494</v>
      </c>
      <c r="Q3815" t="s">
        <v>7674</v>
      </c>
    </row>
    <row r="3816" spans="1:17" x14ac:dyDescent="0.3">
      <c r="A3816" t="s">
        <v>4446</v>
      </c>
      <c r="B3816" t="str">
        <f>"300015"</f>
        <v>300015</v>
      </c>
      <c r="C3816" t="s">
        <v>7675</v>
      </c>
      <c r="D3816" t="s">
        <v>113</v>
      </c>
      <c r="F3816">
        <v>2596381395</v>
      </c>
      <c r="G3816">
        <v>2455346712</v>
      </c>
      <c r="H3816">
        <v>1338748513</v>
      </c>
      <c r="I3816">
        <v>591253423</v>
      </c>
      <c r="J3816">
        <v>727446958</v>
      </c>
      <c r="K3816">
        <v>361087101</v>
      </c>
      <c r="L3816">
        <v>261461801</v>
      </c>
      <c r="M3816">
        <v>277111558</v>
      </c>
      <c r="N3816">
        <v>218001837</v>
      </c>
      <c r="O3816">
        <v>75859721</v>
      </c>
      <c r="P3816">
        <v>11105</v>
      </c>
      <c r="Q3816" t="s">
        <v>7676</v>
      </c>
    </row>
    <row r="3817" spans="1:17" x14ac:dyDescent="0.3">
      <c r="A3817" t="s">
        <v>4446</v>
      </c>
      <c r="B3817" t="str">
        <f>"300016"</f>
        <v>300016</v>
      </c>
      <c r="C3817" t="s">
        <v>7677</v>
      </c>
      <c r="D3817" t="s">
        <v>113</v>
      </c>
      <c r="F3817">
        <v>-38860269</v>
      </c>
      <c r="G3817">
        <v>4256079</v>
      </c>
      <c r="H3817">
        <v>121971357</v>
      </c>
      <c r="I3817">
        <v>121779625</v>
      </c>
      <c r="J3817">
        <v>89950582</v>
      </c>
      <c r="K3817">
        <v>32497240</v>
      </c>
      <c r="L3817">
        <v>11745249</v>
      </c>
      <c r="M3817">
        <v>-878114</v>
      </c>
      <c r="N3817">
        <v>5889497</v>
      </c>
      <c r="O3817">
        <v>-40361937</v>
      </c>
      <c r="P3817">
        <v>305</v>
      </c>
      <c r="Q3817" t="s">
        <v>7678</v>
      </c>
    </row>
    <row r="3818" spans="1:17" x14ac:dyDescent="0.3">
      <c r="A3818" t="s">
        <v>4446</v>
      </c>
      <c r="B3818" t="str">
        <f>"300017"</f>
        <v>300017</v>
      </c>
      <c r="C3818" t="s">
        <v>7679</v>
      </c>
      <c r="D3818" t="s">
        <v>212</v>
      </c>
      <c r="F3818">
        <v>626189978</v>
      </c>
      <c r="G3818">
        <v>443425669</v>
      </c>
      <c r="H3818">
        <v>-151752699</v>
      </c>
      <c r="I3818">
        <v>-693538014</v>
      </c>
      <c r="J3818">
        <v>-340154755</v>
      </c>
      <c r="K3818">
        <v>43746241</v>
      </c>
      <c r="L3818">
        <v>338172156</v>
      </c>
      <c r="M3818">
        <v>375215907</v>
      </c>
      <c r="N3818">
        <v>129842354</v>
      </c>
      <c r="O3818">
        <v>126409662</v>
      </c>
      <c r="P3818">
        <v>759</v>
      </c>
      <c r="Q3818" t="s">
        <v>7680</v>
      </c>
    </row>
    <row r="3819" spans="1:17" x14ac:dyDescent="0.3">
      <c r="A3819" t="s">
        <v>4446</v>
      </c>
      <c r="B3819" t="str">
        <f>"300018"</f>
        <v>300018</v>
      </c>
      <c r="C3819" t="s">
        <v>7681</v>
      </c>
      <c r="D3819" t="s">
        <v>188</v>
      </c>
      <c r="F3819">
        <v>23913394</v>
      </c>
      <c r="G3819">
        <v>27730254</v>
      </c>
      <c r="H3819">
        <v>78214983</v>
      </c>
      <c r="I3819">
        <v>24383018</v>
      </c>
      <c r="J3819">
        <v>125218341</v>
      </c>
      <c r="K3819">
        <v>107137358</v>
      </c>
      <c r="L3819">
        <v>80693243</v>
      </c>
      <c r="M3819">
        <v>17203961</v>
      </c>
      <c r="N3819">
        <v>37636689</v>
      </c>
      <c r="O3819">
        <v>5158664</v>
      </c>
      <c r="P3819">
        <v>127</v>
      </c>
      <c r="Q3819" t="s">
        <v>7682</v>
      </c>
    </row>
    <row r="3820" spans="1:17" x14ac:dyDescent="0.3">
      <c r="A3820" t="s">
        <v>4446</v>
      </c>
      <c r="B3820" t="str">
        <f>"300019"</f>
        <v>300019</v>
      </c>
      <c r="C3820" t="s">
        <v>7683</v>
      </c>
      <c r="D3820" t="s">
        <v>133</v>
      </c>
      <c r="F3820">
        <v>88252725</v>
      </c>
      <c r="G3820">
        <v>151006390</v>
      </c>
      <c r="H3820">
        <v>60397044</v>
      </c>
      <c r="I3820">
        <v>52360696</v>
      </c>
      <c r="J3820">
        <v>62766929</v>
      </c>
      <c r="K3820">
        <v>27140397</v>
      </c>
      <c r="L3820">
        <v>13232289</v>
      </c>
      <c r="M3820">
        <v>-64991221</v>
      </c>
      <c r="N3820">
        <v>1498249</v>
      </c>
      <c r="O3820">
        <v>-10026643</v>
      </c>
      <c r="P3820">
        <v>296</v>
      </c>
      <c r="Q3820" t="s">
        <v>7684</v>
      </c>
    </row>
    <row r="3821" spans="1:17" x14ac:dyDescent="0.3">
      <c r="A3821" t="s">
        <v>4446</v>
      </c>
      <c r="B3821" t="str">
        <f>"300020"</f>
        <v>300020</v>
      </c>
      <c r="C3821" t="s">
        <v>7685</v>
      </c>
      <c r="D3821" t="s">
        <v>212</v>
      </c>
      <c r="F3821">
        <v>-426198477</v>
      </c>
      <c r="G3821">
        <v>-166522143</v>
      </c>
      <c r="H3821">
        <v>-570898774</v>
      </c>
      <c r="I3821">
        <v>-389703245</v>
      </c>
      <c r="J3821">
        <v>-244215720</v>
      </c>
      <c r="K3821">
        <v>-274738113</v>
      </c>
      <c r="L3821">
        <v>18302530</v>
      </c>
      <c r="M3821">
        <v>-292161391</v>
      </c>
      <c r="N3821">
        <v>-69689410</v>
      </c>
      <c r="O3821">
        <v>13925360</v>
      </c>
      <c r="P3821">
        <v>237</v>
      </c>
      <c r="Q3821" t="s">
        <v>7686</v>
      </c>
    </row>
    <row r="3822" spans="1:17" x14ac:dyDescent="0.3">
      <c r="A3822" t="s">
        <v>4446</v>
      </c>
      <c r="B3822" t="str">
        <f>"300021"</f>
        <v>300021</v>
      </c>
      <c r="C3822" t="s">
        <v>7687</v>
      </c>
      <c r="D3822" t="s">
        <v>205</v>
      </c>
      <c r="F3822">
        <v>12289423</v>
      </c>
      <c r="G3822">
        <v>-444908079</v>
      </c>
      <c r="H3822">
        <v>-343508291</v>
      </c>
      <c r="I3822">
        <v>595612164</v>
      </c>
      <c r="J3822">
        <v>-217990239</v>
      </c>
      <c r="K3822">
        <v>-185453374</v>
      </c>
      <c r="L3822">
        <v>157927211</v>
      </c>
      <c r="M3822">
        <v>-12469581</v>
      </c>
      <c r="N3822">
        <v>14817020</v>
      </c>
      <c r="O3822">
        <v>-89458326</v>
      </c>
      <c r="P3822">
        <v>174</v>
      </c>
      <c r="Q3822" t="s">
        <v>7688</v>
      </c>
    </row>
    <row r="3823" spans="1:17" x14ac:dyDescent="0.3">
      <c r="A3823" t="s">
        <v>4446</v>
      </c>
      <c r="B3823" t="str">
        <f>"300022"</f>
        <v>300022</v>
      </c>
      <c r="C3823" t="s">
        <v>7689</v>
      </c>
      <c r="D3823" t="s">
        <v>120</v>
      </c>
      <c r="F3823">
        <v>66961884</v>
      </c>
      <c r="G3823">
        <v>86386889</v>
      </c>
      <c r="H3823">
        <v>-121912573</v>
      </c>
      <c r="I3823">
        <v>13298825</v>
      </c>
      <c r="J3823">
        <v>123186384</v>
      </c>
      <c r="K3823">
        <v>138794018</v>
      </c>
      <c r="L3823">
        <v>-23468792</v>
      </c>
      <c r="M3823">
        <v>-114475207</v>
      </c>
      <c r="N3823">
        <v>-163752859</v>
      </c>
      <c r="O3823">
        <v>86439303</v>
      </c>
      <c r="P3823">
        <v>63</v>
      </c>
      <c r="Q3823" t="s">
        <v>7690</v>
      </c>
    </row>
    <row r="3824" spans="1:17" x14ac:dyDescent="0.3">
      <c r="A3824" t="s">
        <v>4446</v>
      </c>
      <c r="B3824" t="str">
        <f>"300023"</f>
        <v>300023</v>
      </c>
      <c r="C3824" t="s">
        <v>7691</v>
      </c>
      <c r="D3824" t="s">
        <v>75</v>
      </c>
      <c r="F3824">
        <v>238823910</v>
      </c>
      <c r="G3824">
        <v>-15046067</v>
      </c>
      <c r="H3824">
        <v>494204347</v>
      </c>
      <c r="I3824">
        <v>948025248</v>
      </c>
      <c r="J3824">
        <v>-331194025</v>
      </c>
      <c r="K3824">
        <v>-1768909490</v>
      </c>
      <c r="L3824">
        <v>-1630005821</v>
      </c>
      <c r="M3824">
        <v>-5106545</v>
      </c>
      <c r="N3824">
        <v>-52203438</v>
      </c>
      <c r="O3824">
        <v>-61265411</v>
      </c>
      <c r="P3824">
        <v>61</v>
      </c>
      <c r="Q3824" t="s">
        <v>7692</v>
      </c>
    </row>
    <row r="3825" spans="1:17" x14ac:dyDescent="0.3">
      <c r="A3825" t="s">
        <v>4446</v>
      </c>
      <c r="B3825" t="str">
        <f>"300024"</f>
        <v>300024</v>
      </c>
      <c r="C3825" t="s">
        <v>7693</v>
      </c>
      <c r="D3825" t="s">
        <v>78</v>
      </c>
      <c r="F3825">
        <v>-32672454</v>
      </c>
      <c r="G3825">
        <v>162874683</v>
      </c>
      <c r="H3825">
        <v>-103659896</v>
      </c>
      <c r="I3825">
        <v>-168899597</v>
      </c>
      <c r="J3825">
        <v>-816521843</v>
      </c>
      <c r="K3825">
        <v>-316185578</v>
      </c>
      <c r="L3825">
        <v>-377487793</v>
      </c>
      <c r="M3825">
        <v>-101293842</v>
      </c>
      <c r="N3825">
        <v>-182831873</v>
      </c>
      <c r="O3825">
        <v>-72787074</v>
      </c>
      <c r="P3825">
        <v>547</v>
      </c>
      <c r="Q3825" t="s">
        <v>7694</v>
      </c>
    </row>
    <row r="3826" spans="1:17" x14ac:dyDescent="0.3">
      <c r="A3826" t="s">
        <v>4446</v>
      </c>
      <c r="B3826" t="str">
        <f>"300025"</f>
        <v>300025</v>
      </c>
      <c r="C3826" t="s">
        <v>7695</v>
      </c>
      <c r="D3826" t="s">
        <v>100</v>
      </c>
      <c r="F3826">
        <v>42121128</v>
      </c>
      <c r="G3826">
        <v>-8337769</v>
      </c>
      <c r="H3826">
        <v>126267903</v>
      </c>
      <c r="I3826">
        <v>154940062</v>
      </c>
      <c r="J3826">
        <v>-21400294</v>
      </c>
      <c r="K3826">
        <v>-21404719</v>
      </c>
      <c r="L3826">
        <v>-17589017</v>
      </c>
      <c r="M3826">
        <v>-118877760</v>
      </c>
      <c r="N3826">
        <v>-46316805</v>
      </c>
      <c r="O3826">
        <v>-25674173</v>
      </c>
      <c r="P3826">
        <v>223</v>
      </c>
      <c r="Q3826" t="s">
        <v>7696</v>
      </c>
    </row>
    <row r="3827" spans="1:17" x14ac:dyDescent="0.3">
      <c r="A3827" t="s">
        <v>4446</v>
      </c>
      <c r="B3827" t="str">
        <f>"300026"</f>
        <v>300026</v>
      </c>
      <c r="C3827" t="s">
        <v>7697</v>
      </c>
      <c r="D3827" t="s">
        <v>113</v>
      </c>
      <c r="F3827">
        <v>-283058422</v>
      </c>
      <c r="G3827">
        <v>-365716822</v>
      </c>
      <c r="H3827">
        <v>-374472009</v>
      </c>
      <c r="I3827">
        <v>93646893</v>
      </c>
      <c r="J3827">
        <v>359084625</v>
      </c>
      <c r="K3827">
        <v>32712530</v>
      </c>
      <c r="L3827">
        <v>-102058729</v>
      </c>
      <c r="M3827">
        <v>-28366097</v>
      </c>
      <c r="N3827">
        <v>37502184</v>
      </c>
      <c r="O3827">
        <v>-68601758</v>
      </c>
      <c r="P3827">
        <v>418</v>
      </c>
      <c r="Q3827" t="s">
        <v>7698</v>
      </c>
    </row>
    <row r="3828" spans="1:17" x14ac:dyDescent="0.3">
      <c r="A3828" t="s">
        <v>4446</v>
      </c>
      <c r="B3828" t="str">
        <f>"300027"</f>
        <v>300027</v>
      </c>
      <c r="C3828" t="s">
        <v>7699</v>
      </c>
      <c r="D3828" t="s">
        <v>89</v>
      </c>
      <c r="F3828">
        <v>188672342</v>
      </c>
      <c r="G3828">
        <v>228926714</v>
      </c>
      <c r="H3828">
        <v>-65223191</v>
      </c>
      <c r="I3828">
        <v>427657027</v>
      </c>
      <c r="J3828">
        <v>-344529822</v>
      </c>
      <c r="K3828">
        <v>494114184</v>
      </c>
      <c r="L3828">
        <v>422375858</v>
      </c>
      <c r="M3828">
        <v>-91516171</v>
      </c>
      <c r="N3828">
        <v>413084459</v>
      </c>
      <c r="O3828">
        <v>-390182566</v>
      </c>
      <c r="P3828">
        <v>475</v>
      </c>
      <c r="Q3828" t="s">
        <v>7700</v>
      </c>
    </row>
    <row r="3829" spans="1:17" x14ac:dyDescent="0.3">
      <c r="A3829" t="s">
        <v>4446</v>
      </c>
      <c r="B3829" t="str">
        <f>"300028"</f>
        <v>300028</v>
      </c>
      <c r="C3829" t="s">
        <v>7701</v>
      </c>
      <c r="H3829">
        <v>966165</v>
      </c>
      <c r="I3829">
        <v>-8275128</v>
      </c>
      <c r="J3829">
        <v>11827192</v>
      </c>
      <c r="K3829">
        <v>9957706</v>
      </c>
      <c r="L3829">
        <v>148446181</v>
      </c>
      <c r="M3829">
        <v>-142589820</v>
      </c>
      <c r="N3829">
        <v>-105393384</v>
      </c>
      <c r="O3829">
        <v>-21751749</v>
      </c>
      <c r="P3829">
        <v>31</v>
      </c>
      <c r="Q3829" t="s">
        <v>7702</v>
      </c>
    </row>
    <row r="3830" spans="1:17" x14ac:dyDescent="0.3">
      <c r="A3830" t="s">
        <v>4446</v>
      </c>
      <c r="B3830" t="str">
        <f>"300029"</f>
        <v>300029</v>
      </c>
      <c r="C3830" t="s">
        <v>7703</v>
      </c>
      <c r="D3830" t="s">
        <v>188</v>
      </c>
      <c r="F3830">
        <v>-5017032</v>
      </c>
      <c r="G3830">
        <v>-21877305</v>
      </c>
      <c r="H3830">
        <v>-2147482</v>
      </c>
      <c r="I3830">
        <v>-25912285</v>
      </c>
      <c r="J3830">
        <v>8703296</v>
      </c>
      <c r="K3830">
        <v>23152640</v>
      </c>
      <c r="L3830">
        <v>-11548866</v>
      </c>
      <c r="M3830">
        <v>79620525</v>
      </c>
      <c r="N3830">
        <v>-133035584</v>
      </c>
      <c r="O3830">
        <v>-225688844</v>
      </c>
      <c r="P3830">
        <v>66</v>
      </c>
      <c r="Q3830" t="s">
        <v>7704</v>
      </c>
    </row>
    <row r="3831" spans="1:17" x14ac:dyDescent="0.3">
      <c r="A3831" t="s">
        <v>4446</v>
      </c>
      <c r="B3831" t="str">
        <f>"300030"</f>
        <v>300030</v>
      </c>
      <c r="C3831" t="s">
        <v>7705</v>
      </c>
      <c r="D3831" t="s">
        <v>113</v>
      </c>
      <c r="F3831">
        <v>100813572</v>
      </c>
      <c r="G3831">
        <v>84539186</v>
      </c>
      <c r="H3831">
        <v>-5020435</v>
      </c>
      <c r="I3831">
        <v>9749486</v>
      </c>
      <c r="J3831">
        <v>47237261</v>
      </c>
      <c r="K3831">
        <v>-3206385</v>
      </c>
      <c r="L3831">
        <v>-103227146</v>
      </c>
      <c r="M3831">
        <v>-190064646</v>
      </c>
      <c r="N3831">
        <v>-17827574</v>
      </c>
      <c r="O3831">
        <v>-17391738</v>
      </c>
      <c r="P3831">
        <v>182</v>
      </c>
      <c r="Q3831" t="s">
        <v>7706</v>
      </c>
    </row>
    <row r="3832" spans="1:17" x14ac:dyDescent="0.3">
      <c r="A3832" t="s">
        <v>4446</v>
      </c>
      <c r="B3832" t="str">
        <f>"300031"</f>
        <v>300031</v>
      </c>
      <c r="C3832" t="s">
        <v>7707</v>
      </c>
      <c r="D3832" t="s">
        <v>89</v>
      </c>
      <c r="F3832">
        <v>-123827442</v>
      </c>
      <c r="G3832">
        <v>-986093</v>
      </c>
      <c r="H3832">
        <v>258246815</v>
      </c>
      <c r="I3832">
        <v>165983784</v>
      </c>
      <c r="J3832">
        <v>294545484</v>
      </c>
      <c r="K3832">
        <v>113434160</v>
      </c>
      <c r="L3832">
        <v>24472483</v>
      </c>
      <c r="M3832">
        <v>50132429</v>
      </c>
      <c r="N3832">
        <v>38976982</v>
      </c>
      <c r="O3832">
        <v>-28383012</v>
      </c>
      <c r="P3832">
        <v>259</v>
      </c>
      <c r="Q3832" t="s">
        <v>7708</v>
      </c>
    </row>
    <row r="3833" spans="1:17" x14ac:dyDescent="0.3">
      <c r="A3833" t="s">
        <v>4446</v>
      </c>
      <c r="B3833" t="str">
        <f>"300032"</f>
        <v>300032</v>
      </c>
      <c r="C3833" t="s">
        <v>7709</v>
      </c>
      <c r="D3833" t="s">
        <v>150</v>
      </c>
      <c r="F3833">
        <v>-140647992</v>
      </c>
      <c r="G3833">
        <v>-27300301</v>
      </c>
      <c r="H3833">
        <v>79415068</v>
      </c>
      <c r="I3833">
        <v>202075988</v>
      </c>
      <c r="J3833">
        <v>-557755119</v>
      </c>
      <c r="K3833">
        <v>-117866614</v>
      </c>
      <c r="L3833">
        <v>-77122524</v>
      </c>
      <c r="M3833">
        <v>-57998686</v>
      </c>
      <c r="N3833">
        <v>-297494943</v>
      </c>
      <c r="O3833">
        <v>-398669996</v>
      </c>
      <c r="P3833">
        <v>152</v>
      </c>
      <c r="Q3833" t="s">
        <v>7710</v>
      </c>
    </row>
    <row r="3834" spans="1:17" x14ac:dyDescent="0.3">
      <c r="A3834" t="s">
        <v>4446</v>
      </c>
      <c r="B3834" t="str">
        <f>"300033"</f>
        <v>300033</v>
      </c>
      <c r="C3834" t="s">
        <v>7711</v>
      </c>
      <c r="D3834" t="s">
        <v>212</v>
      </c>
      <c r="F3834">
        <v>1891508557</v>
      </c>
      <c r="G3834">
        <v>1695937064</v>
      </c>
      <c r="H3834">
        <v>1089738085</v>
      </c>
      <c r="I3834">
        <v>422951931</v>
      </c>
      <c r="J3834">
        <v>551375963</v>
      </c>
      <c r="K3834">
        <v>739382780</v>
      </c>
      <c r="L3834">
        <v>1508372122</v>
      </c>
      <c r="M3834">
        <v>148001954</v>
      </c>
      <c r="N3834">
        <v>23332551</v>
      </c>
      <c r="O3834">
        <v>-28024068</v>
      </c>
      <c r="P3834">
        <v>2725</v>
      </c>
      <c r="Q3834" t="s">
        <v>7712</v>
      </c>
    </row>
    <row r="3835" spans="1:17" x14ac:dyDescent="0.3">
      <c r="A3835" t="s">
        <v>4446</v>
      </c>
      <c r="B3835" t="str">
        <f>"300034"</f>
        <v>300034</v>
      </c>
      <c r="C3835" t="s">
        <v>7713</v>
      </c>
      <c r="D3835" t="s">
        <v>92</v>
      </c>
      <c r="F3835">
        <v>-236470154</v>
      </c>
      <c r="G3835">
        <v>81820532</v>
      </c>
      <c r="H3835">
        <v>67255278</v>
      </c>
      <c r="I3835">
        <v>38826550</v>
      </c>
      <c r="J3835">
        <v>18449364</v>
      </c>
      <c r="K3835">
        <v>-41339470</v>
      </c>
      <c r="L3835">
        <v>-100772607</v>
      </c>
      <c r="M3835">
        <v>-122829483</v>
      </c>
      <c r="N3835">
        <v>-132940099</v>
      </c>
      <c r="O3835">
        <v>-56706928</v>
      </c>
      <c r="P3835">
        <v>283</v>
      </c>
      <c r="Q3835" t="s">
        <v>7714</v>
      </c>
    </row>
    <row r="3836" spans="1:17" x14ac:dyDescent="0.3">
      <c r="A3836" t="s">
        <v>4446</v>
      </c>
      <c r="B3836" t="str">
        <f>"300035"</f>
        <v>300035</v>
      </c>
      <c r="C3836" t="s">
        <v>7715</v>
      </c>
      <c r="D3836" t="s">
        <v>188</v>
      </c>
      <c r="F3836">
        <v>-1384152497</v>
      </c>
      <c r="G3836">
        <v>6256488</v>
      </c>
      <c r="H3836">
        <v>-110450533</v>
      </c>
      <c r="I3836">
        <v>-223883974</v>
      </c>
      <c r="J3836">
        <v>-6560047</v>
      </c>
      <c r="K3836">
        <v>50141922</v>
      </c>
      <c r="L3836">
        <v>21546407</v>
      </c>
      <c r="M3836">
        <v>-3552033</v>
      </c>
      <c r="N3836">
        <v>8102719</v>
      </c>
      <c r="O3836">
        <v>-42093750</v>
      </c>
      <c r="P3836">
        <v>273</v>
      </c>
      <c r="Q3836" t="s">
        <v>7716</v>
      </c>
    </row>
    <row r="3837" spans="1:17" x14ac:dyDescent="0.3">
      <c r="A3837" t="s">
        <v>4446</v>
      </c>
      <c r="B3837" t="str">
        <f>"300036"</f>
        <v>300036</v>
      </c>
      <c r="C3837" t="s">
        <v>7717</v>
      </c>
      <c r="D3837" t="s">
        <v>212</v>
      </c>
      <c r="F3837">
        <v>123709158</v>
      </c>
      <c r="G3837">
        <v>155391049</v>
      </c>
      <c r="H3837">
        <v>175633210</v>
      </c>
      <c r="I3837">
        <v>121583718</v>
      </c>
      <c r="J3837">
        <v>237548264</v>
      </c>
      <c r="K3837">
        <v>167511785</v>
      </c>
      <c r="L3837">
        <v>97801261</v>
      </c>
      <c r="M3837">
        <v>34299637</v>
      </c>
      <c r="N3837">
        <v>27412588</v>
      </c>
      <c r="O3837">
        <v>-180179663</v>
      </c>
      <c r="P3837">
        <v>546</v>
      </c>
      <c r="Q3837" t="s">
        <v>7718</v>
      </c>
    </row>
    <row r="3838" spans="1:17" x14ac:dyDescent="0.3">
      <c r="A3838" t="s">
        <v>4446</v>
      </c>
      <c r="B3838" t="str">
        <f>"300037"</f>
        <v>300037</v>
      </c>
      <c r="C3838" t="s">
        <v>7719</v>
      </c>
      <c r="D3838" t="s">
        <v>188</v>
      </c>
      <c r="F3838">
        <v>-147975186</v>
      </c>
      <c r="G3838">
        <v>518136697</v>
      </c>
      <c r="H3838">
        <v>104849883</v>
      </c>
      <c r="I3838">
        <v>-23423243</v>
      </c>
      <c r="J3838">
        <v>-84260183</v>
      </c>
      <c r="K3838">
        <v>32162381</v>
      </c>
      <c r="L3838">
        <v>-40965900</v>
      </c>
      <c r="M3838">
        <v>65457844</v>
      </c>
      <c r="N3838">
        <v>-34123307</v>
      </c>
      <c r="O3838">
        <v>62674229</v>
      </c>
      <c r="P3838">
        <v>830</v>
      </c>
      <c r="Q3838" t="s">
        <v>7720</v>
      </c>
    </row>
    <row r="3839" spans="1:17" x14ac:dyDescent="0.3">
      <c r="A3839" t="s">
        <v>4446</v>
      </c>
      <c r="B3839" t="str">
        <f>"300038"</f>
        <v>300038</v>
      </c>
      <c r="C3839" t="s">
        <v>7721</v>
      </c>
      <c r="D3839" t="s">
        <v>89</v>
      </c>
      <c r="F3839">
        <v>31723745</v>
      </c>
      <c r="G3839">
        <v>-793015887</v>
      </c>
      <c r="H3839">
        <v>-235515365</v>
      </c>
      <c r="I3839">
        <v>-147398998</v>
      </c>
      <c r="J3839">
        <v>-91298317</v>
      </c>
      <c r="K3839">
        <v>6599770</v>
      </c>
      <c r="L3839">
        <v>-29275887</v>
      </c>
      <c r="M3839">
        <v>-186224032</v>
      </c>
      <c r="N3839">
        <v>-143442159</v>
      </c>
      <c r="O3839">
        <v>-128659202</v>
      </c>
      <c r="P3839">
        <v>263</v>
      </c>
      <c r="Q3839" t="s">
        <v>7722</v>
      </c>
    </row>
    <row r="3840" spans="1:17" x14ac:dyDescent="0.3">
      <c r="A3840" t="s">
        <v>4446</v>
      </c>
      <c r="B3840" t="str">
        <f>"300039"</f>
        <v>300039</v>
      </c>
      <c r="C3840" t="s">
        <v>7723</v>
      </c>
      <c r="D3840" t="s">
        <v>113</v>
      </c>
      <c r="F3840">
        <v>83683816</v>
      </c>
      <c r="G3840">
        <v>236822909</v>
      </c>
      <c r="H3840">
        <v>318704466</v>
      </c>
      <c r="I3840">
        <v>236290270</v>
      </c>
      <c r="J3840">
        <v>196523420</v>
      </c>
      <c r="K3840">
        <v>287893012</v>
      </c>
      <c r="L3840">
        <v>276751101</v>
      </c>
      <c r="M3840">
        <v>213638377</v>
      </c>
      <c r="N3840">
        <v>151951462</v>
      </c>
      <c r="O3840">
        <v>191175411</v>
      </c>
      <c r="P3840">
        <v>223</v>
      </c>
      <c r="Q3840" t="s">
        <v>7724</v>
      </c>
    </row>
    <row r="3841" spans="1:17" x14ac:dyDescent="0.3">
      <c r="A3841" t="s">
        <v>4446</v>
      </c>
      <c r="B3841" t="str">
        <f>"300040"</f>
        <v>300040</v>
      </c>
      <c r="C3841" t="s">
        <v>7725</v>
      </c>
      <c r="D3841" t="s">
        <v>188</v>
      </c>
      <c r="F3841">
        <v>-599428930</v>
      </c>
      <c r="G3841">
        <v>-329966945</v>
      </c>
      <c r="H3841">
        <v>-145130273</v>
      </c>
      <c r="I3841">
        <v>483645803</v>
      </c>
      <c r="J3841">
        <v>-341402860</v>
      </c>
      <c r="K3841">
        <v>64744653</v>
      </c>
      <c r="L3841">
        <v>-178054575</v>
      </c>
      <c r="M3841">
        <v>4594718</v>
      </c>
      <c r="N3841">
        <v>-129456843</v>
      </c>
      <c r="O3841">
        <v>462454603</v>
      </c>
      <c r="P3841">
        <v>215</v>
      </c>
      <c r="Q3841" t="s">
        <v>7726</v>
      </c>
    </row>
    <row r="3842" spans="1:17" x14ac:dyDescent="0.3">
      <c r="A3842" t="s">
        <v>4446</v>
      </c>
      <c r="B3842" t="str">
        <f>"300041"</f>
        <v>300041</v>
      </c>
      <c r="C3842" t="s">
        <v>7727</v>
      </c>
      <c r="D3842" t="s">
        <v>133</v>
      </c>
      <c r="F3842">
        <v>-238834599</v>
      </c>
      <c r="G3842">
        <v>35510695</v>
      </c>
      <c r="H3842">
        <v>137100031</v>
      </c>
      <c r="I3842">
        <v>-40653764</v>
      </c>
      <c r="J3842">
        <v>36484011</v>
      </c>
      <c r="K3842">
        <v>77229799</v>
      </c>
      <c r="L3842">
        <v>-175758953</v>
      </c>
      <c r="M3842">
        <v>-108952232</v>
      </c>
      <c r="N3842">
        <v>-76947634</v>
      </c>
      <c r="O3842">
        <v>-108885002</v>
      </c>
      <c r="P3842">
        <v>253</v>
      </c>
      <c r="Q3842" t="s">
        <v>7728</v>
      </c>
    </row>
    <row r="3843" spans="1:17" x14ac:dyDescent="0.3">
      <c r="A3843" t="s">
        <v>4446</v>
      </c>
      <c r="B3843" t="str">
        <f>"300042"</f>
        <v>300042</v>
      </c>
      <c r="C3843" t="s">
        <v>7729</v>
      </c>
      <c r="D3843" t="s">
        <v>212</v>
      </c>
      <c r="F3843">
        <v>58035966</v>
      </c>
      <c r="G3843">
        <v>16230120</v>
      </c>
      <c r="H3843">
        <v>-114581822</v>
      </c>
      <c r="I3843">
        <v>58683259</v>
      </c>
      <c r="J3843">
        <v>19013877</v>
      </c>
      <c r="K3843">
        <v>19439675</v>
      </c>
      <c r="L3843">
        <v>43818228</v>
      </c>
      <c r="M3843">
        <v>-9275058</v>
      </c>
      <c r="N3843">
        <v>-16716733</v>
      </c>
      <c r="O3843">
        <v>-117179752</v>
      </c>
      <c r="P3843">
        <v>116</v>
      </c>
      <c r="Q3843" t="s">
        <v>7730</v>
      </c>
    </row>
    <row r="3844" spans="1:17" x14ac:dyDescent="0.3">
      <c r="A3844" t="s">
        <v>4446</v>
      </c>
      <c r="B3844" t="str">
        <f>"300043"</f>
        <v>300043</v>
      </c>
      <c r="C3844" t="s">
        <v>7731</v>
      </c>
      <c r="D3844" t="s">
        <v>89</v>
      </c>
      <c r="F3844">
        <v>-271239840</v>
      </c>
      <c r="G3844">
        <v>236667596</v>
      </c>
      <c r="H3844">
        <v>543228904</v>
      </c>
      <c r="I3844">
        <v>306818334</v>
      </c>
      <c r="J3844">
        <v>-768948887</v>
      </c>
      <c r="K3844">
        <v>-146220686</v>
      </c>
      <c r="L3844">
        <v>11454120</v>
      </c>
      <c r="M3844">
        <v>215555433</v>
      </c>
      <c r="N3844">
        <v>-71474459</v>
      </c>
      <c r="O3844">
        <v>5063928</v>
      </c>
      <c r="P3844">
        <v>183</v>
      </c>
      <c r="Q3844" t="s">
        <v>7732</v>
      </c>
    </row>
    <row r="3845" spans="1:17" x14ac:dyDescent="0.3">
      <c r="A3845" t="s">
        <v>4446</v>
      </c>
      <c r="B3845" t="str">
        <f>"300044"</f>
        <v>300044</v>
      </c>
      <c r="C3845" t="s">
        <v>7733</v>
      </c>
      <c r="D3845" t="s">
        <v>212</v>
      </c>
      <c r="F3845">
        <v>356304165</v>
      </c>
      <c r="G3845">
        <v>-300853298</v>
      </c>
      <c r="H3845">
        <v>-132861969</v>
      </c>
      <c r="I3845">
        <v>-368475366</v>
      </c>
      <c r="J3845">
        <v>-470877725</v>
      </c>
      <c r="K3845">
        <v>-344823750</v>
      </c>
      <c r="L3845">
        <v>90631083</v>
      </c>
      <c r="M3845">
        <v>-77318041</v>
      </c>
      <c r="N3845">
        <v>-56066321</v>
      </c>
      <c r="O3845">
        <v>42078492</v>
      </c>
      <c r="P3845">
        <v>289</v>
      </c>
      <c r="Q3845" t="s">
        <v>7734</v>
      </c>
    </row>
    <row r="3846" spans="1:17" x14ac:dyDescent="0.3">
      <c r="A3846" t="s">
        <v>4446</v>
      </c>
      <c r="B3846" t="str">
        <f>"300045"</f>
        <v>300045</v>
      </c>
      <c r="C3846" t="s">
        <v>7735</v>
      </c>
      <c r="D3846" t="s">
        <v>92</v>
      </c>
      <c r="F3846">
        <v>-21279898</v>
      </c>
      <c r="G3846">
        <v>14538650</v>
      </c>
      <c r="H3846">
        <v>-114387691</v>
      </c>
      <c r="I3846">
        <v>-87642036</v>
      </c>
      <c r="J3846">
        <v>-112684465</v>
      </c>
      <c r="K3846">
        <v>-56157884</v>
      </c>
      <c r="L3846">
        <v>-77444792</v>
      </c>
      <c r="M3846">
        <v>-24871485</v>
      </c>
      <c r="N3846">
        <v>-71255749</v>
      </c>
      <c r="O3846">
        <v>-74008996</v>
      </c>
      <c r="P3846">
        <v>158</v>
      </c>
      <c r="Q3846" t="s">
        <v>7736</v>
      </c>
    </row>
    <row r="3847" spans="1:17" x14ac:dyDescent="0.3">
      <c r="A3847" t="s">
        <v>4446</v>
      </c>
      <c r="B3847" t="str">
        <f>"300046"</f>
        <v>300046</v>
      </c>
      <c r="C3847" t="s">
        <v>7737</v>
      </c>
      <c r="D3847" t="s">
        <v>150</v>
      </c>
      <c r="F3847">
        <v>12705783</v>
      </c>
      <c r="G3847">
        <v>62550327</v>
      </c>
      <c r="H3847">
        <v>11005152</v>
      </c>
      <c r="I3847">
        <v>-9828826</v>
      </c>
      <c r="J3847">
        <v>73046360</v>
      </c>
      <c r="K3847">
        <v>58032922</v>
      </c>
      <c r="L3847">
        <v>9943077</v>
      </c>
      <c r="M3847">
        <v>57997775</v>
      </c>
      <c r="N3847">
        <v>57510475</v>
      </c>
      <c r="O3847">
        <v>47611962</v>
      </c>
      <c r="P3847">
        <v>225</v>
      </c>
      <c r="Q3847" t="s">
        <v>7738</v>
      </c>
    </row>
    <row r="3848" spans="1:17" x14ac:dyDescent="0.3">
      <c r="A3848" t="s">
        <v>4446</v>
      </c>
      <c r="B3848" t="str">
        <f>"300047"</f>
        <v>300047</v>
      </c>
      <c r="C3848" t="s">
        <v>7739</v>
      </c>
      <c r="D3848" t="s">
        <v>212</v>
      </c>
      <c r="F3848">
        <v>-42622422</v>
      </c>
      <c r="G3848">
        <v>-127852257</v>
      </c>
      <c r="H3848">
        <v>-505256638</v>
      </c>
      <c r="I3848">
        <v>-249553390</v>
      </c>
      <c r="J3848">
        <v>-78839282</v>
      </c>
      <c r="K3848">
        <v>-456605418</v>
      </c>
      <c r="L3848">
        <v>-176459202</v>
      </c>
      <c r="M3848">
        <v>-255376334</v>
      </c>
      <c r="N3848">
        <v>-171300731</v>
      </c>
      <c r="O3848">
        <v>-116217404</v>
      </c>
      <c r="P3848">
        <v>338</v>
      </c>
      <c r="Q3848" t="s">
        <v>7740</v>
      </c>
    </row>
    <row r="3849" spans="1:17" x14ac:dyDescent="0.3">
      <c r="A3849" t="s">
        <v>4446</v>
      </c>
      <c r="B3849" t="str">
        <f>"300048"</f>
        <v>300048</v>
      </c>
      <c r="C3849" t="s">
        <v>7741</v>
      </c>
      <c r="D3849" t="s">
        <v>78</v>
      </c>
      <c r="F3849">
        <v>183820874</v>
      </c>
      <c r="G3849">
        <v>63059218</v>
      </c>
      <c r="H3849">
        <v>231355036</v>
      </c>
      <c r="I3849">
        <v>71374099</v>
      </c>
      <c r="J3849">
        <v>-292361503</v>
      </c>
      <c r="K3849">
        <v>-470436976</v>
      </c>
      <c r="L3849">
        <v>-178541401</v>
      </c>
      <c r="M3849">
        <v>-20885037</v>
      </c>
      <c r="N3849">
        <v>-94929690</v>
      </c>
      <c r="O3849">
        <v>-57508917</v>
      </c>
      <c r="P3849">
        <v>119</v>
      </c>
      <c r="Q3849" t="s">
        <v>7742</v>
      </c>
    </row>
    <row r="3850" spans="1:17" x14ac:dyDescent="0.3">
      <c r="A3850" t="s">
        <v>4446</v>
      </c>
      <c r="B3850" t="str">
        <f>"300049"</f>
        <v>300049</v>
      </c>
      <c r="C3850" t="s">
        <v>7743</v>
      </c>
      <c r="D3850" t="s">
        <v>113</v>
      </c>
      <c r="F3850">
        <v>130703497</v>
      </c>
      <c r="G3850">
        <v>93080007</v>
      </c>
      <c r="H3850">
        <v>189937378</v>
      </c>
      <c r="I3850">
        <v>-15611863</v>
      </c>
      <c r="J3850">
        <v>88550545</v>
      </c>
      <c r="K3850">
        <v>-64232355</v>
      </c>
      <c r="L3850">
        <v>30869261</v>
      </c>
      <c r="M3850">
        <v>-32361741</v>
      </c>
      <c r="N3850">
        <v>-209329688</v>
      </c>
      <c r="O3850">
        <v>70688468</v>
      </c>
      <c r="P3850">
        <v>145</v>
      </c>
      <c r="Q3850" t="s">
        <v>7744</v>
      </c>
    </row>
    <row r="3851" spans="1:17" x14ac:dyDescent="0.3">
      <c r="A3851" t="s">
        <v>4446</v>
      </c>
      <c r="B3851" t="str">
        <f>"300050"</f>
        <v>300050</v>
      </c>
      <c r="C3851" t="s">
        <v>7745</v>
      </c>
      <c r="D3851" t="s">
        <v>100</v>
      </c>
      <c r="F3851">
        <v>58341795</v>
      </c>
      <c r="G3851">
        <v>-3205974</v>
      </c>
      <c r="H3851">
        <v>-5806527</v>
      </c>
      <c r="I3851">
        <v>-174175531</v>
      </c>
      <c r="J3851">
        <v>-27317706</v>
      </c>
      <c r="K3851">
        <v>-128082992</v>
      </c>
      <c r="L3851">
        <v>40794897</v>
      </c>
      <c r="M3851">
        <v>84741195</v>
      </c>
      <c r="N3851">
        <v>-41580785</v>
      </c>
      <c r="O3851">
        <v>-88690247</v>
      </c>
      <c r="P3851">
        <v>164</v>
      </c>
      <c r="Q3851" t="s">
        <v>7746</v>
      </c>
    </row>
    <row r="3852" spans="1:17" x14ac:dyDescent="0.3">
      <c r="A3852" t="s">
        <v>4446</v>
      </c>
      <c r="B3852" t="str">
        <f>"300051"</f>
        <v>300051</v>
      </c>
      <c r="C3852" t="s">
        <v>7747</v>
      </c>
      <c r="D3852" t="s">
        <v>89</v>
      </c>
      <c r="F3852">
        <v>-10854730</v>
      </c>
      <c r="G3852">
        <v>-2935839</v>
      </c>
      <c r="H3852">
        <v>32201397</v>
      </c>
      <c r="I3852">
        <v>-24252486</v>
      </c>
      <c r="J3852">
        <v>24619249</v>
      </c>
      <c r="K3852">
        <v>-2031190</v>
      </c>
      <c r="L3852">
        <v>-157189428</v>
      </c>
      <c r="M3852">
        <v>-113168288</v>
      </c>
      <c r="N3852">
        <v>9991438</v>
      </c>
      <c r="O3852">
        <v>-74516982</v>
      </c>
      <c r="P3852">
        <v>104</v>
      </c>
      <c r="Q3852" t="s">
        <v>7748</v>
      </c>
    </row>
    <row r="3853" spans="1:17" x14ac:dyDescent="0.3">
      <c r="A3853" t="s">
        <v>4446</v>
      </c>
      <c r="B3853" t="str">
        <f>"300052"</f>
        <v>300052</v>
      </c>
      <c r="C3853" t="s">
        <v>7749</v>
      </c>
      <c r="D3853" t="s">
        <v>89</v>
      </c>
      <c r="F3853">
        <v>22662837</v>
      </c>
      <c r="G3853">
        <v>-1404391</v>
      </c>
      <c r="H3853">
        <v>-104358271</v>
      </c>
      <c r="I3853">
        <v>-61014397</v>
      </c>
      <c r="J3853">
        <v>25749329</v>
      </c>
      <c r="K3853">
        <v>83554203</v>
      </c>
      <c r="L3853">
        <v>122109390</v>
      </c>
      <c r="M3853">
        <v>-184475024</v>
      </c>
      <c r="N3853">
        <v>-34613121</v>
      </c>
      <c r="O3853">
        <v>-126601177</v>
      </c>
      <c r="P3853">
        <v>219</v>
      </c>
      <c r="Q3853" t="s">
        <v>7750</v>
      </c>
    </row>
    <row r="3854" spans="1:17" x14ac:dyDescent="0.3">
      <c r="A3854" t="s">
        <v>4446</v>
      </c>
      <c r="B3854" t="str">
        <f>"300053"</f>
        <v>300053</v>
      </c>
      <c r="C3854" t="s">
        <v>7751</v>
      </c>
      <c r="D3854" t="s">
        <v>150</v>
      </c>
      <c r="F3854">
        <v>-78971712</v>
      </c>
      <c r="G3854">
        <v>-281922453</v>
      </c>
      <c r="H3854">
        <v>-631297253</v>
      </c>
      <c r="I3854">
        <v>-150698465</v>
      </c>
      <c r="J3854">
        <v>-127506980</v>
      </c>
      <c r="K3854">
        <v>58387960</v>
      </c>
      <c r="L3854">
        <v>60799997</v>
      </c>
      <c r="M3854">
        <v>-26906311</v>
      </c>
      <c r="N3854">
        <v>-54985980</v>
      </c>
      <c r="O3854">
        <v>-32240497</v>
      </c>
      <c r="P3854">
        <v>264</v>
      </c>
      <c r="Q3854" t="s">
        <v>7752</v>
      </c>
    </row>
    <row r="3855" spans="1:17" x14ac:dyDescent="0.3">
      <c r="A3855" t="s">
        <v>4446</v>
      </c>
      <c r="B3855" t="str">
        <f>"300054"</f>
        <v>300054</v>
      </c>
      <c r="C3855" t="s">
        <v>7753</v>
      </c>
      <c r="D3855" t="s">
        <v>150</v>
      </c>
      <c r="F3855">
        <v>-368435373</v>
      </c>
      <c r="G3855">
        <v>181737978</v>
      </c>
      <c r="H3855">
        <v>-8410448</v>
      </c>
      <c r="I3855">
        <v>159551915</v>
      </c>
      <c r="J3855">
        <v>214659676</v>
      </c>
      <c r="K3855">
        <v>203539687</v>
      </c>
      <c r="L3855">
        <v>35666274</v>
      </c>
      <c r="M3855">
        <v>76019647</v>
      </c>
      <c r="N3855">
        <v>22917294</v>
      </c>
      <c r="O3855">
        <v>-46070479</v>
      </c>
      <c r="P3855">
        <v>368</v>
      </c>
      <c r="Q3855" t="s">
        <v>7754</v>
      </c>
    </row>
    <row r="3856" spans="1:17" x14ac:dyDescent="0.3">
      <c r="A3856" t="s">
        <v>4446</v>
      </c>
      <c r="B3856" t="str">
        <f>"300055"</f>
        <v>300055</v>
      </c>
      <c r="C3856" t="s">
        <v>7755</v>
      </c>
      <c r="D3856" t="s">
        <v>33</v>
      </c>
      <c r="F3856">
        <v>901570039</v>
      </c>
      <c r="G3856">
        <v>-48219451</v>
      </c>
      <c r="H3856">
        <v>-315133582</v>
      </c>
      <c r="I3856">
        <v>-209786994</v>
      </c>
      <c r="J3856">
        <v>99730093</v>
      </c>
      <c r="K3856">
        <v>-611573454</v>
      </c>
      <c r="L3856">
        <v>-524978115</v>
      </c>
      <c r="M3856">
        <v>-216753919</v>
      </c>
      <c r="N3856">
        <v>-57818290</v>
      </c>
      <c r="O3856">
        <v>50492296</v>
      </c>
      <c r="P3856">
        <v>163</v>
      </c>
      <c r="Q3856" t="s">
        <v>7756</v>
      </c>
    </row>
    <row r="3857" spans="1:17" x14ac:dyDescent="0.3">
      <c r="A3857" t="s">
        <v>4446</v>
      </c>
      <c r="B3857" t="str">
        <f>"300056"</f>
        <v>300056</v>
      </c>
      <c r="C3857" t="s">
        <v>7757</v>
      </c>
      <c r="D3857" t="s">
        <v>33</v>
      </c>
      <c r="F3857">
        <v>-13284025</v>
      </c>
      <c r="G3857">
        <v>-180945173</v>
      </c>
      <c r="H3857">
        <v>179871864</v>
      </c>
      <c r="I3857">
        <v>-8242357</v>
      </c>
      <c r="J3857">
        <v>154038215</v>
      </c>
      <c r="K3857">
        <v>-102309190</v>
      </c>
      <c r="L3857">
        <v>-141525051</v>
      </c>
      <c r="M3857">
        <v>52401485</v>
      </c>
      <c r="N3857">
        <v>49988919</v>
      </c>
      <c r="O3857">
        <v>24020429</v>
      </c>
      <c r="P3857">
        <v>87</v>
      </c>
      <c r="Q3857" t="s">
        <v>7758</v>
      </c>
    </row>
    <row r="3858" spans="1:17" x14ac:dyDescent="0.3">
      <c r="A3858" t="s">
        <v>4446</v>
      </c>
      <c r="B3858" t="str">
        <f>"300057"</f>
        <v>300057</v>
      </c>
      <c r="C3858" t="s">
        <v>7759</v>
      </c>
      <c r="D3858" t="s">
        <v>234</v>
      </c>
      <c r="F3858">
        <v>-265201816</v>
      </c>
      <c r="G3858">
        <v>-347409377</v>
      </c>
      <c r="H3858">
        <v>-258970379</v>
      </c>
      <c r="I3858">
        <v>186153967</v>
      </c>
      <c r="J3858">
        <v>238493162</v>
      </c>
      <c r="K3858">
        <v>-1705552</v>
      </c>
      <c r="L3858">
        <v>194338707</v>
      </c>
      <c r="M3858">
        <v>31340780</v>
      </c>
      <c r="N3858">
        <v>-141028210</v>
      </c>
      <c r="O3858">
        <v>54460470</v>
      </c>
      <c r="P3858">
        <v>438</v>
      </c>
      <c r="Q3858" t="s">
        <v>7760</v>
      </c>
    </row>
    <row r="3859" spans="1:17" x14ac:dyDescent="0.3">
      <c r="A3859" t="s">
        <v>4446</v>
      </c>
      <c r="B3859" t="str">
        <f>"300058"</f>
        <v>300058</v>
      </c>
      <c r="C3859" t="s">
        <v>7761</v>
      </c>
      <c r="D3859" t="s">
        <v>89</v>
      </c>
      <c r="F3859">
        <v>717673518</v>
      </c>
      <c r="G3859">
        <v>1242918783</v>
      </c>
      <c r="H3859">
        <v>641639771</v>
      </c>
      <c r="I3859">
        <v>1850784382</v>
      </c>
      <c r="J3859">
        <v>-199265158</v>
      </c>
      <c r="K3859">
        <v>-204629565</v>
      </c>
      <c r="L3859">
        <v>360738751</v>
      </c>
      <c r="M3859">
        <v>165688745</v>
      </c>
      <c r="N3859">
        <v>222146447</v>
      </c>
      <c r="O3859">
        <v>131844435</v>
      </c>
      <c r="P3859">
        <v>457</v>
      </c>
      <c r="Q3859" t="s">
        <v>7762</v>
      </c>
    </row>
    <row r="3860" spans="1:17" x14ac:dyDescent="0.3">
      <c r="A3860" t="s">
        <v>4446</v>
      </c>
      <c r="B3860" t="str">
        <f>"300059"</f>
        <v>300059</v>
      </c>
      <c r="C3860" t="s">
        <v>7763</v>
      </c>
      <c r="D3860" t="s">
        <v>75</v>
      </c>
      <c r="F3860">
        <v>7589238764</v>
      </c>
      <c r="G3860">
        <v>4254247251</v>
      </c>
      <c r="H3860">
        <v>11644995862</v>
      </c>
      <c r="I3860">
        <v>2470408652</v>
      </c>
      <c r="J3860">
        <v>-6408324572</v>
      </c>
      <c r="K3860">
        <v>-5866470270</v>
      </c>
      <c r="L3860">
        <v>351655791</v>
      </c>
      <c r="M3860">
        <v>2349984508</v>
      </c>
      <c r="N3860">
        <v>449419082</v>
      </c>
      <c r="O3860">
        <v>6069930</v>
      </c>
      <c r="P3860">
        <v>5895</v>
      </c>
      <c r="Q3860" t="s">
        <v>7764</v>
      </c>
    </row>
    <row r="3861" spans="1:17" x14ac:dyDescent="0.3">
      <c r="A3861" t="s">
        <v>4446</v>
      </c>
      <c r="B3861" t="str">
        <f>"300061"</f>
        <v>300061</v>
      </c>
      <c r="C3861" t="s">
        <v>7765</v>
      </c>
      <c r="D3861" t="s">
        <v>89</v>
      </c>
      <c r="F3861">
        <v>-9869753</v>
      </c>
      <c r="G3861">
        <v>-15189547</v>
      </c>
      <c r="H3861">
        <v>110118955</v>
      </c>
      <c r="I3861">
        <v>250615998</v>
      </c>
      <c r="J3861">
        <v>277644643</v>
      </c>
      <c r="K3861">
        <v>96292727</v>
      </c>
      <c r="L3861">
        <v>38137171</v>
      </c>
      <c r="M3861">
        <v>-7383727</v>
      </c>
      <c r="N3861">
        <v>624507</v>
      </c>
      <c r="O3861">
        <v>-30982824</v>
      </c>
      <c r="P3861">
        <v>120</v>
      </c>
      <c r="Q3861" t="s">
        <v>7766</v>
      </c>
    </row>
    <row r="3862" spans="1:17" x14ac:dyDescent="0.3">
      <c r="A3862" t="s">
        <v>4446</v>
      </c>
      <c r="B3862" t="str">
        <f>"300062"</f>
        <v>300062</v>
      </c>
      <c r="C3862" t="s">
        <v>7767</v>
      </c>
      <c r="D3862" t="s">
        <v>188</v>
      </c>
      <c r="F3862">
        <v>12630016</v>
      </c>
      <c r="G3862">
        <v>98743039</v>
      </c>
      <c r="H3862">
        <v>62962422</v>
      </c>
      <c r="I3862">
        <v>61973686</v>
      </c>
      <c r="J3862">
        <v>-314536171</v>
      </c>
      <c r="K3862">
        <v>-63913079</v>
      </c>
      <c r="L3862">
        <v>119891325</v>
      </c>
      <c r="M3862">
        <v>-6356693</v>
      </c>
      <c r="N3862">
        <v>-1341301</v>
      </c>
      <c r="O3862">
        <v>-91356930</v>
      </c>
      <c r="P3862">
        <v>125</v>
      </c>
      <c r="Q3862" t="s">
        <v>7768</v>
      </c>
    </row>
    <row r="3863" spans="1:17" x14ac:dyDescent="0.3">
      <c r="A3863" t="s">
        <v>4446</v>
      </c>
      <c r="B3863" t="str">
        <f>"300063"</f>
        <v>300063</v>
      </c>
      <c r="C3863" t="s">
        <v>7769</v>
      </c>
      <c r="D3863" t="s">
        <v>89</v>
      </c>
      <c r="F3863">
        <v>-27072388</v>
      </c>
      <c r="G3863">
        <v>58282917</v>
      </c>
      <c r="H3863">
        <v>-33449041</v>
      </c>
      <c r="I3863">
        <v>-85331579</v>
      </c>
      <c r="J3863">
        <v>107574946</v>
      </c>
      <c r="K3863">
        <v>92089515</v>
      </c>
      <c r="L3863">
        <v>-21921077</v>
      </c>
      <c r="M3863">
        <v>-132263659</v>
      </c>
      <c r="N3863">
        <v>-153682015</v>
      </c>
      <c r="O3863">
        <v>-100878415</v>
      </c>
      <c r="P3863">
        <v>109</v>
      </c>
      <c r="Q3863" t="s">
        <v>7770</v>
      </c>
    </row>
    <row r="3864" spans="1:17" x14ac:dyDescent="0.3">
      <c r="A3864" t="s">
        <v>4446</v>
      </c>
      <c r="B3864" t="str">
        <f>"300064"</f>
        <v>300064</v>
      </c>
      <c r="C3864" t="s">
        <v>7771</v>
      </c>
      <c r="D3864" t="s">
        <v>78</v>
      </c>
      <c r="F3864">
        <v>7479479</v>
      </c>
      <c r="G3864">
        <v>-62057843</v>
      </c>
      <c r="H3864">
        <v>-2143817497</v>
      </c>
      <c r="I3864">
        <v>-2301740670</v>
      </c>
      <c r="J3864">
        <v>-206661246</v>
      </c>
      <c r="K3864">
        <v>-641576695</v>
      </c>
      <c r="L3864">
        <v>-323687527</v>
      </c>
      <c r="M3864">
        <v>-83441166</v>
      </c>
      <c r="N3864">
        <v>-261218647</v>
      </c>
      <c r="O3864">
        <v>-373834683</v>
      </c>
      <c r="P3864">
        <v>77</v>
      </c>
      <c r="Q3864" t="s">
        <v>7772</v>
      </c>
    </row>
    <row r="3865" spans="1:17" x14ac:dyDescent="0.3">
      <c r="A3865" t="s">
        <v>4446</v>
      </c>
      <c r="B3865" t="str">
        <f>"300065"</f>
        <v>300065</v>
      </c>
      <c r="C3865" t="s">
        <v>7773</v>
      </c>
      <c r="D3865" t="s">
        <v>92</v>
      </c>
      <c r="F3865">
        <v>-130199530</v>
      </c>
      <c r="G3865">
        <v>56312077</v>
      </c>
      <c r="H3865">
        <v>-149761856</v>
      </c>
      <c r="I3865">
        <v>29636433</v>
      </c>
      <c r="J3865">
        <v>114307078</v>
      </c>
      <c r="K3865">
        <v>130304967</v>
      </c>
      <c r="L3865">
        <v>1427139</v>
      </c>
      <c r="M3865">
        <v>-52185848</v>
      </c>
      <c r="N3865">
        <v>-47651002</v>
      </c>
      <c r="O3865">
        <v>-17890577</v>
      </c>
      <c r="P3865">
        <v>152</v>
      </c>
      <c r="Q3865" t="s">
        <v>7774</v>
      </c>
    </row>
    <row r="3866" spans="1:17" x14ac:dyDescent="0.3">
      <c r="A3866" t="s">
        <v>4446</v>
      </c>
      <c r="B3866" t="str">
        <f>"300066"</f>
        <v>300066</v>
      </c>
      <c r="C3866" t="s">
        <v>7775</v>
      </c>
      <c r="D3866" t="s">
        <v>78</v>
      </c>
      <c r="F3866">
        <v>69193907</v>
      </c>
      <c r="G3866">
        <v>30854310</v>
      </c>
      <c r="H3866">
        <v>-7231569</v>
      </c>
      <c r="I3866">
        <v>9155048</v>
      </c>
      <c r="J3866">
        <v>19972933</v>
      </c>
      <c r="K3866">
        <v>93444403</v>
      </c>
      <c r="L3866">
        <v>137572088</v>
      </c>
      <c r="M3866">
        <v>37638798</v>
      </c>
      <c r="N3866">
        <v>50410509</v>
      </c>
      <c r="O3866">
        <v>3933897</v>
      </c>
      <c r="P3866">
        <v>190</v>
      </c>
      <c r="Q3866" t="s">
        <v>7776</v>
      </c>
    </row>
    <row r="3867" spans="1:17" x14ac:dyDescent="0.3">
      <c r="A3867" t="s">
        <v>4446</v>
      </c>
      <c r="B3867" t="str">
        <f>"300067"</f>
        <v>300067</v>
      </c>
      <c r="C3867" t="s">
        <v>7777</v>
      </c>
      <c r="D3867" t="s">
        <v>133</v>
      </c>
      <c r="F3867">
        <v>-25287830</v>
      </c>
      <c r="G3867">
        <v>-142154776</v>
      </c>
      <c r="H3867">
        <v>-28185194</v>
      </c>
      <c r="I3867">
        <v>-76090272</v>
      </c>
      <c r="J3867">
        <v>24258788</v>
      </c>
      <c r="K3867">
        <v>38872677</v>
      </c>
      <c r="L3867">
        <v>-163960752</v>
      </c>
      <c r="M3867">
        <v>-97024464</v>
      </c>
      <c r="N3867">
        <v>-69590121</v>
      </c>
      <c r="O3867">
        <v>-22816987</v>
      </c>
      <c r="P3867">
        <v>100</v>
      </c>
      <c r="Q3867" t="s">
        <v>7778</v>
      </c>
    </row>
    <row r="3868" spans="1:17" x14ac:dyDescent="0.3">
      <c r="A3868" t="s">
        <v>4446</v>
      </c>
      <c r="B3868" t="str">
        <f>"300068"</f>
        <v>300068</v>
      </c>
      <c r="C3868" t="s">
        <v>7779</v>
      </c>
      <c r="D3868" t="s">
        <v>188</v>
      </c>
      <c r="F3868">
        <v>-577507773</v>
      </c>
      <c r="G3868">
        <v>-435304811</v>
      </c>
      <c r="H3868">
        <v>-555794495</v>
      </c>
      <c r="I3868">
        <v>-1420440022</v>
      </c>
      <c r="J3868">
        <v>-859528551</v>
      </c>
      <c r="K3868">
        <v>-412719989</v>
      </c>
      <c r="L3868">
        <v>-519536714</v>
      </c>
      <c r="M3868">
        <v>-246593956</v>
      </c>
      <c r="N3868">
        <v>-297543216</v>
      </c>
      <c r="O3868">
        <v>-172811520</v>
      </c>
      <c r="P3868">
        <v>305</v>
      </c>
      <c r="Q3868" t="s">
        <v>7780</v>
      </c>
    </row>
    <row r="3869" spans="1:17" x14ac:dyDescent="0.3">
      <c r="A3869" t="s">
        <v>4446</v>
      </c>
      <c r="B3869" t="str">
        <f>"300069"</f>
        <v>300069</v>
      </c>
      <c r="C3869" t="s">
        <v>7781</v>
      </c>
      <c r="D3869" t="s">
        <v>188</v>
      </c>
      <c r="F3869">
        <v>17584837</v>
      </c>
      <c r="G3869">
        <v>-14323630</v>
      </c>
      <c r="H3869">
        <v>78392357</v>
      </c>
      <c r="I3869">
        <v>35687618</v>
      </c>
      <c r="J3869">
        <v>70834607</v>
      </c>
      <c r="K3869">
        <v>-43835843</v>
      </c>
      <c r="L3869">
        <v>-10245944</v>
      </c>
      <c r="M3869">
        <v>-47726401</v>
      </c>
      <c r="N3869">
        <v>52286568</v>
      </c>
      <c r="O3869">
        <v>-104182826</v>
      </c>
      <c r="P3869">
        <v>57</v>
      </c>
      <c r="Q3869" t="s">
        <v>7782</v>
      </c>
    </row>
    <row r="3870" spans="1:17" x14ac:dyDescent="0.3">
      <c r="A3870" t="s">
        <v>4446</v>
      </c>
      <c r="B3870" t="str">
        <f>"300070"</f>
        <v>300070</v>
      </c>
      <c r="C3870" t="s">
        <v>7783</v>
      </c>
      <c r="D3870" t="s">
        <v>33</v>
      </c>
      <c r="F3870">
        <v>-2679216732</v>
      </c>
      <c r="G3870">
        <v>-2459986852</v>
      </c>
      <c r="H3870">
        <v>-4262314509</v>
      </c>
      <c r="I3870">
        <v>-5239410898</v>
      </c>
      <c r="J3870">
        <v>-7505427654</v>
      </c>
      <c r="K3870">
        <v>-2966255656</v>
      </c>
      <c r="L3870">
        <v>-1899197004</v>
      </c>
      <c r="M3870">
        <v>-237591604</v>
      </c>
      <c r="N3870">
        <v>477827382</v>
      </c>
      <c r="O3870">
        <v>253305970</v>
      </c>
      <c r="P3870">
        <v>1163</v>
      </c>
      <c r="Q3870" t="s">
        <v>7784</v>
      </c>
    </row>
    <row r="3871" spans="1:17" x14ac:dyDescent="0.3">
      <c r="A3871" t="s">
        <v>4446</v>
      </c>
      <c r="B3871" t="str">
        <f>"300071"</f>
        <v>300071</v>
      </c>
      <c r="C3871" t="s">
        <v>7785</v>
      </c>
      <c r="D3871" t="s">
        <v>89</v>
      </c>
      <c r="F3871">
        <v>37571689</v>
      </c>
      <c r="G3871">
        <v>49357704</v>
      </c>
      <c r="H3871">
        <v>128914832</v>
      </c>
      <c r="I3871">
        <v>366144943</v>
      </c>
      <c r="J3871">
        <v>-109969179</v>
      </c>
      <c r="K3871">
        <v>21831117</v>
      </c>
      <c r="L3871">
        <v>207216841</v>
      </c>
      <c r="M3871">
        <v>105209586</v>
      </c>
      <c r="N3871">
        <v>-76754726</v>
      </c>
      <c r="O3871">
        <v>-479663</v>
      </c>
      <c r="P3871">
        <v>84</v>
      </c>
      <c r="Q3871" t="s">
        <v>7786</v>
      </c>
    </row>
    <row r="3872" spans="1:17" x14ac:dyDescent="0.3">
      <c r="A3872" t="s">
        <v>4446</v>
      </c>
      <c r="B3872" t="str">
        <f>"300072"</f>
        <v>300072</v>
      </c>
      <c r="C3872" t="s">
        <v>7787</v>
      </c>
      <c r="D3872" t="s">
        <v>33</v>
      </c>
      <c r="F3872">
        <v>833964082</v>
      </c>
      <c r="G3872">
        <v>-1325951423</v>
      </c>
      <c r="H3872">
        <v>2952130525</v>
      </c>
      <c r="I3872">
        <v>-1549725910</v>
      </c>
      <c r="J3872">
        <v>-571660818</v>
      </c>
      <c r="K3872">
        <v>63209050</v>
      </c>
      <c r="L3872">
        <v>-201105488</v>
      </c>
      <c r="M3872">
        <v>-238762874</v>
      </c>
      <c r="N3872">
        <v>-365145586</v>
      </c>
      <c r="O3872">
        <v>-172837542</v>
      </c>
      <c r="P3872">
        <v>1138</v>
      </c>
      <c r="Q3872" t="s">
        <v>7788</v>
      </c>
    </row>
    <row r="3873" spans="1:17" x14ac:dyDescent="0.3">
      <c r="A3873" t="s">
        <v>4446</v>
      </c>
      <c r="B3873" t="str">
        <f>"300073"</f>
        <v>300073</v>
      </c>
      <c r="C3873" t="s">
        <v>7789</v>
      </c>
      <c r="D3873" t="s">
        <v>188</v>
      </c>
      <c r="F3873">
        <v>143237147</v>
      </c>
      <c r="G3873">
        <v>118397012</v>
      </c>
      <c r="H3873">
        <v>-96485768</v>
      </c>
      <c r="I3873">
        <v>234544565</v>
      </c>
      <c r="J3873">
        <v>82118707</v>
      </c>
      <c r="K3873">
        <v>-119824186</v>
      </c>
      <c r="L3873">
        <v>-27042209</v>
      </c>
      <c r="M3873">
        <v>-12476336</v>
      </c>
      <c r="N3873">
        <v>-198958393</v>
      </c>
      <c r="O3873">
        <v>34581370</v>
      </c>
      <c r="P3873">
        <v>826</v>
      </c>
      <c r="Q3873" t="s">
        <v>7790</v>
      </c>
    </row>
    <row r="3874" spans="1:17" x14ac:dyDescent="0.3">
      <c r="A3874" t="s">
        <v>4446</v>
      </c>
      <c r="B3874" t="str">
        <f>"300074"</f>
        <v>300074</v>
      </c>
      <c r="C3874" t="s">
        <v>7791</v>
      </c>
      <c r="D3874" t="s">
        <v>212</v>
      </c>
      <c r="F3874">
        <v>-20453026</v>
      </c>
      <c r="G3874">
        <v>38816058</v>
      </c>
      <c r="H3874">
        <v>-8490016</v>
      </c>
      <c r="I3874">
        <v>-70522153</v>
      </c>
      <c r="J3874">
        <v>-5995479</v>
      </c>
      <c r="K3874">
        <v>-34123226</v>
      </c>
      <c r="L3874">
        <v>-35583546</v>
      </c>
      <c r="M3874">
        <v>-169052432</v>
      </c>
      <c r="N3874">
        <v>-127251176</v>
      </c>
      <c r="O3874">
        <v>-42469635</v>
      </c>
      <c r="P3874">
        <v>162</v>
      </c>
      <c r="Q3874" t="s">
        <v>7792</v>
      </c>
    </row>
    <row r="3875" spans="1:17" x14ac:dyDescent="0.3">
      <c r="A3875" t="s">
        <v>4446</v>
      </c>
      <c r="B3875" t="str">
        <f>"300075"</f>
        <v>300075</v>
      </c>
      <c r="C3875" t="s">
        <v>7793</v>
      </c>
      <c r="D3875" t="s">
        <v>212</v>
      </c>
      <c r="F3875">
        <v>17095146</v>
      </c>
      <c r="G3875">
        <v>180247513</v>
      </c>
      <c r="H3875">
        <v>113933037</v>
      </c>
      <c r="I3875">
        <v>135248000</v>
      </c>
      <c r="J3875">
        <v>-78090529</v>
      </c>
      <c r="K3875">
        <v>-18943658</v>
      </c>
      <c r="L3875">
        <v>96701246</v>
      </c>
      <c r="M3875">
        <v>-90363264</v>
      </c>
      <c r="N3875">
        <v>-18037115</v>
      </c>
      <c r="O3875">
        <v>-4195175</v>
      </c>
      <c r="P3875">
        <v>259</v>
      </c>
      <c r="Q3875" t="s">
        <v>7794</v>
      </c>
    </row>
    <row r="3876" spans="1:17" x14ac:dyDescent="0.3">
      <c r="A3876" t="s">
        <v>4446</v>
      </c>
      <c r="B3876" t="str">
        <f>"300076"</f>
        <v>300076</v>
      </c>
      <c r="C3876" t="s">
        <v>7795</v>
      </c>
      <c r="D3876" t="s">
        <v>150</v>
      </c>
      <c r="F3876">
        <v>-46289662</v>
      </c>
      <c r="G3876">
        <v>-89490968</v>
      </c>
      <c r="H3876">
        <v>-11221015</v>
      </c>
      <c r="I3876">
        <v>23665783</v>
      </c>
      <c r="J3876">
        <v>77061660</v>
      </c>
      <c r="K3876">
        <v>26175950</v>
      </c>
      <c r="L3876">
        <v>-7353879</v>
      </c>
      <c r="M3876">
        <v>31117789</v>
      </c>
      <c r="N3876">
        <v>-14678781</v>
      </c>
      <c r="O3876">
        <v>-13337057</v>
      </c>
      <c r="P3876">
        <v>93</v>
      </c>
      <c r="Q3876" t="s">
        <v>7796</v>
      </c>
    </row>
    <row r="3877" spans="1:17" x14ac:dyDescent="0.3">
      <c r="A3877" t="s">
        <v>4446</v>
      </c>
      <c r="B3877" t="str">
        <f>"300077"</f>
        <v>300077</v>
      </c>
      <c r="C3877" t="s">
        <v>7797</v>
      </c>
      <c r="D3877" t="s">
        <v>150</v>
      </c>
      <c r="F3877">
        <v>100749945</v>
      </c>
      <c r="G3877">
        <v>-22712978</v>
      </c>
      <c r="H3877">
        <v>-167157018</v>
      </c>
      <c r="I3877">
        <v>145470994</v>
      </c>
      <c r="J3877">
        <v>-250873897</v>
      </c>
      <c r="K3877">
        <v>-189137362</v>
      </c>
      <c r="L3877">
        <v>-91319340</v>
      </c>
      <c r="M3877">
        <v>-51591096</v>
      </c>
      <c r="N3877">
        <v>-9211384</v>
      </c>
      <c r="O3877">
        <v>31318459</v>
      </c>
      <c r="P3877">
        <v>3150</v>
      </c>
      <c r="Q3877" t="s">
        <v>7798</v>
      </c>
    </row>
    <row r="3878" spans="1:17" x14ac:dyDescent="0.3">
      <c r="A3878" t="s">
        <v>4446</v>
      </c>
      <c r="B3878" t="str">
        <f>"300078"</f>
        <v>300078</v>
      </c>
      <c r="C3878" t="s">
        <v>7799</v>
      </c>
      <c r="D3878" t="s">
        <v>212</v>
      </c>
      <c r="F3878">
        <v>-83917746</v>
      </c>
      <c r="G3878">
        <v>-491118018</v>
      </c>
      <c r="H3878">
        <v>-237024799</v>
      </c>
      <c r="I3878">
        <v>-78539044</v>
      </c>
      <c r="J3878">
        <v>112596968</v>
      </c>
      <c r="K3878">
        <v>36442888</v>
      </c>
      <c r="L3878">
        <v>98699723</v>
      </c>
      <c r="M3878">
        <v>-70665986</v>
      </c>
      <c r="N3878">
        <v>-92140859</v>
      </c>
      <c r="O3878">
        <v>18775766</v>
      </c>
      <c r="P3878">
        <v>296</v>
      </c>
      <c r="Q3878" t="s">
        <v>7800</v>
      </c>
    </row>
    <row r="3879" spans="1:17" x14ac:dyDescent="0.3">
      <c r="A3879" t="s">
        <v>4446</v>
      </c>
      <c r="B3879" t="str">
        <f>"300079"</f>
        <v>300079</v>
      </c>
      <c r="C3879" t="s">
        <v>7801</v>
      </c>
      <c r="D3879" t="s">
        <v>212</v>
      </c>
      <c r="F3879">
        <v>109991877</v>
      </c>
      <c r="G3879">
        <v>191047977</v>
      </c>
      <c r="H3879">
        <v>654429028</v>
      </c>
      <c r="I3879">
        <v>-223463115</v>
      </c>
      <c r="J3879">
        <v>236211483</v>
      </c>
      <c r="K3879">
        <v>67931813</v>
      </c>
      <c r="L3879">
        <v>-82550951</v>
      </c>
      <c r="M3879">
        <v>-91771673</v>
      </c>
      <c r="N3879">
        <v>-72791373</v>
      </c>
      <c r="O3879">
        <v>57375173</v>
      </c>
      <c r="P3879">
        <v>261</v>
      </c>
      <c r="Q3879" t="s">
        <v>7802</v>
      </c>
    </row>
    <row r="3880" spans="1:17" x14ac:dyDescent="0.3">
      <c r="A3880" t="s">
        <v>4446</v>
      </c>
      <c r="B3880" t="str">
        <f>"300080"</f>
        <v>300080</v>
      </c>
      <c r="C3880" t="s">
        <v>7803</v>
      </c>
      <c r="D3880" t="s">
        <v>78</v>
      </c>
      <c r="F3880">
        <v>-758962165</v>
      </c>
      <c r="G3880">
        <v>12139068</v>
      </c>
      <c r="H3880">
        <v>863385190</v>
      </c>
      <c r="I3880">
        <v>24272941</v>
      </c>
      <c r="J3880">
        <v>-783533553</v>
      </c>
      <c r="K3880">
        <v>-79789580</v>
      </c>
      <c r="L3880">
        <v>-336545469</v>
      </c>
      <c r="M3880">
        <v>179212940</v>
      </c>
      <c r="N3880">
        <v>-88507650</v>
      </c>
      <c r="O3880">
        <v>-358289084</v>
      </c>
      <c r="P3880">
        <v>111</v>
      </c>
      <c r="Q3880" t="s">
        <v>7804</v>
      </c>
    </row>
    <row r="3881" spans="1:17" x14ac:dyDescent="0.3">
      <c r="A3881" t="s">
        <v>4446</v>
      </c>
      <c r="B3881" t="str">
        <f>"300081"</f>
        <v>300081</v>
      </c>
      <c r="C3881" t="s">
        <v>7805</v>
      </c>
      <c r="D3881" t="s">
        <v>100</v>
      </c>
      <c r="F3881">
        <v>-93024839</v>
      </c>
      <c r="G3881">
        <v>-166379562</v>
      </c>
      <c r="H3881">
        <v>-339325150</v>
      </c>
      <c r="I3881">
        <v>-105773543</v>
      </c>
      <c r="J3881">
        <v>-120701453</v>
      </c>
      <c r="K3881">
        <v>-28852055</v>
      </c>
      <c r="L3881">
        <v>12270130</v>
      </c>
      <c r="M3881">
        <v>10465520</v>
      </c>
      <c r="N3881">
        <v>-15081833</v>
      </c>
      <c r="O3881">
        <v>-487191069</v>
      </c>
      <c r="P3881">
        <v>160</v>
      </c>
      <c r="Q3881" t="s">
        <v>7806</v>
      </c>
    </row>
    <row r="3882" spans="1:17" x14ac:dyDescent="0.3">
      <c r="A3882" t="s">
        <v>4446</v>
      </c>
      <c r="B3882" t="str">
        <f>"300082"</f>
        <v>300082</v>
      </c>
      <c r="C3882" t="s">
        <v>7807</v>
      </c>
      <c r="D3882" t="s">
        <v>133</v>
      </c>
      <c r="F3882">
        <v>10758284</v>
      </c>
      <c r="G3882">
        <v>258409111</v>
      </c>
      <c r="H3882">
        <v>1145589977</v>
      </c>
      <c r="I3882">
        <v>691944587</v>
      </c>
      <c r="J3882">
        <v>-85446766</v>
      </c>
      <c r="K3882">
        <v>141067693</v>
      </c>
      <c r="L3882">
        <v>-162119874</v>
      </c>
      <c r="M3882">
        <v>-1024729619</v>
      </c>
      <c r="N3882">
        <v>-371650010</v>
      </c>
      <c r="O3882">
        <v>-62080512</v>
      </c>
      <c r="P3882">
        <v>176</v>
      </c>
      <c r="Q3882" t="s">
        <v>7808</v>
      </c>
    </row>
    <row r="3883" spans="1:17" x14ac:dyDescent="0.3">
      <c r="A3883" t="s">
        <v>4446</v>
      </c>
      <c r="B3883" t="str">
        <f>"300083"</f>
        <v>300083</v>
      </c>
      <c r="C3883" t="s">
        <v>7809</v>
      </c>
      <c r="D3883" t="s">
        <v>78</v>
      </c>
      <c r="F3883">
        <v>65277172</v>
      </c>
      <c r="G3883">
        <v>-151829599</v>
      </c>
      <c r="H3883">
        <v>-465163896</v>
      </c>
      <c r="I3883">
        <v>-182920268</v>
      </c>
      <c r="J3883">
        <v>-445710810</v>
      </c>
      <c r="K3883">
        <v>-553967322</v>
      </c>
      <c r="L3883">
        <v>-1084824738</v>
      </c>
      <c r="M3883">
        <v>-807975062</v>
      </c>
      <c r="N3883">
        <v>-38186587</v>
      </c>
      <c r="O3883">
        <v>87219642</v>
      </c>
      <c r="P3883">
        <v>488</v>
      </c>
      <c r="Q3883" t="s">
        <v>7810</v>
      </c>
    </row>
    <row r="3884" spans="1:17" x14ac:dyDescent="0.3">
      <c r="A3884" t="s">
        <v>4446</v>
      </c>
      <c r="B3884" t="str">
        <f>"300084"</f>
        <v>300084</v>
      </c>
      <c r="C3884" t="s">
        <v>7811</v>
      </c>
      <c r="D3884" t="s">
        <v>78</v>
      </c>
      <c r="F3884">
        <v>128388498</v>
      </c>
      <c r="G3884">
        <v>38160654</v>
      </c>
      <c r="H3884">
        <v>-16010647</v>
      </c>
      <c r="I3884">
        <v>-19723696</v>
      </c>
      <c r="J3884">
        <v>-52227289</v>
      </c>
      <c r="K3884">
        <v>-87663210</v>
      </c>
      <c r="L3884">
        <v>-64488400</v>
      </c>
      <c r="M3884">
        <v>-104559507</v>
      </c>
      <c r="N3884">
        <v>-48969596</v>
      </c>
      <c r="O3884">
        <v>-225519464</v>
      </c>
      <c r="P3884">
        <v>69</v>
      </c>
      <c r="Q3884" t="s">
        <v>7812</v>
      </c>
    </row>
    <row r="3885" spans="1:17" x14ac:dyDescent="0.3">
      <c r="A3885" t="s">
        <v>4446</v>
      </c>
      <c r="B3885" t="str">
        <f>"300085"</f>
        <v>300085</v>
      </c>
      <c r="C3885" t="s">
        <v>7813</v>
      </c>
      <c r="D3885" t="s">
        <v>212</v>
      </c>
      <c r="F3885">
        <v>-7509701</v>
      </c>
      <c r="G3885">
        <v>122162528</v>
      </c>
      <c r="H3885">
        <v>-71411612</v>
      </c>
      <c r="I3885">
        <v>155898193</v>
      </c>
      <c r="J3885">
        <v>-87253785</v>
      </c>
      <c r="K3885">
        <v>29457036</v>
      </c>
      <c r="L3885">
        <v>14614547</v>
      </c>
      <c r="M3885">
        <v>10285392</v>
      </c>
      <c r="N3885">
        <v>-24367089</v>
      </c>
      <c r="O3885">
        <v>-15999132</v>
      </c>
      <c r="P3885">
        <v>255</v>
      </c>
      <c r="Q3885" t="s">
        <v>7814</v>
      </c>
    </row>
    <row r="3886" spans="1:17" x14ac:dyDescent="0.3">
      <c r="A3886" t="s">
        <v>4446</v>
      </c>
      <c r="B3886" t="str">
        <f>"300086"</f>
        <v>300086</v>
      </c>
      <c r="C3886" t="s">
        <v>7815</v>
      </c>
      <c r="D3886" t="s">
        <v>113</v>
      </c>
      <c r="F3886">
        <v>-208506083</v>
      </c>
      <c r="G3886">
        <v>-305641713</v>
      </c>
      <c r="H3886">
        <v>-78856951</v>
      </c>
      <c r="I3886">
        <v>-133857509</v>
      </c>
      <c r="J3886">
        <v>-134681246</v>
      </c>
      <c r="K3886">
        <v>49318543</v>
      </c>
      <c r="L3886">
        <v>39268069</v>
      </c>
      <c r="M3886">
        <v>60773426</v>
      </c>
      <c r="N3886">
        <v>28458988</v>
      </c>
      <c r="O3886">
        <v>58841391</v>
      </c>
      <c r="P3886">
        <v>106</v>
      </c>
      <c r="Q3886" t="s">
        <v>7816</v>
      </c>
    </row>
    <row r="3887" spans="1:17" x14ac:dyDescent="0.3">
      <c r="A3887" t="s">
        <v>4446</v>
      </c>
      <c r="B3887" t="str">
        <f>"300087"</f>
        <v>300087</v>
      </c>
      <c r="C3887" t="s">
        <v>7817</v>
      </c>
      <c r="D3887" t="s">
        <v>205</v>
      </c>
      <c r="F3887">
        <v>306074547</v>
      </c>
      <c r="G3887">
        <v>-139504177</v>
      </c>
      <c r="H3887">
        <v>-17296309</v>
      </c>
      <c r="I3887">
        <v>117837601</v>
      </c>
      <c r="J3887">
        <v>102350059</v>
      </c>
      <c r="K3887">
        <v>140455618</v>
      </c>
      <c r="L3887">
        <v>14768555</v>
      </c>
      <c r="M3887">
        <v>43209022</v>
      </c>
      <c r="N3887">
        <v>-65997078</v>
      </c>
      <c r="O3887">
        <v>-39066859</v>
      </c>
      <c r="P3887">
        <v>232</v>
      </c>
      <c r="Q3887" t="s">
        <v>7818</v>
      </c>
    </row>
    <row r="3888" spans="1:17" x14ac:dyDescent="0.3">
      <c r="A3888" t="s">
        <v>4446</v>
      </c>
      <c r="B3888" t="str">
        <f>"300088"</f>
        <v>300088</v>
      </c>
      <c r="C3888" t="s">
        <v>7819</v>
      </c>
      <c r="D3888" t="s">
        <v>150</v>
      </c>
      <c r="F3888">
        <v>-180747315</v>
      </c>
      <c r="G3888">
        <v>920858095</v>
      </c>
      <c r="H3888">
        <v>739115298</v>
      </c>
      <c r="I3888">
        <v>131225849</v>
      </c>
      <c r="J3888">
        <v>-235806796</v>
      </c>
      <c r="K3888">
        <v>-357172121</v>
      </c>
      <c r="L3888">
        <v>165084243</v>
      </c>
      <c r="M3888">
        <v>-286337200</v>
      </c>
      <c r="N3888">
        <v>-179754286</v>
      </c>
      <c r="O3888">
        <v>35290365</v>
      </c>
      <c r="P3888">
        <v>950</v>
      </c>
      <c r="Q3888" t="s">
        <v>7820</v>
      </c>
    </row>
    <row r="3889" spans="1:17" x14ac:dyDescent="0.3">
      <c r="A3889" t="s">
        <v>4446</v>
      </c>
      <c r="B3889" t="str">
        <f>"300089"</f>
        <v>300089</v>
      </c>
      <c r="C3889" t="s">
        <v>7821</v>
      </c>
      <c r="D3889" t="s">
        <v>110</v>
      </c>
      <c r="F3889">
        <v>1952394</v>
      </c>
      <c r="G3889">
        <v>-16703650</v>
      </c>
      <c r="H3889">
        <v>-16011073</v>
      </c>
      <c r="I3889">
        <v>-81502389</v>
      </c>
      <c r="J3889">
        <v>-74162374</v>
      </c>
      <c r="K3889">
        <v>149496561</v>
      </c>
      <c r="L3889">
        <v>59241834</v>
      </c>
      <c r="M3889">
        <v>41605855</v>
      </c>
      <c r="N3889">
        <v>-168332707</v>
      </c>
      <c r="O3889">
        <v>-11129885</v>
      </c>
      <c r="P3889">
        <v>101</v>
      </c>
      <c r="Q3889" t="s">
        <v>7822</v>
      </c>
    </row>
    <row r="3890" spans="1:17" x14ac:dyDescent="0.3">
      <c r="A3890" t="s">
        <v>4446</v>
      </c>
      <c r="B3890" t="str">
        <f>"300090"</f>
        <v>300090</v>
      </c>
      <c r="C3890" t="s">
        <v>7823</v>
      </c>
      <c r="H3890">
        <v>168884537</v>
      </c>
      <c r="I3890">
        <v>265523889</v>
      </c>
      <c r="J3890">
        <v>-3235994337</v>
      </c>
      <c r="K3890">
        <v>-2403186941</v>
      </c>
      <c r="L3890">
        <v>-1622736620</v>
      </c>
      <c r="M3890">
        <v>-409965316</v>
      </c>
      <c r="N3890">
        <v>-273102391</v>
      </c>
      <c r="O3890">
        <v>-314872902</v>
      </c>
      <c r="P3890">
        <v>72</v>
      </c>
      <c r="Q3890" t="s">
        <v>7824</v>
      </c>
    </row>
    <row r="3891" spans="1:17" x14ac:dyDescent="0.3">
      <c r="A3891" t="s">
        <v>4446</v>
      </c>
      <c r="B3891" t="str">
        <f>"300091"</f>
        <v>300091</v>
      </c>
      <c r="C3891" t="s">
        <v>7825</v>
      </c>
      <c r="D3891" t="s">
        <v>78</v>
      </c>
      <c r="F3891">
        <v>-265744934</v>
      </c>
      <c r="G3891">
        <v>-143724247</v>
      </c>
      <c r="H3891">
        <v>-149437256</v>
      </c>
      <c r="I3891">
        <v>-91397924</v>
      </c>
      <c r="J3891">
        <v>-415253372</v>
      </c>
      <c r="K3891">
        <v>-35057116</v>
      </c>
      <c r="L3891">
        <v>26361638</v>
      </c>
      <c r="M3891">
        <v>-139397458</v>
      </c>
      <c r="N3891">
        <v>-225376011</v>
      </c>
      <c r="O3891">
        <v>-173088186</v>
      </c>
      <c r="P3891">
        <v>101</v>
      </c>
      <c r="Q3891" t="s">
        <v>7826</v>
      </c>
    </row>
    <row r="3892" spans="1:17" x14ac:dyDescent="0.3">
      <c r="A3892" t="s">
        <v>4446</v>
      </c>
      <c r="B3892" t="str">
        <f>"300092"</f>
        <v>300092</v>
      </c>
      <c r="C3892" t="s">
        <v>7827</v>
      </c>
      <c r="D3892" t="s">
        <v>78</v>
      </c>
      <c r="F3892">
        <v>45540923</v>
      </c>
      <c r="G3892">
        <v>-31690100</v>
      </c>
      <c r="H3892">
        <v>125488311</v>
      </c>
      <c r="I3892">
        <v>25971183</v>
      </c>
      <c r="J3892">
        <v>-67953521</v>
      </c>
      <c r="K3892">
        <v>-26645129</v>
      </c>
      <c r="L3892">
        <v>21232935</v>
      </c>
      <c r="M3892">
        <v>6504300</v>
      </c>
      <c r="N3892">
        <v>-42993029</v>
      </c>
      <c r="O3892">
        <v>-103256133</v>
      </c>
      <c r="P3892">
        <v>81</v>
      </c>
      <c r="Q3892" t="s">
        <v>7828</v>
      </c>
    </row>
    <row r="3893" spans="1:17" x14ac:dyDescent="0.3">
      <c r="A3893" t="s">
        <v>4446</v>
      </c>
      <c r="B3893" t="str">
        <f>"300093"</f>
        <v>300093</v>
      </c>
      <c r="C3893" t="s">
        <v>7829</v>
      </c>
      <c r="D3893" t="s">
        <v>350</v>
      </c>
      <c r="F3893">
        <v>-283245620</v>
      </c>
      <c r="G3893">
        <v>-120657992</v>
      </c>
      <c r="H3893">
        <v>260552119</v>
      </c>
      <c r="I3893">
        <v>-228293182</v>
      </c>
      <c r="J3893">
        <v>213523085</v>
      </c>
      <c r="K3893">
        <v>22154148</v>
      </c>
      <c r="L3893">
        <v>41640654</v>
      </c>
      <c r="M3893">
        <v>78071010</v>
      </c>
      <c r="N3893">
        <v>-67166426</v>
      </c>
      <c r="O3893">
        <v>86576100</v>
      </c>
      <c r="P3893">
        <v>80</v>
      </c>
      <c r="Q3893" t="s">
        <v>7830</v>
      </c>
    </row>
    <row r="3894" spans="1:17" x14ac:dyDescent="0.3">
      <c r="A3894" t="s">
        <v>4446</v>
      </c>
      <c r="B3894" t="str">
        <f>"300094"</f>
        <v>300094</v>
      </c>
      <c r="C3894" t="s">
        <v>7831</v>
      </c>
      <c r="D3894" t="s">
        <v>205</v>
      </c>
      <c r="F3894">
        <v>111506159</v>
      </c>
      <c r="G3894">
        <v>-343089982</v>
      </c>
      <c r="H3894">
        <v>-394462620</v>
      </c>
      <c r="I3894">
        <v>-282298690</v>
      </c>
      <c r="J3894">
        <v>-522036832</v>
      </c>
      <c r="K3894">
        <v>-256901750</v>
      </c>
      <c r="L3894">
        <v>-215853</v>
      </c>
      <c r="M3894">
        <v>-46084966</v>
      </c>
      <c r="N3894">
        <v>-228624385</v>
      </c>
      <c r="O3894">
        <v>-291926632</v>
      </c>
      <c r="P3894">
        <v>123</v>
      </c>
      <c r="Q3894" t="s">
        <v>7832</v>
      </c>
    </row>
    <row r="3895" spans="1:17" x14ac:dyDescent="0.3">
      <c r="A3895" t="s">
        <v>4446</v>
      </c>
      <c r="B3895" t="str">
        <f>"300095"</f>
        <v>300095</v>
      </c>
      <c r="C3895" t="s">
        <v>7833</v>
      </c>
      <c r="D3895" t="s">
        <v>78</v>
      </c>
      <c r="F3895">
        <v>-35565943</v>
      </c>
      <c r="G3895">
        <v>244435633</v>
      </c>
      <c r="H3895">
        <v>-3518094</v>
      </c>
      <c r="I3895">
        <v>-64108291</v>
      </c>
      <c r="J3895">
        <v>-84861421</v>
      </c>
      <c r="K3895">
        <v>-63774540</v>
      </c>
      <c r="L3895">
        <v>54933543</v>
      </c>
      <c r="M3895">
        <v>25866518</v>
      </c>
      <c r="N3895">
        <v>-41720301</v>
      </c>
      <c r="O3895">
        <v>-81544135</v>
      </c>
      <c r="P3895">
        <v>128</v>
      </c>
      <c r="Q3895" t="s">
        <v>7834</v>
      </c>
    </row>
    <row r="3896" spans="1:17" x14ac:dyDescent="0.3">
      <c r="A3896" t="s">
        <v>4446</v>
      </c>
      <c r="B3896" t="str">
        <f>"300096"</f>
        <v>300096</v>
      </c>
      <c r="C3896" t="s">
        <v>7835</v>
      </c>
      <c r="D3896" t="s">
        <v>212</v>
      </c>
      <c r="F3896">
        <v>-74561532</v>
      </c>
      <c r="G3896">
        <v>-109846794</v>
      </c>
      <c r="H3896">
        <v>18764797</v>
      </c>
      <c r="I3896">
        <v>37207391</v>
      </c>
      <c r="J3896">
        <v>-18759888</v>
      </c>
      <c r="K3896">
        <v>-294193065</v>
      </c>
      <c r="L3896">
        <v>31010532</v>
      </c>
      <c r="M3896">
        <v>31721348</v>
      </c>
      <c r="N3896">
        <v>-16170348</v>
      </c>
      <c r="O3896">
        <v>26240388</v>
      </c>
      <c r="P3896">
        <v>169</v>
      </c>
      <c r="Q3896" t="s">
        <v>7836</v>
      </c>
    </row>
    <row r="3897" spans="1:17" x14ac:dyDescent="0.3">
      <c r="A3897" t="s">
        <v>4446</v>
      </c>
      <c r="B3897" t="str">
        <f>"300097"</f>
        <v>300097</v>
      </c>
      <c r="C3897" t="s">
        <v>7837</v>
      </c>
      <c r="D3897" t="s">
        <v>78</v>
      </c>
      <c r="F3897">
        <v>9565074</v>
      </c>
      <c r="G3897">
        <v>161769431</v>
      </c>
      <c r="H3897">
        <v>-97603166</v>
      </c>
      <c r="I3897">
        <v>-77870057</v>
      </c>
      <c r="J3897">
        <v>-78369665</v>
      </c>
      <c r="K3897">
        <v>-202024154</v>
      </c>
      <c r="L3897">
        <v>37010543</v>
      </c>
      <c r="M3897">
        <v>-18841896</v>
      </c>
      <c r="N3897">
        <v>-6514826</v>
      </c>
      <c r="O3897">
        <v>6699262</v>
      </c>
      <c r="P3897">
        <v>203</v>
      </c>
      <c r="Q3897" t="s">
        <v>7838</v>
      </c>
    </row>
    <row r="3898" spans="1:17" x14ac:dyDescent="0.3">
      <c r="A3898" t="s">
        <v>4446</v>
      </c>
      <c r="B3898" t="str">
        <f>"300098"</f>
        <v>300098</v>
      </c>
      <c r="C3898" t="s">
        <v>7839</v>
      </c>
      <c r="D3898" t="s">
        <v>212</v>
      </c>
      <c r="F3898">
        <v>129235027</v>
      </c>
      <c r="G3898">
        <v>-285983171</v>
      </c>
      <c r="H3898">
        <v>-388042957</v>
      </c>
      <c r="I3898">
        <v>-287964717</v>
      </c>
      <c r="J3898">
        <v>8254643</v>
      </c>
      <c r="K3898">
        <v>235155866</v>
      </c>
      <c r="L3898">
        <v>-126948257</v>
      </c>
      <c r="M3898">
        <v>-146412799</v>
      </c>
      <c r="N3898">
        <v>-146647001</v>
      </c>
      <c r="O3898">
        <v>-40479447</v>
      </c>
      <c r="P3898">
        <v>368</v>
      </c>
      <c r="Q3898" t="s">
        <v>7840</v>
      </c>
    </row>
    <row r="3899" spans="1:17" x14ac:dyDescent="0.3">
      <c r="A3899" t="s">
        <v>4446</v>
      </c>
      <c r="B3899" t="str">
        <f>"300099"</f>
        <v>300099</v>
      </c>
      <c r="C3899" t="s">
        <v>7841</v>
      </c>
      <c r="D3899" t="s">
        <v>78</v>
      </c>
      <c r="F3899">
        <v>-13857792</v>
      </c>
      <c r="G3899">
        <v>79939641</v>
      </c>
      <c r="H3899">
        <v>166343588</v>
      </c>
      <c r="I3899">
        <v>29078456</v>
      </c>
      <c r="J3899">
        <v>60717922</v>
      </c>
      <c r="K3899">
        <v>85872792</v>
      </c>
      <c r="L3899">
        <v>-10540150</v>
      </c>
      <c r="M3899">
        <v>-38706361</v>
      </c>
      <c r="N3899">
        <v>11712439</v>
      </c>
      <c r="O3899">
        <v>-2893394</v>
      </c>
      <c r="P3899">
        <v>134</v>
      </c>
      <c r="Q3899" t="s">
        <v>7842</v>
      </c>
    </row>
    <row r="3900" spans="1:17" x14ac:dyDescent="0.3">
      <c r="A3900" t="s">
        <v>4446</v>
      </c>
      <c r="B3900" t="str">
        <f>"300100"</f>
        <v>300100</v>
      </c>
      <c r="C3900" t="s">
        <v>7843</v>
      </c>
      <c r="D3900" t="s">
        <v>27</v>
      </c>
      <c r="F3900">
        <v>185582477</v>
      </c>
      <c r="G3900">
        <v>475855967</v>
      </c>
      <c r="H3900">
        <v>216896997</v>
      </c>
      <c r="I3900">
        <v>373191313</v>
      </c>
      <c r="J3900">
        <v>-42036755</v>
      </c>
      <c r="K3900">
        <v>-33890989</v>
      </c>
      <c r="L3900">
        <v>73991390</v>
      </c>
      <c r="M3900">
        <v>-264396951</v>
      </c>
      <c r="N3900">
        <v>-157626235</v>
      </c>
      <c r="O3900">
        <v>5812317</v>
      </c>
      <c r="P3900">
        <v>129</v>
      </c>
      <c r="Q3900" t="s">
        <v>7844</v>
      </c>
    </row>
    <row r="3901" spans="1:17" x14ac:dyDescent="0.3">
      <c r="A3901" t="s">
        <v>4446</v>
      </c>
      <c r="B3901" t="str">
        <f>"300101"</f>
        <v>300101</v>
      </c>
      <c r="C3901" t="s">
        <v>7845</v>
      </c>
      <c r="D3901" t="s">
        <v>92</v>
      </c>
      <c r="F3901">
        <v>-27082164</v>
      </c>
      <c r="G3901">
        <v>9485064</v>
      </c>
      <c r="H3901">
        <v>-135060701</v>
      </c>
      <c r="I3901">
        <v>18570984</v>
      </c>
      <c r="J3901">
        <v>-35271684</v>
      </c>
      <c r="K3901">
        <v>-265630143</v>
      </c>
      <c r="L3901">
        <v>21817373</v>
      </c>
      <c r="M3901">
        <v>230419913</v>
      </c>
      <c r="N3901">
        <v>-17244898</v>
      </c>
      <c r="O3901">
        <v>-129039323</v>
      </c>
      <c r="P3901">
        <v>3121</v>
      </c>
      <c r="Q3901" t="s">
        <v>7846</v>
      </c>
    </row>
    <row r="3902" spans="1:17" x14ac:dyDescent="0.3">
      <c r="A3902" t="s">
        <v>4446</v>
      </c>
      <c r="B3902" t="str">
        <f>"300102"</f>
        <v>300102</v>
      </c>
      <c r="C3902" t="s">
        <v>7847</v>
      </c>
      <c r="D3902" t="s">
        <v>150</v>
      </c>
      <c r="F3902">
        <v>375182873</v>
      </c>
      <c r="G3902">
        <v>-112767858</v>
      </c>
      <c r="H3902">
        <v>-420409530</v>
      </c>
      <c r="I3902">
        <v>-1682109522</v>
      </c>
      <c r="J3902">
        <v>-58324310</v>
      </c>
      <c r="K3902">
        <v>-304962135</v>
      </c>
      <c r="L3902">
        <v>-669118631</v>
      </c>
      <c r="M3902">
        <v>-312510125</v>
      </c>
      <c r="N3902">
        <v>-37861607</v>
      </c>
      <c r="O3902">
        <v>38921106</v>
      </c>
      <c r="P3902">
        <v>158</v>
      </c>
      <c r="Q3902" t="s">
        <v>7848</v>
      </c>
    </row>
    <row r="3903" spans="1:17" x14ac:dyDescent="0.3">
      <c r="A3903" t="s">
        <v>4446</v>
      </c>
      <c r="B3903" t="str">
        <f>"300103"</f>
        <v>300103</v>
      </c>
      <c r="C3903" t="s">
        <v>7849</v>
      </c>
      <c r="D3903" t="s">
        <v>78</v>
      </c>
      <c r="F3903">
        <v>68604503</v>
      </c>
      <c r="G3903">
        <v>-95891377</v>
      </c>
      <c r="H3903">
        <v>36499243</v>
      </c>
      <c r="I3903">
        <v>-33346338</v>
      </c>
      <c r="J3903">
        <v>22227911</v>
      </c>
      <c r="K3903">
        <v>34602241</v>
      </c>
      <c r="L3903">
        <v>46128172</v>
      </c>
      <c r="M3903">
        <v>74807714</v>
      </c>
      <c r="N3903">
        <v>-26028055</v>
      </c>
      <c r="O3903">
        <v>29990529</v>
      </c>
      <c r="P3903">
        <v>53</v>
      </c>
      <c r="Q3903" t="s">
        <v>7850</v>
      </c>
    </row>
    <row r="3904" spans="1:17" x14ac:dyDescent="0.3">
      <c r="A3904" t="s">
        <v>4446</v>
      </c>
      <c r="B3904" t="str">
        <f>"300104"</f>
        <v>300104</v>
      </c>
      <c r="C3904" t="s">
        <v>7851</v>
      </c>
      <c r="H3904">
        <v>-172639044</v>
      </c>
      <c r="I3904">
        <v>-1294504037</v>
      </c>
      <c r="J3904">
        <v>-5251203160</v>
      </c>
      <c r="K3904">
        <v>-6537969410</v>
      </c>
      <c r="L3904">
        <v>-1933643509.4200001</v>
      </c>
      <c r="M3904">
        <v>-1039684417.22</v>
      </c>
      <c r="N3904">
        <v>-730972462.78999996</v>
      </c>
      <c r="O3904">
        <v>-669053232.63</v>
      </c>
      <c r="P3904">
        <v>205</v>
      </c>
      <c r="Q3904" t="s">
        <v>7852</v>
      </c>
    </row>
    <row r="3905" spans="1:17" x14ac:dyDescent="0.3">
      <c r="A3905" t="s">
        <v>4446</v>
      </c>
      <c r="B3905" t="str">
        <f>"300105"</f>
        <v>300105</v>
      </c>
      <c r="C3905" t="s">
        <v>7853</v>
      </c>
      <c r="D3905" t="s">
        <v>188</v>
      </c>
      <c r="F3905">
        <v>53319563</v>
      </c>
      <c r="G3905">
        <v>774727</v>
      </c>
      <c r="H3905">
        <v>13419639</v>
      </c>
      <c r="I3905">
        <v>86782962</v>
      </c>
      <c r="J3905">
        <v>-73788287</v>
      </c>
      <c r="K3905">
        <v>224242188</v>
      </c>
      <c r="L3905">
        <v>22197069</v>
      </c>
      <c r="M3905">
        <v>-167109701</v>
      </c>
      <c r="N3905">
        <v>45503457</v>
      </c>
      <c r="O3905">
        <v>32852009</v>
      </c>
      <c r="P3905">
        <v>56</v>
      </c>
      <c r="Q3905" t="s">
        <v>7854</v>
      </c>
    </row>
    <row r="3906" spans="1:17" x14ac:dyDescent="0.3">
      <c r="A3906" t="s">
        <v>4446</v>
      </c>
      <c r="B3906" t="str">
        <f>"300106"</f>
        <v>300106</v>
      </c>
      <c r="C3906" t="s">
        <v>7855</v>
      </c>
      <c r="D3906" t="s">
        <v>123</v>
      </c>
      <c r="F3906">
        <v>59704137</v>
      </c>
      <c r="G3906">
        <v>126249336</v>
      </c>
      <c r="H3906">
        <v>-6176618</v>
      </c>
      <c r="I3906">
        <v>821669039</v>
      </c>
      <c r="J3906">
        <v>-37017049</v>
      </c>
      <c r="K3906">
        <v>-421090867</v>
      </c>
      <c r="L3906">
        <v>-27343265</v>
      </c>
      <c r="M3906">
        <v>-277823937</v>
      </c>
      <c r="N3906">
        <v>-103003445</v>
      </c>
      <c r="O3906">
        <v>-107488662</v>
      </c>
      <c r="P3906">
        <v>124</v>
      </c>
      <c r="Q3906" t="s">
        <v>7856</v>
      </c>
    </row>
    <row r="3907" spans="1:17" x14ac:dyDescent="0.3">
      <c r="A3907" t="s">
        <v>4446</v>
      </c>
      <c r="B3907" t="str">
        <f>"300107"</f>
        <v>300107</v>
      </c>
      <c r="C3907" t="s">
        <v>7857</v>
      </c>
      <c r="D3907" t="s">
        <v>133</v>
      </c>
      <c r="F3907">
        <v>-59407446</v>
      </c>
      <c r="G3907">
        <v>176812673</v>
      </c>
      <c r="H3907">
        <v>294123371</v>
      </c>
      <c r="I3907">
        <v>228462885</v>
      </c>
      <c r="J3907">
        <v>53562025</v>
      </c>
      <c r="K3907">
        <v>84353821</v>
      </c>
      <c r="L3907">
        <v>45422938</v>
      </c>
      <c r="M3907">
        <v>30981231</v>
      </c>
      <c r="N3907">
        <v>1769746</v>
      </c>
      <c r="O3907">
        <v>-89804590</v>
      </c>
      <c r="P3907">
        <v>239</v>
      </c>
      <c r="Q3907" t="s">
        <v>7858</v>
      </c>
    </row>
    <row r="3908" spans="1:17" x14ac:dyDescent="0.3">
      <c r="A3908" t="s">
        <v>4446</v>
      </c>
      <c r="B3908" t="str">
        <f>"300108"</f>
        <v>300108</v>
      </c>
      <c r="C3908" t="s">
        <v>7859</v>
      </c>
      <c r="D3908" t="s">
        <v>113</v>
      </c>
      <c r="G3908">
        <v>-151699041</v>
      </c>
      <c r="H3908">
        <v>143357116</v>
      </c>
      <c r="I3908">
        <v>-268374625</v>
      </c>
      <c r="J3908">
        <v>-155634884</v>
      </c>
      <c r="K3908">
        <v>-104242444</v>
      </c>
      <c r="L3908">
        <v>64412435</v>
      </c>
      <c r="M3908">
        <v>16788495</v>
      </c>
      <c r="N3908">
        <v>-11893476</v>
      </c>
      <c r="O3908">
        <v>-34845036</v>
      </c>
      <c r="P3908">
        <v>121</v>
      </c>
      <c r="Q3908" t="s">
        <v>7860</v>
      </c>
    </row>
    <row r="3909" spans="1:17" x14ac:dyDescent="0.3">
      <c r="A3909" t="s">
        <v>4446</v>
      </c>
      <c r="B3909" t="str">
        <f>"300109"</f>
        <v>300109</v>
      </c>
      <c r="C3909" t="s">
        <v>7861</v>
      </c>
      <c r="D3909" t="s">
        <v>133</v>
      </c>
      <c r="F3909">
        <v>-169068211</v>
      </c>
      <c r="G3909">
        <v>170731318</v>
      </c>
      <c r="H3909">
        <v>-62691483</v>
      </c>
      <c r="I3909">
        <v>-75353940</v>
      </c>
      <c r="J3909">
        <v>-81879868</v>
      </c>
      <c r="K3909">
        <v>65675664</v>
      </c>
      <c r="L3909">
        <v>23714693</v>
      </c>
      <c r="M3909">
        <v>-507550</v>
      </c>
      <c r="N3909">
        <v>-12299511</v>
      </c>
      <c r="O3909">
        <v>-70311675</v>
      </c>
      <c r="P3909">
        <v>122</v>
      </c>
      <c r="Q3909" t="s">
        <v>7862</v>
      </c>
    </row>
    <row r="3910" spans="1:17" x14ac:dyDescent="0.3">
      <c r="A3910" t="s">
        <v>4446</v>
      </c>
      <c r="B3910" t="str">
        <f>"300110"</f>
        <v>300110</v>
      </c>
      <c r="C3910" t="s">
        <v>7863</v>
      </c>
      <c r="D3910" t="s">
        <v>113</v>
      </c>
      <c r="F3910">
        <v>-606308729</v>
      </c>
      <c r="G3910">
        <v>-68705634</v>
      </c>
      <c r="H3910">
        <v>277426843</v>
      </c>
      <c r="I3910">
        <v>216005018</v>
      </c>
      <c r="J3910">
        <v>131735123</v>
      </c>
      <c r="K3910">
        <v>12698675</v>
      </c>
      <c r="L3910">
        <v>-137966566</v>
      </c>
      <c r="M3910">
        <v>-194041279</v>
      </c>
      <c r="N3910">
        <v>-186567132</v>
      </c>
      <c r="O3910">
        <v>-170985613</v>
      </c>
      <c r="P3910">
        <v>126</v>
      </c>
      <c r="Q3910" t="s">
        <v>7864</v>
      </c>
    </row>
    <row r="3911" spans="1:17" x14ac:dyDescent="0.3">
      <c r="A3911" t="s">
        <v>4446</v>
      </c>
      <c r="B3911" t="str">
        <f>"300111"</f>
        <v>300111</v>
      </c>
      <c r="C3911" t="s">
        <v>7865</v>
      </c>
      <c r="D3911" t="s">
        <v>188</v>
      </c>
      <c r="F3911">
        <v>86239941</v>
      </c>
      <c r="G3911">
        <v>31446667</v>
      </c>
      <c r="H3911">
        <v>63636857</v>
      </c>
      <c r="I3911">
        <v>69811924</v>
      </c>
      <c r="J3911">
        <v>166213675</v>
      </c>
      <c r="K3911">
        <v>325035300</v>
      </c>
      <c r="L3911">
        <v>187267817</v>
      </c>
      <c r="M3911">
        <v>-39514515</v>
      </c>
      <c r="N3911">
        <v>-98164825</v>
      </c>
      <c r="O3911">
        <v>155662690</v>
      </c>
      <c r="P3911">
        <v>124</v>
      </c>
      <c r="Q3911" t="s">
        <v>7866</v>
      </c>
    </row>
    <row r="3912" spans="1:17" x14ac:dyDescent="0.3">
      <c r="A3912" t="s">
        <v>4446</v>
      </c>
      <c r="B3912" t="str">
        <f>"300112"</f>
        <v>300112</v>
      </c>
      <c r="C3912" t="s">
        <v>7867</v>
      </c>
      <c r="D3912" t="s">
        <v>78</v>
      </c>
      <c r="F3912">
        <v>36218250</v>
      </c>
      <c r="G3912">
        <v>54400656</v>
      </c>
      <c r="H3912">
        <v>59211960</v>
      </c>
      <c r="I3912">
        <v>-15206117</v>
      </c>
      <c r="J3912">
        <v>33398073</v>
      </c>
      <c r="K3912">
        <v>63620161</v>
      </c>
      <c r="L3912">
        <v>-6425535</v>
      </c>
      <c r="M3912">
        <v>-13329269</v>
      </c>
      <c r="N3912">
        <v>6749683</v>
      </c>
      <c r="O3912">
        <v>-17205400</v>
      </c>
      <c r="P3912">
        <v>123</v>
      </c>
      <c r="Q3912" t="s">
        <v>7868</v>
      </c>
    </row>
    <row r="3913" spans="1:17" x14ac:dyDescent="0.3">
      <c r="A3913" t="s">
        <v>4446</v>
      </c>
      <c r="B3913" t="str">
        <f>"300113"</f>
        <v>300113</v>
      </c>
      <c r="C3913" t="s">
        <v>7869</v>
      </c>
      <c r="D3913" t="s">
        <v>89</v>
      </c>
      <c r="F3913">
        <v>229044821</v>
      </c>
      <c r="G3913">
        <v>-88313053</v>
      </c>
      <c r="H3913">
        <v>233160140</v>
      </c>
      <c r="I3913">
        <v>617825530</v>
      </c>
      <c r="J3913">
        <v>662534356</v>
      </c>
      <c r="K3913">
        <v>637957080</v>
      </c>
      <c r="L3913">
        <v>414958189</v>
      </c>
      <c r="M3913">
        <v>257376418</v>
      </c>
      <c r="N3913">
        <v>114591461</v>
      </c>
      <c r="O3913">
        <v>82432401</v>
      </c>
      <c r="P3913">
        <v>481</v>
      </c>
      <c r="Q3913" t="s">
        <v>7870</v>
      </c>
    </row>
    <row r="3914" spans="1:17" x14ac:dyDescent="0.3">
      <c r="A3914" t="s">
        <v>4446</v>
      </c>
      <c r="B3914" t="str">
        <f>"300114"</f>
        <v>300114</v>
      </c>
      <c r="C3914" t="s">
        <v>7871</v>
      </c>
      <c r="D3914" t="s">
        <v>92</v>
      </c>
      <c r="F3914">
        <v>-278686099</v>
      </c>
      <c r="G3914">
        <v>56869668</v>
      </c>
      <c r="H3914">
        <v>277072372</v>
      </c>
      <c r="I3914">
        <v>45370918</v>
      </c>
      <c r="J3914">
        <v>115010587</v>
      </c>
      <c r="K3914">
        <v>194157722</v>
      </c>
      <c r="L3914">
        <v>83753568</v>
      </c>
      <c r="M3914">
        <v>13687955</v>
      </c>
      <c r="N3914">
        <v>-57344504</v>
      </c>
      <c r="O3914">
        <v>-81126390</v>
      </c>
      <c r="P3914">
        <v>259</v>
      </c>
      <c r="Q3914" t="s">
        <v>7872</v>
      </c>
    </row>
    <row r="3915" spans="1:17" x14ac:dyDescent="0.3">
      <c r="A3915" t="s">
        <v>4446</v>
      </c>
      <c r="B3915" t="str">
        <f>"300115"</f>
        <v>300115</v>
      </c>
      <c r="C3915" t="s">
        <v>7873</v>
      </c>
      <c r="D3915" t="s">
        <v>150</v>
      </c>
      <c r="F3915">
        <v>-2300707934</v>
      </c>
      <c r="G3915">
        <v>-598692668</v>
      </c>
      <c r="H3915">
        <v>44975152</v>
      </c>
      <c r="I3915">
        <v>165139835</v>
      </c>
      <c r="J3915">
        <v>-927102210</v>
      </c>
      <c r="K3915">
        <v>107681004</v>
      </c>
      <c r="L3915">
        <v>-26575886</v>
      </c>
      <c r="M3915">
        <v>-694081260</v>
      </c>
      <c r="N3915">
        <v>-11884455</v>
      </c>
      <c r="O3915">
        <v>-356650785</v>
      </c>
      <c r="P3915">
        <v>870</v>
      </c>
      <c r="Q3915" t="s">
        <v>7874</v>
      </c>
    </row>
    <row r="3916" spans="1:17" x14ac:dyDescent="0.3">
      <c r="A3916" t="s">
        <v>4446</v>
      </c>
      <c r="B3916" t="str">
        <f>"300116"</f>
        <v>300116</v>
      </c>
      <c r="C3916" t="s">
        <v>7875</v>
      </c>
      <c r="D3916" t="s">
        <v>188</v>
      </c>
      <c r="F3916">
        <v>-19178009</v>
      </c>
      <c r="G3916">
        <v>-374597151</v>
      </c>
      <c r="H3916">
        <v>-108704347</v>
      </c>
      <c r="I3916">
        <v>262427090</v>
      </c>
      <c r="J3916">
        <v>-3432179072</v>
      </c>
      <c r="K3916">
        <v>-2251710443</v>
      </c>
      <c r="L3916">
        <v>-14491846</v>
      </c>
      <c r="M3916">
        <v>-31385177</v>
      </c>
      <c r="N3916">
        <v>-85742235</v>
      </c>
      <c r="O3916">
        <v>-105560868</v>
      </c>
      <c r="P3916">
        <v>173</v>
      </c>
      <c r="Q3916" t="s">
        <v>7876</v>
      </c>
    </row>
    <row r="3917" spans="1:17" x14ac:dyDescent="0.3">
      <c r="A3917" t="s">
        <v>4446</v>
      </c>
      <c r="B3917" t="str">
        <f>"300117"</f>
        <v>300117</v>
      </c>
      <c r="C3917" t="s">
        <v>7877</v>
      </c>
      <c r="D3917" t="s">
        <v>95</v>
      </c>
      <c r="F3917">
        <v>87958537</v>
      </c>
      <c r="G3917">
        <v>224004060</v>
      </c>
      <c r="H3917">
        <v>-9052283</v>
      </c>
      <c r="I3917">
        <v>-188254257</v>
      </c>
      <c r="J3917">
        <v>60597040</v>
      </c>
      <c r="K3917">
        <v>-19744315</v>
      </c>
      <c r="L3917">
        <v>-82837888</v>
      </c>
      <c r="M3917">
        <v>-314780055</v>
      </c>
      <c r="N3917">
        <v>-363855410</v>
      </c>
      <c r="O3917">
        <v>-223131174</v>
      </c>
      <c r="P3917">
        <v>179</v>
      </c>
      <c r="Q3917" t="s">
        <v>7878</v>
      </c>
    </row>
    <row r="3918" spans="1:17" x14ac:dyDescent="0.3">
      <c r="A3918" t="s">
        <v>4446</v>
      </c>
      <c r="B3918" t="str">
        <f>"300118"</f>
        <v>300118</v>
      </c>
      <c r="C3918" t="s">
        <v>7879</v>
      </c>
      <c r="D3918" t="s">
        <v>188</v>
      </c>
      <c r="F3918">
        <v>-3426975432</v>
      </c>
      <c r="G3918">
        <v>-91091099</v>
      </c>
      <c r="H3918">
        <v>2069243624</v>
      </c>
      <c r="I3918">
        <v>-2025120369</v>
      </c>
      <c r="J3918">
        <v>-750982298</v>
      </c>
      <c r="K3918">
        <v>85213974</v>
      </c>
      <c r="L3918">
        <v>-387013948</v>
      </c>
      <c r="M3918">
        <v>-185058748</v>
      </c>
      <c r="N3918">
        <v>-150433007</v>
      </c>
      <c r="O3918">
        <v>-579111301</v>
      </c>
      <c r="P3918">
        <v>443</v>
      </c>
      <c r="Q3918" t="s">
        <v>7880</v>
      </c>
    </row>
    <row r="3919" spans="1:17" x14ac:dyDescent="0.3">
      <c r="A3919" t="s">
        <v>4446</v>
      </c>
      <c r="B3919" t="str">
        <f>"300119"</f>
        <v>300119</v>
      </c>
      <c r="C3919" t="s">
        <v>7881</v>
      </c>
      <c r="D3919" t="s">
        <v>205</v>
      </c>
      <c r="F3919">
        <v>79881430</v>
      </c>
      <c r="G3919">
        <v>129441522</v>
      </c>
      <c r="H3919">
        <v>155217057</v>
      </c>
      <c r="I3919">
        <v>62500784</v>
      </c>
      <c r="J3919">
        <v>-773498</v>
      </c>
      <c r="K3919">
        <v>79810794</v>
      </c>
      <c r="L3919">
        <v>74236263</v>
      </c>
      <c r="M3919">
        <v>-54646321</v>
      </c>
      <c r="N3919">
        <v>-162814126</v>
      </c>
      <c r="O3919">
        <v>-77454610</v>
      </c>
      <c r="P3919">
        <v>388</v>
      </c>
      <c r="Q3919" t="s">
        <v>7882</v>
      </c>
    </row>
    <row r="3920" spans="1:17" x14ac:dyDescent="0.3">
      <c r="A3920" t="s">
        <v>4446</v>
      </c>
      <c r="B3920" t="str">
        <f>"300120"</f>
        <v>300120</v>
      </c>
      <c r="C3920" t="s">
        <v>7883</v>
      </c>
      <c r="D3920" t="s">
        <v>150</v>
      </c>
      <c r="F3920">
        <v>113468012</v>
      </c>
      <c r="G3920">
        <v>-213579059</v>
      </c>
      <c r="H3920">
        <v>-56311396</v>
      </c>
      <c r="I3920">
        <v>33250527</v>
      </c>
      <c r="J3920">
        <v>7505257</v>
      </c>
      <c r="K3920">
        <v>-41508135</v>
      </c>
      <c r="L3920">
        <v>-40486309</v>
      </c>
      <c r="M3920">
        <v>-63383735</v>
      </c>
      <c r="N3920">
        <v>-46086491</v>
      </c>
      <c r="O3920">
        <v>-115250784</v>
      </c>
      <c r="P3920">
        <v>105</v>
      </c>
      <c r="Q3920" t="s">
        <v>7884</v>
      </c>
    </row>
    <row r="3921" spans="1:17" x14ac:dyDescent="0.3">
      <c r="A3921" t="s">
        <v>4446</v>
      </c>
      <c r="B3921" t="str">
        <f>"300121"</f>
        <v>300121</v>
      </c>
      <c r="C3921" t="s">
        <v>7885</v>
      </c>
      <c r="D3921" t="s">
        <v>133</v>
      </c>
      <c r="F3921">
        <v>14268130</v>
      </c>
      <c r="G3921">
        <v>-50611047</v>
      </c>
      <c r="H3921">
        <v>58457054</v>
      </c>
      <c r="I3921">
        <v>234177022</v>
      </c>
      <c r="J3921">
        <v>-31023454</v>
      </c>
      <c r="K3921">
        <v>130026270</v>
      </c>
      <c r="L3921">
        <v>28237393</v>
      </c>
      <c r="M3921">
        <v>-150511909</v>
      </c>
      <c r="N3921">
        <v>6468106</v>
      </c>
      <c r="O3921">
        <v>-157959310</v>
      </c>
      <c r="P3921">
        <v>353</v>
      </c>
      <c r="Q3921" t="s">
        <v>7886</v>
      </c>
    </row>
    <row r="3922" spans="1:17" x14ac:dyDescent="0.3">
      <c r="A3922" t="s">
        <v>4446</v>
      </c>
      <c r="B3922" t="str">
        <f>"300122"</f>
        <v>300122</v>
      </c>
      <c r="C3922" t="s">
        <v>7887</v>
      </c>
      <c r="D3922" t="s">
        <v>113</v>
      </c>
      <c r="F3922">
        <v>6575809147</v>
      </c>
      <c r="G3922">
        <v>2669807395</v>
      </c>
      <c r="H3922">
        <v>794260463</v>
      </c>
      <c r="I3922">
        <v>106455002</v>
      </c>
      <c r="J3922">
        <v>-27044178</v>
      </c>
      <c r="K3922">
        <v>-217861434</v>
      </c>
      <c r="L3922">
        <v>-2090305</v>
      </c>
      <c r="M3922">
        <v>-115519002</v>
      </c>
      <c r="N3922">
        <v>20244401</v>
      </c>
      <c r="O3922">
        <v>-86049847</v>
      </c>
      <c r="P3922">
        <v>3431</v>
      </c>
      <c r="Q3922" t="s">
        <v>7888</v>
      </c>
    </row>
    <row r="3923" spans="1:17" x14ac:dyDescent="0.3">
      <c r="A3923" t="s">
        <v>4446</v>
      </c>
      <c r="B3923" t="str">
        <f>"300123"</f>
        <v>300123</v>
      </c>
      <c r="C3923" t="s">
        <v>7889</v>
      </c>
      <c r="D3923" t="s">
        <v>92</v>
      </c>
      <c r="F3923">
        <v>-520028157</v>
      </c>
      <c r="G3923">
        <v>-116188442</v>
      </c>
      <c r="H3923">
        <v>-7224727</v>
      </c>
      <c r="I3923">
        <v>-345186065</v>
      </c>
      <c r="J3923">
        <v>-98398986</v>
      </c>
      <c r="K3923">
        <v>-94967305</v>
      </c>
      <c r="L3923">
        <v>-9801460</v>
      </c>
      <c r="M3923">
        <v>-138736216</v>
      </c>
      <c r="N3923">
        <v>-240064147</v>
      </c>
      <c r="O3923">
        <v>-65038675</v>
      </c>
      <c r="P3923">
        <v>232</v>
      </c>
      <c r="Q3923" t="s">
        <v>7890</v>
      </c>
    </row>
    <row r="3924" spans="1:17" x14ac:dyDescent="0.3">
      <c r="A3924" t="s">
        <v>4446</v>
      </c>
      <c r="B3924" t="str">
        <f>"300124"</f>
        <v>300124</v>
      </c>
      <c r="C3924" t="s">
        <v>7891</v>
      </c>
      <c r="D3924" t="s">
        <v>78</v>
      </c>
      <c r="F3924">
        <v>993196865</v>
      </c>
      <c r="G3924">
        <v>1109920166</v>
      </c>
      <c r="H3924">
        <v>1112383485</v>
      </c>
      <c r="I3924">
        <v>190802022</v>
      </c>
      <c r="J3924">
        <v>331948159</v>
      </c>
      <c r="K3924">
        <v>284045521</v>
      </c>
      <c r="L3924">
        <v>594309669</v>
      </c>
      <c r="M3924">
        <v>397392650</v>
      </c>
      <c r="N3924">
        <v>381346816</v>
      </c>
      <c r="O3924">
        <v>225534440</v>
      </c>
      <c r="P3924">
        <v>2415</v>
      </c>
      <c r="Q3924" t="s">
        <v>7892</v>
      </c>
    </row>
    <row r="3925" spans="1:17" x14ac:dyDescent="0.3">
      <c r="A3925" t="s">
        <v>4446</v>
      </c>
      <c r="B3925" t="str">
        <f>"300125"</f>
        <v>300125</v>
      </c>
      <c r="C3925" t="s">
        <v>7893</v>
      </c>
      <c r="D3925" t="s">
        <v>41</v>
      </c>
      <c r="F3925">
        <v>-290994596</v>
      </c>
      <c r="G3925">
        <v>-26270028</v>
      </c>
      <c r="H3925">
        <v>83386703</v>
      </c>
      <c r="I3925">
        <v>15734662</v>
      </c>
      <c r="J3925">
        <v>-17542325</v>
      </c>
      <c r="K3925">
        <v>9532226</v>
      </c>
      <c r="L3925">
        <v>-2715874</v>
      </c>
      <c r="M3925">
        <v>-134573611</v>
      </c>
      <c r="N3925">
        <v>40962193</v>
      </c>
      <c r="O3925">
        <v>24009584</v>
      </c>
      <c r="P3925">
        <v>59</v>
      </c>
      <c r="Q3925" t="s">
        <v>7894</v>
      </c>
    </row>
    <row r="3926" spans="1:17" x14ac:dyDescent="0.3">
      <c r="A3926" t="s">
        <v>4446</v>
      </c>
      <c r="B3926" t="str">
        <f>"300126"</f>
        <v>300126</v>
      </c>
      <c r="C3926" t="s">
        <v>7895</v>
      </c>
      <c r="D3926" t="s">
        <v>78</v>
      </c>
      <c r="F3926">
        <v>-15133204</v>
      </c>
      <c r="G3926">
        <v>2673474</v>
      </c>
      <c r="H3926">
        <v>32133532</v>
      </c>
      <c r="I3926">
        <v>56267208</v>
      </c>
      <c r="J3926">
        <v>54305508</v>
      </c>
      <c r="K3926">
        <v>64939767</v>
      </c>
      <c r="L3926">
        <v>-50643418</v>
      </c>
      <c r="M3926">
        <v>-15283562</v>
      </c>
      <c r="N3926">
        <v>-27261658</v>
      </c>
      <c r="O3926">
        <v>10995087</v>
      </c>
      <c r="P3926">
        <v>50</v>
      </c>
      <c r="Q3926" t="s">
        <v>7896</v>
      </c>
    </row>
    <row r="3927" spans="1:17" x14ac:dyDescent="0.3">
      <c r="A3927" t="s">
        <v>4446</v>
      </c>
      <c r="B3927" t="str">
        <f>"300127"</f>
        <v>300127</v>
      </c>
      <c r="C3927" t="s">
        <v>7897</v>
      </c>
      <c r="D3927" t="s">
        <v>234</v>
      </c>
      <c r="F3927">
        <v>20143883</v>
      </c>
      <c r="G3927">
        <v>87684462</v>
      </c>
      <c r="H3927">
        <v>91989545</v>
      </c>
      <c r="I3927">
        <v>95632916</v>
      </c>
      <c r="J3927">
        <v>147610140</v>
      </c>
      <c r="K3927">
        <v>62461782</v>
      </c>
      <c r="L3927">
        <v>64414762</v>
      </c>
      <c r="M3927">
        <v>81942096</v>
      </c>
      <c r="N3927">
        <v>15566277</v>
      </c>
      <c r="O3927">
        <v>52068668</v>
      </c>
      <c r="P3927">
        <v>205</v>
      </c>
      <c r="Q3927" t="s">
        <v>7898</v>
      </c>
    </row>
    <row r="3928" spans="1:17" x14ac:dyDescent="0.3">
      <c r="A3928" t="s">
        <v>4446</v>
      </c>
      <c r="B3928" t="str">
        <f>"300128"</f>
        <v>300128</v>
      </c>
      <c r="C3928" t="s">
        <v>7899</v>
      </c>
      <c r="D3928" t="s">
        <v>150</v>
      </c>
      <c r="F3928">
        <v>126305997</v>
      </c>
      <c r="G3928">
        <v>196712714</v>
      </c>
      <c r="H3928">
        <v>145766167</v>
      </c>
      <c r="I3928">
        <v>-313422799</v>
      </c>
      <c r="J3928">
        <v>-124672055</v>
      </c>
      <c r="K3928">
        <v>-22032129</v>
      </c>
      <c r="L3928">
        <v>267958979</v>
      </c>
      <c r="M3928">
        <v>271060096</v>
      </c>
      <c r="N3928">
        <v>-103635275</v>
      </c>
      <c r="O3928">
        <v>-91887351</v>
      </c>
      <c r="P3928">
        <v>145</v>
      </c>
      <c r="Q3928" t="s">
        <v>7900</v>
      </c>
    </row>
    <row r="3929" spans="1:17" x14ac:dyDescent="0.3">
      <c r="A3929" t="s">
        <v>4446</v>
      </c>
      <c r="B3929" t="str">
        <f>"300129"</f>
        <v>300129</v>
      </c>
      <c r="C3929" t="s">
        <v>7901</v>
      </c>
      <c r="D3929" t="s">
        <v>188</v>
      </c>
      <c r="F3929">
        <v>-103223379</v>
      </c>
      <c r="G3929">
        <v>-93311980</v>
      </c>
      <c r="H3929">
        <v>291394873</v>
      </c>
      <c r="I3929">
        <v>134088194</v>
      </c>
      <c r="J3929">
        <v>-11125012</v>
      </c>
      <c r="K3929">
        <v>96754825</v>
      </c>
      <c r="L3929">
        <v>-14421642</v>
      </c>
      <c r="M3929">
        <v>-37654814</v>
      </c>
      <c r="N3929">
        <v>-20153969</v>
      </c>
      <c r="O3929">
        <v>-94925264</v>
      </c>
      <c r="P3929">
        <v>183</v>
      </c>
      <c r="Q3929" t="s">
        <v>7902</v>
      </c>
    </row>
    <row r="3930" spans="1:17" x14ac:dyDescent="0.3">
      <c r="A3930" t="s">
        <v>4446</v>
      </c>
      <c r="B3930" t="str">
        <f>"300130"</f>
        <v>300130</v>
      </c>
      <c r="C3930" t="s">
        <v>7903</v>
      </c>
      <c r="D3930" t="s">
        <v>212</v>
      </c>
      <c r="F3930">
        <v>210694893</v>
      </c>
      <c r="G3930">
        <v>325675344</v>
      </c>
      <c r="H3930">
        <v>198680355</v>
      </c>
      <c r="I3930">
        <v>224041294</v>
      </c>
      <c r="J3930">
        <v>4803818</v>
      </c>
      <c r="K3930">
        <v>221043170</v>
      </c>
      <c r="L3930">
        <v>189187239</v>
      </c>
      <c r="M3930">
        <v>-182083846</v>
      </c>
      <c r="N3930">
        <v>-19350392</v>
      </c>
      <c r="O3930">
        <v>-62726384</v>
      </c>
      <c r="P3930">
        <v>203</v>
      </c>
      <c r="Q3930" t="s">
        <v>7904</v>
      </c>
    </row>
    <row r="3931" spans="1:17" x14ac:dyDescent="0.3">
      <c r="A3931" t="s">
        <v>4446</v>
      </c>
      <c r="B3931" t="str">
        <f>"300131"</f>
        <v>300131</v>
      </c>
      <c r="C3931" t="s">
        <v>7905</v>
      </c>
      <c r="D3931" t="s">
        <v>150</v>
      </c>
      <c r="F3931">
        <v>320736305</v>
      </c>
      <c r="G3931">
        <v>51014578</v>
      </c>
      <c r="H3931">
        <v>852399827</v>
      </c>
      <c r="I3931">
        <v>-244054641</v>
      </c>
      <c r="J3931">
        <v>-503625002</v>
      </c>
      <c r="K3931">
        <v>-28718024</v>
      </c>
      <c r="L3931">
        <v>-171912303</v>
      </c>
      <c r="M3931">
        <v>-124875225</v>
      </c>
      <c r="N3931">
        <v>-241307985</v>
      </c>
      <c r="O3931">
        <v>-134465063</v>
      </c>
      <c r="P3931">
        <v>207</v>
      </c>
      <c r="Q3931" t="s">
        <v>7906</v>
      </c>
    </row>
    <row r="3932" spans="1:17" x14ac:dyDescent="0.3">
      <c r="A3932" t="s">
        <v>4446</v>
      </c>
      <c r="B3932" t="str">
        <f>"300132"</f>
        <v>300132</v>
      </c>
      <c r="C3932" t="s">
        <v>7907</v>
      </c>
      <c r="D3932" t="s">
        <v>481</v>
      </c>
      <c r="F3932">
        <v>-332060130</v>
      </c>
      <c r="G3932">
        <v>468493067</v>
      </c>
      <c r="H3932">
        <v>586452326</v>
      </c>
      <c r="I3932">
        <v>42532966</v>
      </c>
      <c r="J3932">
        <v>-21609250</v>
      </c>
      <c r="K3932">
        <v>64102025</v>
      </c>
      <c r="L3932">
        <v>75103443</v>
      </c>
      <c r="M3932">
        <v>35024790</v>
      </c>
      <c r="N3932">
        <v>16871235</v>
      </c>
      <c r="O3932">
        <v>-120481966</v>
      </c>
      <c r="P3932">
        <v>399</v>
      </c>
      <c r="Q3932" t="s">
        <v>7908</v>
      </c>
    </row>
    <row r="3933" spans="1:17" x14ac:dyDescent="0.3">
      <c r="A3933" t="s">
        <v>4446</v>
      </c>
      <c r="B3933" t="str">
        <f>"300133"</f>
        <v>300133</v>
      </c>
      <c r="C3933" t="s">
        <v>7909</v>
      </c>
      <c r="D3933" t="s">
        <v>89</v>
      </c>
      <c r="F3933">
        <v>1398929862</v>
      </c>
      <c r="G3933">
        <v>869123831</v>
      </c>
      <c r="H3933">
        <v>1064591905</v>
      </c>
      <c r="I3933">
        <v>278583056</v>
      </c>
      <c r="J3933">
        <v>694726092</v>
      </c>
      <c r="K3933">
        <v>-712476613</v>
      </c>
      <c r="L3933">
        <v>-629075194</v>
      </c>
      <c r="M3933">
        <v>181594129</v>
      </c>
      <c r="N3933">
        <v>-85821004</v>
      </c>
      <c r="O3933">
        <v>-89168482</v>
      </c>
      <c r="P3933">
        <v>349</v>
      </c>
      <c r="Q3933" t="s">
        <v>7910</v>
      </c>
    </row>
    <row r="3934" spans="1:17" x14ac:dyDescent="0.3">
      <c r="A3934" t="s">
        <v>4446</v>
      </c>
      <c r="B3934" t="str">
        <f>"300134"</f>
        <v>300134</v>
      </c>
      <c r="C3934" t="s">
        <v>7911</v>
      </c>
      <c r="D3934" t="s">
        <v>100</v>
      </c>
      <c r="F3934">
        <v>-368298539</v>
      </c>
      <c r="G3934">
        <v>-133198069</v>
      </c>
      <c r="H3934">
        <v>262637223</v>
      </c>
      <c r="I3934">
        <v>-237475995</v>
      </c>
      <c r="J3934">
        <v>-122693082</v>
      </c>
      <c r="K3934">
        <v>-76813071</v>
      </c>
      <c r="L3934">
        <v>-224845119</v>
      </c>
      <c r="M3934">
        <v>-235876660</v>
      </c>
      <c r="N3934">
        <v>77124990</v>
      </c>
      <c r="O3934">
        <v>-658578029</v>
      </c>
      <c r="P3934">
        <v>342</v>
      </c>
      <c r="Q3934" t="s">
        <v>7912</v>
      </c>
    </row>
    <row r="3935" spans="1:17" x14ac:dyDescent="0.3">
      <c r="A3935" t="s">
        <v>4446</v>
      </c>
      <c r="B3935" t="str">
        <f>"300135"</f>
        <v>300135</v>
      </c>
      <c r="C3935" t="s">
        <v>7913</v>
      </c>
      <c r="D3935" t="s">
        <v>70</v>
      </c>
      <c r="F3935">
        <v>73834864</v>
      </c>
      <c r="G3935">
        <v>35592098</v>
      </c>
      <c r="H3935">
        <v>104550325</v>
      </c>
      <c r="I3935">
        <v>206239053</v>
      </c>
      <c r="J3935">
        <v>64085139</v>
      </c>
      <c r="K3935">
        <v>167154065</v>
      </c>
      <c r="L3935">
        <v>-89877203</v>
      </c>
      <c r="M3935">
        <v>176983174</v>
      </c>
      <c r="N3935">
        <v>-626728693</v>
      </c>
      <c r="O3935">
        <v>116711037</v>
      </c>
      <c r="P3935">
        <v>49</v>
      </c>
      <c r="Q3935" t="s">
        <v>7914</v>
      </c>
    </row>
    <row r="3936" spans="1:17" x14ac:dyDescent="0.3">
      <c r="A3936" t="s">
        <v>4446</v>
      </c>
      <c r="B3936" t="str">
        <f>"300136"</f>
        <v>300136</v>
      </c>
      <c r="C3936" t="s">
        <v>7915</v>
      </c>
      <c r="D3936" t="s">
        <v>150</v>
      </c>
      <c r="F3936">
        <v>30874947</v>
      </c>
      <c r="G3936">
        <v>837651400</v>
      </c>
      <c r="H3936">
        <v>-386525935</v>
      </c>
      <c r="I3936">
        <v>-1124296744</v>
      </c>
      <c r="J3936">
        <v>168773722</v>
      </c>
      <c r="K3936">
        <v>52585648</v>
      </c>
      <c r="L3936">
        <v>71381239</v>
      </c>
      <c r="M3936">
        <v>-37139593</v>
      </c>
      <c r="N3936">
        <v>-89755312</v>
      </c>
      <c r="O3936">
        <v>-145201291</v>
      </c>
      <c r="P3936">
        <v>2618</v>
      </c>
      <c r="Q3936" t="s">
        <v>7916</v>
      </c>
    </row>
    <row r="3937" spans="1:17" x14ac:dyDescent="0.3">
      <c r="A3937" t="s">
        <v>4446</v>
      </c>
      <c r="B3937" t="str">
        <f>"300137"</f>
        <v>300137</v>
      </c>
      <c r="C3937" t="s">
        <v>7917</v>
      </c>
      <c r="D3937" t="s">
        <v>33</v>
      </c>
      <c r="F3937">
        <v>102430544</v>
      </c>
      <c r="G3937">
        <v>140981893</v>
      </c>
      <c r="H3937">
        <v>333333498</v>
      </c>
      <c r="I3937">
        <v>-79599640</v>
      </c>
      <c r="J3937">
        <v>169341639</v>
      </c>
      <c r="K3937">
        <v>132516206</v>
      </c>
      <c r="L3937">
        <v>-13382862</v>
      </c>
      <c r="M3937">
        <v>-39070663</v>
      </c>
      <c r="N3937">
        <v>19826275</v>
      </c>
      <c r="O3937">
        <v>-80451178</v>
      </c>
      <c r="P3937">
        <v>253</v>
      </c>
      <c r="Q3937" t="s">
        <v>7918</v>
      </c>
    </row>
    <row r="3938" spans="1:17" x14ac:dyDescent="0.3">
      <c r="A3938" t="s">
        <v>4446</v>
      </c>
      <c r="B3938" t="str">
        <f>"300138"</f>
        <v>300138</v>
      </c>
      <c r="C3938" t="s">
        <v>7919</v>
      </c>
      <c r="D3938" t="s">
        <v>205</v>
      </c>
      <c r="F3938">
        <v>-213331381</v>
      </c>
      <c r="G3938">
        <v>93573244</v>
      </c>
      <c r="H3938">
        <v>-287466421</v>
      </c>
      <c r="I3938">
        <v>-194871992</v>
      </c>
      <c r="J3938">
        <v>-273627295</v>
      </c>
      <c r="K3938">
        <v>-416295918</v>
      </c>
      <c r="L3938">
        <v>-138650974</v>
      </c>
      <c r="M3938">
        <v>236916616</v>
      </c>
      <c r="N3938">
        <v>-113055666</v>
      </c>
      <c r="O3938">
        <v>-276537749</v>
      </c>
      <c r="P3938">
        <v>265</v>
      </c>
      <c r="Q3938" t="s">
        <v>7920</v>
      </c>
    </row>
    <row r="3939" spans="1:17" x14ac:dyDescent="0.3">
      <c r="A3939" t="s">
        <v>4446</v>
      </c>
      <c r="B3939" t="str">
        <f>"300139"</f>
        <v>300139</v>
      </c>
      <c r="C3939" t="s">
        <v>7921</v>
      </c>
      <c r="D3939" t="s">
        <v>41</v>
      </c>
      <c r="F3939">
        <v>388616115</v>
      </c>
      <c r="G3939">
        <v>154784678</v>
      </c>
      <c r="H3939">
        <v>-20630084</v>
      </c>
      <c r="I3939">
        <v>-130075799</v>
      </c>
      <c r="J3939">
        <v>-41530437</v>
      </c>
      <c r="K3939">
        <v>-34595045</v>
      </c>
      <c r="L3939">
        <v>-39627336</v>
      </c>
      <c r="M3939">
        <v>-174950431</v>
      </c>
      <c r="N3939">
        <v>-128410606</v>
      </c>
      <c r="O3939">
        <v>-122626237</v>
      </c>
      <c r="P3939">
        <v>147</v>
      </c>
      <c r="Q3939" t="s">
        <v>7922</v>
      </c>
    </row>
    <row r="3940" spans="1:17" x14ac:dyDescent="0.3">
      <c r="A3940" t="s">
        <v>4446</v>
      </c>
      <c r="B3940" t="str">
        <f>"300140"</f>
        <v>300140</v>
      </c>
      <c r="C3940" t="s">
        <v>7923</v>
      </c>
      <c r="D3940" t="s">
        <v>33</v>
      </c>
      <c r="F3940">
        <v>193843069</v>
      </c>
      <c r="G3940">
        <v>-194439078</v>
      </c>
      <c r="H3940">
        <v>-505754568</v>
      </c>
      <c r="I3940">
        <v>-259076815</v>
      </c>
      <c r="J3940">
        <v>-203533711</v>
      </c>
      <c r="K3940">
        <v>-339661710</v>
      </c>
      <c r="L3940">
        <v>-47345480</v>
      </c>
      <c r="M3940">
        <v>-111336823</v>
      </c>
      <c r="N3940">
        <v>-76158048</v>
      </c>
      <c r="O3940">
        <v>-19570509</v>
      </c>
      <c r="P3940">
        <v>103</v>
      </c>
      <c r="Q3940" t="s">
        <v>7924</v>
      </c>
    </row>
    <row r="3941" spans="1:17" x14ac:dyDescent="0.3">
      <c r="A3941" t="s">
        <v>4446</v>
      </c>
      <c r="B3941" t="str">
        <f>"300141"</f>
        <v>300141</v>
      </c>
      <c r="C3941" t="s">
        <v>7925</v>
      </c>
      <c r="D3941" t="s">
        <v>188</v>
      </c>
      <c r="F3941">
        <v>66940817</v>
      </c>
      <c r="G3941">
        <v>2106492</v>
      </c>
      <c r="H3941">
        <v>40456507</v>
      </c>
      <c r="I3941">
        <v>-155498347</v>
      </c>
      <c r="J3941">
        <v>-61799708</v>
      </c>
      <c r="K3941">
        <v>-26111714</v>
      </c>
      <c r="L3941">
        <v>-34094300</v>
      </c>
      <c r="M3941">
        <v>-3762984</v>
      </c>
      <c r="N3941">
        <v>-27707503</v>
      </c>
      <c r="O3941">
        <v>-97188996</v>
      </c>
      <c r="P3941">
        <v>91</v>
      </c>
      <c r="Q3941" t="s">
        <v>7926</v>
      </c>
    </row>
    <row r="3942" spans="1:17" x14ac:dyDescent="0.3">
      <c r="A3942" t="s">
        <v>4446</v>
      </c>
      <c r="B3942" t="str">
        <f>"300142"</f>
        <v>300142</v>
      </c>
      <c r="C3942" t="s">
        <v>7927</v>
      </c>
      <c r="D3942" t="s">
        <v>113</v>
      </c>
      <c r="F3942">
        <v>-394473815</v>
      </c>
      <c r="G3942">
        <v>-288467187</v>
      </c>
      <c r="H3942">
        <v>-289606653</v>
      </c>
      <c r="I3942">
        <v>-292118051</v>
      </c>
      <c r="J3942">
        <v>-361701360</v>
      </c>
      <c r="K3942">
        <v>-339815496</v>
      </c>
      <c r="L3942">
        <v>-333084362</v>
      </c>
      <c r="M3942">
        <v>-304174651</v>
      </c>
      <c r="N3942">
        <v>-511322166</v>
      </c>
      <c r="O3942">
        <v>-277447639</v>
      </c>
      <c r="P3942">
        <v>1230</v>
      </c>
      <c r="Q3942" t="s">
        <v>7928</v>
      </c>
    </row>
    <row r="3943" spans="1:17" x14ac:dyDescent="0.3">
      <c r="A3943" t="s">
        <v>4446</v>
      </c>
      <c r="B3943" t="str">
        <f>"300143"</f>
        <v>300143</v>
      </c>
      <c r="C3943" t="s">
        <v>7929</v>
      </c>
      <c r="D3943" t="s">
        <v>113</v>
      </c>
      <c r="F3943">
        <v>69399852</v>
      </c>
      <c r="G3943">
        <v>37179333</v>
      </c>
      <c r="H3943">
        <v>3676823</v>
      </c>
      <c r="I3943">
        <v>74426794</v>
      </c>
      <c r="J3943">
        <v>131398914</v>
      </c>
      <c r="K3943">
        <v>50740890</v>
      </c>
      <c r="L3943">
        <v>22465823</v>
      </c>
      <c r="M3943">
        <v>-19226396</v>
      </c>
      <c r="N3943">
        <v>-142827258</v>
      </c>
      <c r="O3943">
        <v>-365171794</v>
      </c>
      <c r="P3943">
        <v>150</v>
      </c>
      <c r="Q3943" t="s">
        <v>7930</v>
      </c>
    </row>
    <row r="3944" spans="1:17" x14ac:dyDescent="0.3">
      <c r="A3944" t="s">
        <v>4446</v>
      </c>
      <c r="B3944" t="str">
        <f>"300144"</f>
        <v>300144</v>
      </c>
      <c r="C3944" t="s">
        <v>7931</v>
      </c>
      <c r="D3944" t="s">
        <v>110</v>
      </c>
      <c r="F3944">
        <v>65456933</v>
      </c>
      <c r="G3944">
        <v>-621819217</v>
      </c>
      <c r="H3944">
        <v>760174253</v>
      </c>
      <c r="I3944">
        <v>1124014929</v>
      </c>
      <c r="J3944">
        <v>1243868140</v>
      </c>
      <c r="K3944">
        <v>342417085</v>
      </c>
      <c r="L3944">
        <v>791623270</v>
      </c>
      <c r="M3944">
        <v>64026148</v>
      </c>
      <c r="N3944">
        <v>-173403471</v>
      </c>
      <c r="O3944">
        <v>-107983285</v>
      </c>
      <c r="P3944">
        <v>3022</v>
      </c>
      <c r="Q3944" t="s">
        <v>7932</v>
      </c>
    </row>
    <row r="3945" spans="1:17" x14ac:dyDescent="0.3">
      <c r="A3945" t="s">
        <v>4446</v>
      </c>
      <c r="B3945" t="str">
        <f>"300145"</f>
        <v>300145</v>
      </c>
      <c r="C3945" t="s">
        <v>7933</v>
      </c>
      <c r="D3945" t="s">
        <v>78</v>
      </c>
      <c r="F3945">
        <v>73135873</v>
      </c>
      <c r="G3945">
        <v>71239763</v>
      </c>
      <c r="H3945">
        <v>-38296434</v>
      </c>
      <c r="I3945">
        <v>46117840</v>
      </c>
      <c r="J3945">
        <v>-104667806</v>
      </c>
      <c r="K3945">
        <v>196562108</v>
      </c>
      <c r="L3945">
        <v>50125568</v>
      </c>
      <c r="M3945">
        <v>3773121</v>
      </c>
      <c r="N3945">
        <v>-130276896</v>
      </c>
      <c r="O3945">
        <v>-42289877</v>
      </c>
      <c r="P3945">
        <v>281</v>
      </c>
      <c r="Q3945" t="s">
        <v>7934</v>
      </c>
    </row>
    <row r="3946" spans="1:17" x14ac:dyDescent="0.3">
      <c r="A3946" t="s">
        <v>4446</v>
      </c>
      <c r="B3946" t="str">
        <f>"300146"</f>
        <v>300146</v>
      </c>
      <c r="C3946" t="s">
        <v>7935</v>
      </c>
      <c r="D3946" t="s">
        <v>123</v>
      </c>
      <c r="F3946">
        <v>1560010087</v>
      </c>
      <c r="G3946">
        <v>1247119771</v>
      </c>
      <c r="H3946">
        <v>1204841054</v>
      </c>
      <c r="I3946">
        <v>1098790669</v>
      </c>
      <c r="J3946">
        <v>800385407</v>
      </c>
      <c r="K3946">
        <v>534933618</v>
      </c>
      <c r="L3946">
        <v>365599920</v>
      </c>
      <c r="M3946">
        <v>364247201</v>
      </c>
      <c r="N3946">
        <v>458425842</v>
      </c>
      <c r="O3946">
        <v>-47040565</v>
      </c>
      <c r="P3946">
        <v>2832</v>
      </c>
      <c r="Q3946" t="s">
        <v>7936</v>
      </c>
    </row>
    <row r="3947" spans="1:17" x14ac:dyDescent="0.3">
      <c r="A3947" t="s">
        <v>4446</v>
      </c>
      <c r="B3947" t="str">
        <f>"300147"</f>
        <v>300147</v>
      </c>
      <c r="C3947" t="s">
        <v>7937</v>
      </c>
      <c r="D3947" t="s">
        <v>113</v>
      </c>
      <c r="F3947">
        <v>-305004673</v>
      </c>
      <c r="G3947">
        <v>-447769898</v>
      </c>
      <c r="H3947">
        <v>-571679880</v>
      </c>
      <c r="I3947">
        <v>-331104737</v>
      </c>
      <c r="J3947">
        <v>-647964582</v>
      </c>
      <c r="K3947">
        <v>-1762523442</v>
      </c>
      <c r="L3947">
        <v>-117058734</v>
      </c>
      <c r="M3947">
        <v>-78273959</v>
      </c>
      <c r="N3947">
        <v>9819377</v>
      </c>
      <c r="O3947">
        <v>-299215518</v>
      </c>
      <c r="P3947">
        <v>166</v>
      </c>
      <c r="Q3947" t="s">
        <v>7938</v>
      </c>
    </row>
    <row r="3948" spans="1:17" x14ac:dyDescent="0.3">
      <c r="A3948" t="s">
        <v>4446</v>
      </c>
      <c r="B3948" t="str">
        <f>"300148"</f>
        <v>300148</v>
      </c>
      <c r="C3948" t="s">
        <v>7939</v>
      </c>
      <c r="D3948" t="s">
        <v>89</v>
      </c>
      <c r="F3948">
        <v>30928215</v>
      </c>
      <c r="G3948">
        <v>54638261</v>
      </c>
      <c r="H3948">
        <v>80560548</v>
      </c>
      <c r="I3948">
        <v>136124286</v>
      </c>
      <c r="J3948">
        <v>195883997</v>
      </c>
      <c r="K3948">
        <v>302067322</v>
      </c>
      <c r="L3948">
        <v>190875590</v>
      </c>
      <c r="M3948">
        <v>170585755</v>
      </c>
      <c r="N3948">
        <v>49490160</v>
      </c>
      <c r="O3948">
        <v>-1061882</v>
      </c>
      <c r="P3948">
        <v>99</v>
      </c>
      <c r="Q3948" t="s">
        <v>7940</v>
      </c>
    </row>
    <row r="3949" spans="1:17" x14ac:dyDescent="0.3">
      <c r="A3949" t="s">
        <v>4446</v>
      </c>
      <c r="B3949" t="str">
        <f>"300149"</f>
        <v>300149</v>
      </c>
      <c r="C3949" t="s">
        <v>7941</v>
      </c>
      <c r="D3949" t="s">
        <v>113</v>
      </c>
      <c r="F3949">
        <v>92633537</v>
      </c>
      <c r="G3949">
        <v>-50854818</v>
      </c>
      <c r="H3949">
        <v>-39016124</v>
      </c>
      <c r="I3949">
        <v>133640792</v>
      </c>
      <c r="J3949">
        <v>59329163</v>
      </c>
      <c r="K3949">
        <v>60913726</v>
      </c>
      <c r="L3949">
        <v>75361088</v>
      </c>
      <c r="M3949">
        <v>-17213828</v>
      </c>
      <c r="N3949">
        <v>-16823756</v>
      </c>
      <c r="O3949">
        <v>-69809691</v>
      </c>
      <c r="P3949">
        <v>193</v>
      </c>
      <c r="Q3949" t="s">
        <v>7942</v>
      </c>
    </row>
    <row r="3950" spans="1:17" x14ac:dyDescent="0.3">
      <c r="A3950" t="s">
        <v>4446</v>
      </c>
      <c r="B3950" t="str">
        <f>"300150"</f>
        <v>300150</v>
      </c>
      <c r="C3950" t="s">
        <v>7943</v>
      </c>
      <c r="D3950" t="s">
        <v>212</v>
      </c>
      <c r="F3950">
        <v>-68830099</v>
      </c>
      <c r="G3950">
        <v>23183847</v>
      </c>
      <c r="H3950">
        <v>22696581</v>
      </c>
      <c r="I3950">
        <v>8650968</v>
      </c>
      <c r="J3950">
        <v>-85025954</v>
      </c>
      <c r="K3950">
        <v>45404815</v>
      </c>
      <c r="L3950">
        <v>-7873086</v>
      </c>
      <c r="M3950">
        <v>1721228</v>
      </c>
      <c r="N3950">
        <v>48174856</v>
      </c>
      <c r="O3950">
        <v>18969447</v>
      </c>
      <c r="P3950">
        <v>121</v>
      </c>
      <c r="Q3950" t="s">
        <v>7944</v>
      </c>
    </row>
    <row r="3951" spans="1:17" x14ac:dyDescent="0.3">
      <c r="A3951" t="s">
        <v>4446</v>
      </c>
      <c r="B3951" t="str">
        <f>"300151"</f>
        <v>300151</v>
      </c>
      <c r="C3951" t="s">
        <v>7945</v>
      </c>
      <c r="D3951" t="s">
        <v>78</v>
      </c>
      <c r="F3951">
        <v>-84164297</v>
      </c>
      <c r="G3951">
        <v>82919683</v>
      </c>
      <c r="H3951">
        <v>23953372</v>
      </c>
      <c r="I3951">
        <v>8123720</v>
      </c>
      <c r="J3951">
        <v>26150714</v>
      </c>
      <c r="K3951">
        <v>-5731413</v>
      </c>
      <c r="L3951">
        <v>-5290224</v>
      </c>
      <c r="M3951">
        <v>-61217143</v>
      </c>
      <c r="N3951">
        <v>68278106</v>
      </c>
      <c r="O3951">
        <v>-488199</v>
      </c>
      <c r="P3951">
        <v>155</v>
      </c>
      <c r="Q3951" t="s">
        <v>7946</v>
      </c>
    </row>
    <row r="3952" spans="1:17" x14ac:dyDescent="0.3">
      <c r="A3952" t="s">
        <v>4446</v>
      </c>
      <c r="B3952" t="str">
        <f>"300152"</f>
        <v>300152</v>
      </c>
      <c r="C3952" t="s">
        <v>7947</v>
      </c>
      <c r="D3952" t="s">
        <v>33</v>
      </c>
      <c r="F3952">
        <v>-69331166</v>
      </c>
      <c r="G3952">
        <v>62111388</v>
      </c>
      <c r="H3952">
        <v>20724232</v>
      </c>
      <c r="I3952">
        <v>-38402076</v>
      </c>
      <c r="J3952">
        <v>-54851134</v>
      </c>
      <c r="K3952">
        <v>87206487</v>
      </c>
      <c r="L3952">
        <v>-186282489</v>
      </c>
      <c r="M3952">
        <v>-97853161</v>
      </c>
      <c r="N3952">
        <v>-242988056</v>
      </c>
      <c r="O3952">
        <v>-155650307</v>
      </c>
      <c r="P3952">
        <v>92</v>
      </c>
      <c r="Q3952" t="s">
        <v>7948</v>
      </c>
    </row>
    <row r="3953" spans="1:17" x14ac:dyDescent="0.3">
      <c r="A3953" t="s">
        <v>4446</v>
      </c>
      <c r="B3953" t="str">
        <f>"300153"</f>
        <v>300153</v>
      </c>
      <c r="C3953" t="s">
        <v>7949</v>
      </c>
      <c r="D3953" t="s">
        <v>188</v>
      </c>
      <c r="F3953">
        <v>174176657</v>
      </c>
      <c r="G3953">
        <v>-39304686</v>
      </c>
      <c r="H3953">
        <v>51273794</v>
      </c>
      <c r="I3953">
        <v>19204075</v>
      </c>
      <c r="J3953">
        <v>-92101035</v>
      </c>
      <c r="K3953">
        <v>-65640968</v>
      </c>
      <c r="L3953">
        <v>-50190771</v>
      </c>
      <c r="M3953">
        <v>-62829283</v>
      </c>
      <c r="N3953">
        <v>14413094</v>
      </c>
      <c r="O3953">
        <v>-79915256</v>
      </c>
      <c r="P3953">
        <v>108</v>
      </c>
      <c r="Q3953" t="s">
        <v>7950</v>
      </c>
    </row>
    <row r="3954" spans="1:17" x14ac:dyDescent="0.3">
      <c r="A3954" t="s">
        <v>4446</v>
      </c>
      <c r="B3954" t="str">
        <f>"300154"</f>
        <v>300154</v>
      </c>
      <c r="C3954" t="s">
        <v>7951</v>
      </c>
      <c r="D3954" t="s">
        <v>78</v>
      </c>
      <c r="F3954">
        <v>25451660</v>
      </c>
      <c r="G3954">
        <v>98915321</v>
      </c>
      <c r="H3954">
        <v>32683184</v>
      </c>
      <c r="I3954">
        <v>31536030</v>
      </c>
      <c r="J3954">
        <v>183802567</v>
      </c>
      <c r="K3954">
        <v>170521760</v>
      </c>
      <c r="L3954">
        <v>41231039</v>
      </c>
      <c r="M3954">
        <v>84072004</v>
      </c>
      <c r="N3954">
        <v>146716885</v>
      </c>
      <c r="O3954">
        <v>-6463089</v>
      </c>
      <c r="P3954">
        <v>82</v>
      </c>
      <c r="Q3954" t="s">
        <v>7952</v>
      </c>
    </row>
    <row r="3955" spans="1:17" x14ac:dyDescent="0.3">
      <c r="A3955" t="s">
        <v>4446</v>
      </c>
      <c r="B3955" t="str">
        <f>"300155"</f>
        <v>300155</v>
      </c>
      <c r="C3955" t="s">
        <v>7953</v>
      </c>
      <c r="D3955" t="s">
        <v>212</v>
      </c>
      <c r="F3955">
        <v>18237778</v>
      </c>
      <c r="G3955">
        <v>-27932789</v>
      </c>
      <c r="H3955">
        <v>103255470</v>
      </c>
      <c r="I3955">
        <v>-53317048</v>
      </c>
      <c r="J3955">
        <v>-77188729</v>
      </c>
      <c r="K3955">
        <v>2879356</v>
      </c>
      <c r="L3955">
        <v>-72496133</v>
      </c>
      <c r="M3955">
        <v>-93678844</v>
      </c>
      <c r="N3955">
        <v>19530848</v>
      </c>
      <c r="O3955">
        <v>8099519</v>
      </c>
      <c r="P3955">
        <v>68</v>
      </c>
      <c r="Q3955" t="s">
        <v>7954</v>
      </c>
    </row>
    <row r="3956" spans="1:17" x14ac:dyDescent="0.3">
      <c r="A3956" t="s">
        <v>4446</v>
      </c>
      <c r="B3956" t="str">
        <f>"300156"</f>
        <v>300156</v>
      </c>
      <c r="C3956" t="s">
        <v>7955</v>
      </c>
      <c r="I3956">
        <v>-374538451</v>
      </c>
      <c r="J3956">
        <v>-1411411833</v>
      </c>
      <c r="K3956">
        <v>175709552</v>
      </c>
      <c r="L3956">
        <v>19985181</v>
      </c>
      <c r="M3956">
        <v>87910040</v>
      </c>
      <c r="N3956">
        <v>-643998807</v>
      </c>
      <c r="O3956">
        <v>-202832509</v>
      </c>
      <c r="P3956">
        <v>300</v>
      </c>
      <c r="Q3956" t="s">
        <v>7956</v>
      </c>
    </row>
    <row r="3957" spans="1:17" x14ac:dyDescent="0.3">
      <c r="A3957" t="s">
        <v>4446</v>
      </c>
      <c r="B3957" t="str">
        <f>"300157"</f>
        <v>300157</v>
      </c>
      <c r="C3957" t="s">
        <v>7957</v>
      </c>
      <c r="D3957" t="s">
        <v>70</v>
      </c>
      <c r="F3957">
        <v>32410444</v>
      </c>
      <c r="G3957">
        <v>194793472</v>
      </c>
      <c r="H3957">
        <v>-87071941</v>
      </c>
      <c r="I3957">
        <v>80514449</v>
      </c>
      <c r="J3957">
        <v>-254718517</v>
      </c>
      <c r="K3957">
        <v>-237180854</v>
      </c>
      <c r="L3957">
        <v>-215102180</v>
      </c>
      <c r="M3957">
        <v>5467973</v>
      </c>
      <c r="N3957">
        <v>-117192567</v>
      </c>
      <c r="O3957">
        <v>-138156805</v>
      </c>
      <c r="P3957">
        <v>76</v>
      </c>
      <c r="Q3957" t="s">
        <v>7958</v>
      </c>
    </row>
    <row r="3958" spans="1:17" x14ac:dyDescent="0.3">
      <c r="A3958" t="s">
        <v>4446</v>
      </c>
      <c r="B3958" t="str">
        <f>"300158"</f>
        <v>300158</v>
      </c>
      <c r="C3958" t="s">
        <v>7959</v>
      </c>
      <c r="D3958" t="s">
        <v>113</v>
      </c>
      <c r="F3958">
        <v>132786920</v>
      </c>
      <c r="G3958">
        <v>51644184</v>
      </c>
      <c r="H3958">
        <v>166991243</v>
      </c>
      <c r="I3958">
        <v>130559636</v>
      </c>
      <c r="J3958">
        <v>-2848682</v>
      </c>
      <c r="K3958">
        <v>-191531345</v>
      </c>
      <c r="L3958">
        <v>104926559</v>
      </c>
      <c r="M3958">
        <v>-70919844</v>
      </c>
      <c r="N3958">
        <v>-310382899</v>
      </c>
      <c r="O3958">
        <v>-159348718</v>
      </c>
      <c r="P3958">
        <v>176</v>
      </c>
      <c r="Q3958" t="s">
        <v>7960</v>
      </c>
    </row>
    <row r="3959" spans="1:17" x14ac:dyDescent="0.3">
      <c r="A3959" t="s">
        <v>4446</v>
      </c>
      <c r="B3959" t="str">
        <f>"300159"</f>
        <v>300159</v>
      </c>
      <c r="C3959" t="s">
        <v>7961</v>
      </c>
      <c r="D3959" t="s">
        <v>92</v>
      </c>
      <c r="F3959">
        <v>75113043</v>
      </c>
      <c r="G3959">
        <v>138844721</v>
      </c>
      <c r="H3959">
        <v>-228663970</v>
      </c>
      <c r="I3959">
        <v>-17692205</v>
      </c>
      <c r="J3959">
        <v>-1120315892</v>
      </c>
      <c r="K3959">
        <v>-410366023</v>
      </c>
      <c r="L3959">
        <v>-20910471</v>
      </c>
      <c r="M3959">
        <v>-52634778</v>
      </c>
      <c r="N3959">
        <v>79293966</v>
      </c>
      <c r="O3959">
        <v>-40545852</v>
      </c>
      <c r="P3959">
        <v>126</v>
      </c>
      <c r="Q3959" t="s">
        <v>7962</v>
      </c>
    </row>
    <row r="3960" spans="1:17" x14ac:dyDescent="0.3">
      <c r="A3960" t="s">
        <v>4446</v>
      </c>
      <c r="B3960" t="str">
        <f>"300160"</f>
        <v>300160</v>
      </c>
      <c r="C3960" t="s">
        <v>7963</v>
      </c>
      <c r="D3960" t="s">
        <v>126</v>
      </c>
      <c r="F3960">
        <v>33821105</v>
      </c>
      <c r="G3960">
        <v>117860511</v>
      </c>
      <c r="H3960">
        <v>199443844</v>
      </c>
      <c r="I3960">
        <v>144276181</v>
      </c>
      <c r="J3960">
        <v>129614715</v>
      </c>
      <c r="K3960">
        <v>132411532</v>
      </c>
      <c r="L3960">
        <v>75618709</v>
      </c>
      <c r="M3960">
        <v>35236084</v>
      </c>
      <c r="N3960">
        <v>-94395281</v>
      </c>
      <c r="O3960">
        <v>-127613241</v>
      </c>
      <c r="P3960">
        <v>150</v>
      </c>
      <c r="Q3960" t="s">
        <v>7964</v>
      </c>
    </row>
    <row r="3961" spans="1:17" x14ac:dyDescent="0.3">
      <c r="A3961" t="s">
        <v>4446</v>
      </c>
      <c r="B3961" t="str">
        <f>"300161"</f>
        <v>300161</v>
      </c>
      <c r="C3961" t="s">
        <v>7965</v>
      </c>
      <c r="D3961" t="s">
        <v>78</v>
      </c>
      <c r="F3961">
        <v>107670371</v>
      </c>
      <c r="G3961">
        <v>13043743</v>
      </c>
      <c r="H3961">
        <v>-60798641</v>
      </c>
      <c r="I3961">
        <v>66833098</v>
      </c>
      <c r="J3961">
        <v>-211969292</v>
      </c>
      <c r="K3961">
        <v>-67450220</v>
      </c>
      <c r="L3961">
        <v>-231870855</v>
      </c>
      <c r="M3961">
        <v>-22749440</v>
      </c>
      <c r="N3961">
        <v>28006591</v>
      </c>
      <c r="O3961">
        <v>-75609003</v>
      </c>
      <c r="P3961">
        <v>159</v>
      </c>
      <c r="Q3961" t="s">
        <v>7966</v>
      </c>
    </row>
    <row r="3962" spans="1:17" x14ac:dyDescent="0.3">
      <c r="A3962" t="s">
        <v>4446</v>
      </c>
      <c r="B3962" t="str">
        <f>"300162"</f>
        <v>300162</v>
      </c>
      <c r="C3962" t="s">
        <v>7967</v>
      </c>
      <c r="D3962" t="s">
        <v>150</v>
      </c>
      <c r="F3962">
        <v>-26678008</v>
      </c>
      <c r="G3962">
        <v>-65736689</v>
      </c>
      <c r="H3962">
        <v>15810249</v>
      </c>
      <c r="I3962">
        <v>-7557372</v>
      </c>
      <c r="J3962">
        <v>-13519977</v>
      </c>
      <c r="K3962">
        <v>91865995</v>
      </c>
      <c r="L3962">
        <v>43550185</v>
      </c>
      <c r="M3962">
        <v>27130712</v>
      </c>
      <c r="N3962">
        <v>-77535489</v>
      </c>
      <c r="O3962">
        <v>-80324855</v>
      </c>
      <c r="P3962">
        <v>76</v>
      </c>
      <c r="Q3962" t="s">
        <v>7968</v>
      </c>
    </row>
    <row r="3963" spans="1:17" x14ac:dyDescent="0.3">
      <c r="A3963" t="s">
        <v>4446</v>
      </c>
      <c r="B3963" t="str">
        <f>"300163"</f>
        <v>300163</v>
      </c>
      <c r="C3963" t="s">
        <v>7969</v>
      </c>
      <c r="D3963" t="s">
        <v>133</v>
      </c>
      <c r="F3963">
        <v>16404635</v>
      </c>
      <c r="G3963">
        <v>101858791</v>
      </c>
      <c r="H3963">
        <v>79489304</v>
      </c>
      <c r="I3963">
        <v>-79742197</v>
      </c>
      <c r="J3963">
        <v>-18572397</v>
      </c>
      <c r="K3963">
        <v>115261086</v>
      </c>
      <c r="L3963">
        <v>-29726354</v>
      </c>
      <c r="M3963">
        <v>48083450</v>
      </c>
      <c r="N3963">
        <v>-630399</v>
      </c>
      <c r="O3963">
        <v>-113755613</v>
      </c>
      <c r="P3963">
        <v>75</v>
      </c>
      <c r="Q3963" t="s">
        <v>7970</v>
      </c>
    </row>
    <row r="3964" spans="1:17" x14ac:dyDescent="0.3">
      <c r="A3964" t="s">
        <v>4446</v>
      </c>
      <c r="B3964" t="str">
        <f>"300164"</f>
        <v>300164</v>
      </c>
      <c r="C3964" t="s">
        <v>7971</v>
      </c>
      <c r="D3964" t="s">
        <v>70</v>
      </c>
      <c r="F3964">
        <v>62604233</v>
      </c>
      <c r="G3964">
        <v>-58766580</v>
      </c>
      <c r="H3964">
        <v>63903233</v>
      </c>
      <c r="I3964">
        <v>136125558</v>
      </c>
      <c r="J3964">
        <v>-15052458</v>
      </c>
      <c r="K3964">
        <v>-39541508</v>
      </c>
      <c r="L3964">
        <v>181689851</v>
      </c>
      <c r="M3964">
        <v>-110994513</v>
      </c>
      <c r="N3964">
        <v>-250817069</v>
      </c>
      <c r="O3964">
        <v>-67649964</v>
      </c>
      <c r="P3964">
        <v>82</v>
      </c>
      <c r="Q3964" t="s">
        <v>7972</v>
      </c>
    </row>
    <row r="3965" spans="1:17" x14ac:dyDescent="0.3">
      <c r="A3965" t="s">
        <v>4446</v>
      </c>
      <c r="B3965" t="str">
        <f>"300165"</f>
        <v>300165</v>
      </c>
      <c r="C3965" t="s">
        <v>7973</v>
      </c>
      <c r="D3965" t="s">
        <v>78</v>
      </c>
      <c r="F3965">
        <v>-532769537</v>
      </c>
      <c r="G3965">
        <v>-34830374</v>
      </c>
      <c r="H3965">
        <v>-60028844</v>
      </c>
      <c r="I3965">
        <v>-69904279</v>
      </c>
      <c r="J3965">
        <v>36120027</v>
      </c>
      <c r="K3965">
        <v>-44842148</v>
      </c>
      <c r="L3965">
        <v>-19912273</v>
      </c>
      <c r="M3965">
        <v>22206439</v>
      </c>
      <c r="N3965">
        <v>-47647881</v>
      </c>
      <c r="O3965">
        <v>4595828</v>
      </c>
      <c r="P3965">
        <v>103</v>
      </c>
      <c r="Q3965" t="s">
        <v>7974</v>
      </c>
    </row>
    <row r="3966" spans="1:17" x14ac:dyDescent="0.3">
      <c r="A3966" t="s">
        <v>4446</v>
      </c>
      <c r="B3966" t="str">
        <f>"300166"</f>
        <v>300166</v>
      </c>
      <c r="C3966" t="s">
        <v>7975</v>
      </c>
      <c r="D3966" t="s">
        <v>212</v>
      </c>
      <c r="F3966">
        <v>-480092757</v>
      </c>
      <c r="G3966">
        <v>-248526895</v>
      </c>
      <c r="H3966">
        <v>-205058418</v>
      </c>
      <c r="I3966">
        <v>-237502311</v>
      </c>
      <c r="J3966">
        <v>-121921577</v>
      </c>
      <c r="K3966">
        <v>-59653465</v>
      </c>
      <c r="L3966">
        <v>-35675933</v>
      </c>
      <c r="M3966">
        <v>-25817001</v>
      </c>
      <c r="N3966">
        <v>-102476838</v>
      </c>
      <c r="O3966">
        <v>-169694878</v>
      </c>
      <c r="P3966">
        <v>461</v>
      </c>
      <c r="Q3966" t="s">
        <v>7976</v>
      </c>
    </row>
    <row r="3967" spans="1:17" x14ac:dyDescent="0.3">
      <c r="A3967" t="s">
        <v>4446</v>
      </c>
      <c r="B3967" t="str">
        <f>"300167"</f>
        <v>300167</v>
      </c>
      <c r="C3967" t="s">
        <v>7977</v>
      </c>
      <c r="D3967" t="s">
        <v>212</v>
      </c>
      <c r="F3967">
        <v>18612227</v>
      </c>
      <c r="G3967">
        <v>1979185</v>
      </c>
      <c r="H3967">
        <v>125616010</v>
      </c>
      <c r="I3967">
        <v>-4735861</v>
      </c>
      <c r="J3967">
        <v>-70274539</v>
      </c>
      <c r="K3967">
        <v>-117171003</v>
      </c>
      <c r="L3967">
        <v>-7605103</v>
      </c>
      <c r="M3967">
        <v>-310964204</v>
      </c>
      <c r="N3967">
        <v>20575195</v>
      </c>
      <c r="O3967">
        <v>-114610727</v>
      </c>
      <c r="P3967">
        <v>131</v>
      </c>
      <c r="Q3967" t="s">
        <v>7978</v>
      </c>
    </row>
    <row r="3968" spans="1:17" x14ac:dyDescent="0.3">
      <c r="A3968" t="s">
        <v>4446</v>
      </c>
      <c r="B3968" t="str">
        <f>"300168"</f>
        <v>300168</v>
      </c>
      <c r="C3968" t="s">
        <v>7979</v>
      </c>
      <c r="D3968" t="s">
        <v>212</v>
      </c>
      <c r="F3968">
        <v>-153495198</v>
      </c>
      <c r="G3968">
        <v>169070170</v>
      </c>
      <c r="H3968">
        <v>-242811687</v>
      </c>
      <c r="I3968">
        <v>-471032005</v>
      </c>
      <c r="J3968">
        <v>-453665604</v>
      </c>
      <c r="K3968">
        <v>-235556890</v>
      </c>
      <c r="L3968">
        <v>-360089198</v>
      </c>
      <c r="M3968">
        <v>-227734033</v>
      </c>
      <c r="N3968">
        <v>-128644566</v>
      </c>
      <c r="O3968">
        <v>-93484428</v>
      </c>
      <c r="P3968">
        <v>368</v>
      </c>
      <c r="Q3968" t="s">
        <v>7980</v>
      </c>
    </row>
    <row r="3969" spans="1:17" x14ac:dyDescent="0.3">
      <c r="A3969" t="s">
        <v>4446</v>
      </c>
      <c r="B3969" t="str">
        <f>"300169"</f>
        <v>300169</v>
      </c>
      <c r="C3969" t="s">
        <v>7981</v>
      </c>
      <c r="D3969" t="s">
        <v>133</v>
      </c>
      <c r="F3969">
        <v>-53174644</v>
      </c>
      <c r="G3969">
        <v>-29981631</v>
      </c>
      <c r="H3969">
        <v>-38205802</v>
      </c>
      <c r="I3969">
        <v>-19806770</v>
      </c>
      <c r="J3969">
        <v>-14439854</v>
      </c>
      <c r="K3969">
        <v>-58932796</v>
      </c>
      <c r="L3969">
        <v>88891263</v>
      </c>
      <c r="M3969">
        <v>116223274</v>
      </c>
      <c r="N3969">
        <v>-124603982</v>
      </c>
      <c r="O3969">
        <v>-353820455</v>
      </c>
      <c r="P3969">
        <v>68</v>
      </c>
      <c r="Q3969" t="s">
        <v>7982</v>
      </c>
    </row>
    <row r="3970" spans="1:17" x14ac:dyDescent="0.3">
      <c r="A3970" t="s">
        <v>4446</v>
      </c>
      <c r="B3970" t="str">
        <f>"300170"</f>
        <v>300170</v>
      </c>
      <c r="C3970" t="s">
        <v>7983</v>
      </c>
      <c r="D3970" t="s">
        <v>212</v>
      </c>
      <c r="F3970">
        <v>-54751642</v>
      </c>
      <c r="G3970">
        <v>221675357</v>
      </c>
      <c r="H3970">
        <v>-164949806</v>
      </c>
      <c r="I3970">
        <v>4086406</v>
      </c>
      <c r="J3970">
        <v>-120363117</v>
      </c>
      <c r="K3970">
        <v>-331659090</v>
      </c>
      <c r="L3970">
        <v>132820226</v>
      </c>
      <c r="M3970">
        <v>-63833733</v>
      </c>
      <c r="N3970">
        <v>-33247782</v>
      </c>
      <c r="O3970">
        <v>-63826081</v>
      </c>
      <c r="P3970">
        <v>3198</v>
      </c>
      <c r="Q3970" t="s">
        <v>7984</v>
      </c>
    </row>
    <row r="3971" spans="1:17" x14ac:dyDescent="0.3">
      <c r="A3971" t="s">
        <v>4446</v>
      </c>
      <c r="B3971" t="str">
        <f>"300171"</f>
        <v>300171</v>
      </c>
      <c r="C3971" t="s">
        <v>7985</v>
      </c>
      <c r="D3971" t="s">
        <v>113</v>
      </c>
      <c r="F3971">
        <v>915150117</v>
      </c>
      <c r="G3971">
        <v>1094401376</v>
      </c>
      <c r="H3971">
        <v>433581431</v>
      </c>
      <c r="I3971">
        <v>190676185</v>
      </c>
      <c r="J3971">
        <v>-15104409</v>
      </c>
      <c r="K3971">
        <v>98360874</v>
      </c>
      <c r="L3971">
        <v>61828940</v>
      </c>
      <c r="M3971">
        <v>-33853225</v>
      </c>
      <c r="N3971">
        <v>239198930</v>
      </c>
      <c r="O3971">
        <v>301121128</v>
      </c>
      <c r="P3971">
        <v>250</v>
      </c>
      <c r="Q3971" t="s">
        <v>7986</v>
      </c>
    </row>
    <row r="3972" spans="1:17" x14ac:dyDescent="0.3">
      <c r="A3972" t="s">
        <v>4446</v>
      </c>
      <c r="B3972" t="str">
        <f>"300172"</f>
        <v>300172</v>
      </c>
      <c r="C3972" t="s">
        <v>7987</v>
      </c>
      <c r="D3972" t="s">
        <v>33</v>
      </c>
      <c r="F3972">
        <v>27810812</v>
      </c>
      <c r="G3972">
        <v>62959219</v>
      </c>
      <c r="H3972">
        <v>12729439</v>
      </c>
      <c r="I3972">
        <v>-14093392</v>
      </c>
      <c r="J3972">
        <v>-120235631</v>
      </c>
      <c r="K3972">
        <v>-91267551</v>
      </c>
      <c r="L3972">
        <v>37719120</v>
      </c>
      <c r="M3972">
        <v>23359989</v>
      </c>
      <c r="N3972">
        <v>52376634</v>
      </c>
      <c r="O3972">
        <v>-36581954</v>
      </c>
      <c r="P3972">
        <v>110</v>
      </c>
      <c r="Q3972" t="s">
        <v>7988</v>
      </c>
    </row>
    <row r="3973" spans="1:17" x14ac:dyDescent="0.3">
      <c r="A3973" t="s">
        <v>4446</v>
      </c>
      <c r="B3973" t="str">
        <f>"300173"</f>
        <v>300173</v>
      </c>
      <c r="C3973" t="s">
        <v>7989</v>
      </c>
      <c r="D3973" t="s">
        <v>78</v>
      </c>
      <c r="F3973">
        <v>-332519734</v>
      </c>
      <c r="G3973">
        <v>-9006580</v>
      </c>
      <c r="H3973">
        <v>35207438</v>
      </c>
      <c r="I3973">
        <v>-169120821</v>
      </c>
      <c r="J3973">
        <v>-92731413</v>
      </c>
      <c r="K3973">
        <v>-26739767</v>
      </c>
      <c r="L3973">
        <v>-9334275</v>
      </c>
      <c r="M3973">
        <v>-20838419</v>
      </c>
      <c r="N3973">
        <v>-41568383</v>
      </c>
      <c r="O3973">
        <v>-64393403</v>
      </c>
      <c r="P3973">
        <v>61</v>
      </c>
      <c r="Q3973" t="s">
        <v>7990</v>
      </c>
    </row>
    <row r="3974" spans="1:17" x14ac:dyDescent="0.3">
      <c r="A3974" t="s">
        <v>4446</v>
      </c>
      <c r="B3974" t="str">
        <f>"300174"</f>
        <v>300174</v>
      </c>
      <c r="C3974" t="s">
        <v>7991</v>
      </c>
      <c r="D3974" t="s">
        <v>133</v>
      </c>
      <c r="F3974">
        <v>-25337598</v>
      </c>
      <c r="G3974">
        <v>-119218625</v>
      </c>
      <c r="H3974">
        <v>-167474279</v>
      </c>
      <c r="I3974">
        <v>11281228</v>
      </c>
      <c r="J3974">
        <v>42180509</v>
      </c>
      <c r="K3974">
        <v>52416613</v>
      </c>
      <c r="L3974">
        <v>25041033</v>
      </c>
      <c r="M3974">
        <v>3278801</v>
      </c>
      <c r="N3974">
        <v>-39132340</v>
      </c>
      <c r="O3974">
        <v>-91822774</v>
      </c>
      <c r="P3974">
        <v>90</v>
      </c>
      <c r="Q3974" t="s">
        <v>7992</v>
      </c>
    </row>
    <row r="3975" spans="1:17" x14ac:dyDescent="0.3">
      <c r="A3975" t="s">
        <v>4446</v>
      </c>
      <c r="B3975" t="str">
        <f>"300175"</f>
        <v>300175</v>
      </c>
      <c r="C3975" t="s">
        <v>7993</v>
      </c>
      <c r="D3975" t="s">
        <v>205</v>
      </c>
      <c r="F3975">
        <v>33805022</v>
      </c>
      <c r="G3975">
        <v>14324406</v>
      </c>
      <c r="H3975">
        <v>-41462177</v>
      </c>
      <c r="I3975">
        <v>27789398</v>
      </c>
      <c r="J3975">
        <v>224501560</v>
      </c>
      <c r="K3975">
        <v>381623322</v>
      </c>
      <c r="L3975">
        <v>129224735</v>
      </c>
      <c r="M3975">
        <v>-300157418</v>
      </c>
      <c r="N3975">
        <v>-41151236</v>
      </c>
      <c r="O3975">
        <v>-96900571</v>
      </c>
      <c r="P3975">
        <v>84</v>
      </c>
      <c r="Q3975" t="s">
        <v>7994</v>
      </c>
    </row>
    <row r="3976" spans="1:17" x14ac:dyDescent="0.3">
      <c r="A3976" t="s">
        <v>4446</v>
      </c>
      <c r="B3976" t="str">
        <f>"300176"</f>
        <v>300176</v>
      </c>
      <c r="C3976" t="s">
        <v>7995</v>
      </c>
      <c r="D3976" t="s">
        <v>27</v>
      </c>
      <c r="F3976">
        <v>-29230932</v>
      </c>
      <c r="G3976">
        <v>61878454</v>
      </c>
      <c r="H3976">
        <v>-75583376</v>
      </c>
      <c r="I3976">
        <v>-49576948</v>
      </c>
      <c r="J3976">
        <v>807701952</v>
      </c>
      <c r="K3976">
        <v>157399083</v>
      </c>
      <c r="L3976">
        <v>130862488</v>
      </c>
      <c r="M3976">
        <v>-216905435</v>
      </c>
      <c r="N3976">
        <v>-143601180</v>
      </c>
      <c r="O3976">
        <v>-109705899</v>
      </c>
      <c r="P3976">
        <v>151</v>
      </c>
      <c r="Q3976" t="s">
        <v>7996</v>
      </c>
    </row>
    <row r="3977" spans="1:17" x14ac:dyDescent="0.3">
      <c r="A3977" t="s">
        <v>4446</v>
      </c>
      <c r="B3977" t="str">
        <f>"300177"</f>
        <v>300177</v>
      </c>
      <c r="C3977" t="s">
        <v>7997</v>
      </c>
      <c r="D3977" t="s">
        <v>92</v>
      </c>
      <c r="F3977">
        <v>-341198278</v>
      </c>
      <c r="G3977">
        <v>-161337687</v>
      </c>
      <c r="H3977">
        <v>-30709601</v>
      </c>
      <c r="I3977">
        <v>-62740907</v>
      </c>
      <c r="J3977">
        <v>28802426</v>
      </c>
      <c r="K3977">
        <v>67869357</v>
      </c>
      <c r="L3977">
        <v>-88649694</v>
      </c>
      <c r="M3977">
        <v>-55524004</v>
      </c>
      <c r="N3977">
        <v>4299484</v>
      </c>
      <c r="O3977">
        <v>-35715393</v>
      </c>
      <c r="P3977">
        <v>232</v>
      </c>
      <c r="Q3977" t="s">
        <v>7998</v>
      </c>
    </row>
    <row r="3978" spans="1:17" x14ac:dyDescent="0.3">
      <c r="A3978" t="s">
        <v>4446</v>
      </c>
      <c r="B3978" t="str">
        <f>"300178"</f>
        <v>300178</v>
      </c>
      <c r="C3978" t="s">
        <v>7999</v>
      </c>
      <c r="D3978" t="s">
        <v>110</v>
      </c>
      <c r="F3978">
        <v>-8329546</v>
      </c>
      <c r="G3978">
        <v>-78000474</v>
      </c>
      <c r="H3978">
        <v>-537686083</v>
      </c>
      <c r="I3978">
        <v>-1543911961</v>
      </c>
      <c r="J3978">
        <v>-285701816</v>
      </c>
      <c r="K3978">
        <v>148691226</v>
      </c>
      <c r="L3978">
        <v>-141142353</v>
      </c>
      <c r="M3978">
        <v>-283895236</v>
      </c>
      <c r="N3978">
        <v>-112960147</v>
      </c>
      <c r="O3978">
        <v>28490231</v>
      </c>
      <c r="P3978">
        <v>152</v>
      </c>
      <c r="Q3978" t="s">
        <v>8000</v>
      </c>
    </row>
    <row r="3979" spans="1:17" x14ac:dyDescent="0.3">
      <c r="A3979" t="s">
        <v>4446</v>
      </c>
      <c r="B3979" t="str">
        <f>"300179"</f>
        <v>300179</v>
      </c>
      <c r="C3979" t="s">
        <v>8001</v>
      </c>
      <c r="D3979" t="s">
        <v>78</v>
      </c>
      <c r="F3979">
        <v>61330442</v>
      </c>
      <c r="G3979">
        <v>129974181</v>
      </c>
      <c r="H3979">
        <v>113529281</v>
      </c>
      <c r="I3979">
        <v>72224427</v>
      </c>
      <c r="J3979">
        <v>179713827</v>
      </c>
      <c r="K3979">
        <v>24166018</v>
      </c>
      <c r="L3979">
        <v>-40115684</v>
      </c>
      <c r="M3979">
        <v>-1402515</v>
      </c>
      <c r="N3979">
        <v>17757929</v>
      </c>
      <c r="O3979">
        <v>3951483</v>
      </c>
      <c r="P3979">
        <v>167</v>
      </c>
      <c r="Q3979" t="s">
        <v>8002</v>
      </c>
    </row>
    <row r="3980" spans="1:17" x14ac:dyDescent="0.3">
      <c r="A3980" t="s">
        <v>4446</v>
      </c>
      <c r="B3980" t="str">
        <f>"300180"</f>
        <v>300180</v>
      </c>
      <c r="C3980" t="s">
        <v>8003</v>
      </c>
      <c r="D3980" t="s">
        <v>133</v>
      </c>
      <c r="F3980">
        <v>-110259733</v>
      </c>
      <c r="G3980">
        <v>-194099541</v>
      </c>
      <c r="H3980">
        <v>-186897634</v>
      </c>
      <c r="I3980">
        <v>-574794273</v>
      </c>
      <c r="J3980">
        <v>-279279809</v>
      </c>
      <c r="K3980">
        <v>-906699113</v>
      </c>
      <c r="L3980">
        <v>-472978494</v>
      </c>
      <c r="M3980">
        <v>-248591488</v>
      </c>
      <c r="N3980">
        <v>-84623499</v>
      </c>
      <c r="O3980">
        <v>-145956437</v>
      </c>
      <c r="P3980">
        <v>141</v>
      </c>
      <c r="Q3980" t="s">
        <v>8004</v>
      </c>
    </row>
    <row r="3981" spans="1:17" x14ac:dyDescent="0.3">
      <c r="A3981" t="s">
        <v>4446</v>
      </c>
      <c r="B3981" t="str">
        <f>"300181"</f>
        <v>300181</v>
      </c>
      <c r="C3981" t="s">
        <v>8005</v>
      </c>
      <c r="D3981" t="s">
        <v>113</v>
      </c>
      <c r="F3981">
        <v>103948741</v>
      </c>
      <c r="G3981">
        <v>224559103</v>
      </c>
      <c r="H3981">
        <v>91706352</v>
      </c>
      <c r="I3981">
        <v>-60111658</v>
      </c>
      <c r="J3981">
        <v>-117820557</v>
      </c>
      <c r="K3981">
        <v>-80270057</v>
      </c>
      <c r="L3981">
        <v>71119031</v>
      </c>
      <c r="M3981">
        <v>-25465880</v>
      </c>
      <c r="N3981">
        <v>6473206</v>
      </c>
      <c r="O3981">
        <v>-6535864</v>
      </c>
      <c r="P3981">
        <v>175</v>
      </c>
      <c r="Q3981" t="s">
        <v>8006</v>
      </c>
    </row>
    <row r="3982" spans="1:17" x14ac:dyDescent="0.3">
      <c r="A3982" t="s">
        <v>4446</v>
      </c>
      <c r="B3982" t="str">
        <f>"300182"</f>
        <v>300182</v>
      </c>
      <c r="C3982" t="s">
        <v>8007</v>
      </c>
      <c r="D3982" t="s">
        <v>89</v>
      </c>
      <c r="F3982">
        <v>496861041</v>
      </c>
      <c r="G3982">
        <v>660224605</v>
      </c>
      <c r="H3982">
        <v>474237447</v>
      </c>
      <c r="I3982">
        <v>137496405</v>
      </c>
      <c r="J3982">
        <v>-1091201067</v>
      </c>
      <c r="K3982">
        <v>-113548125</v>
      </c>
      <c r="L3982">
        <v>53957641</v>
      </c>
      <c r="M3982">
        <v>-148789777</v>
      </c>
      <c r="N3982">
        <v>8575099</v>
      </c>
      <c r="O3982">
        <v>-11553480</v>
      </c>
      <c r="P3982">
        <v>514</v>
      </c>
      <c r="Q3982" t="s">
        <v>8008</v>
      </c>
    </row>
    <row r="3983" spans="1:17" x14ac:dyDescent="0.3">
      <c r="A3983" t="s">
        <v>4446</v>
      </c>
      <c r="B3983" t="str">
        <f>"300183"</f>
        <v>300183</v>
      </c>
      <c r="C3983" t="s">
        <v>8009</v>
      </c>
      <c r="D3983" t="s">
        <v>100</v>
      </c>
      <c r="F3983">
        <v>212615241</v>
      </c>
      <c r="G3983">
        <v>-1097374719</v>
      </c>
      <c r="H3983">
        <v>318813732</v>
      </c>
      <c r="I3983">
        <v>140114522</v>
      </c>
      <c r="J3983">
        <v>158101599</v>
      </c>
      <c r="K3983">
        <v>159571254</v>
      </c>
      <c r="L3983">
        <v>63807514</v>
      </c>
      <c r="M3983">
        <v>198025925</v>
      </c>
      <c r="N3983">
        <v>198055593</v>
      </c>
      <c r="O3983">
        <v>215947546</v>
      </c>
      <c r="P3983">
        <v>276</v>
      </c>
      <c r="Q3983" t="s">
        <v>8010</v>
      </c>
    </row>
    <row r="3984" spans="1:17" x14ac:dyDescent="0.3">
      <c r="A3984" t="s">
        <v>4446</v>
      </c>
      <c r="B3984" t="str">
        <f>"300184"</f>
        <v>300184</v>
      </c>
      <c r="C3984" t="s">
        <v>8011</v>
      </c>
      <c r="D3984" t="s">
        <v>150</v>
      </c>
      <c r="F3984">
        <v>98772138</v>
      </c>
      <c r="G3984">
        <v>98983176</v>
      </c>
      <c r="H3984">
        <v>258058078</v>
      </c>
      <c r="I3984">
        <v>25684967</v>
      </c>
      <c r="J3984">
        <v>8740482</v>
      </c>
      <c r="K3984">
        <v>-18466701</v>
      </c>
      <c r="L3984">
        <v>-101063404</v>
      </c>
      <c r="M3984">
        <v>-61330100</v>
      </c>
      <c r="N3984">
        <v>-76422105</v>
      </c>
      <c r="O3984">
        <v>-60246754</v>
      </c>
      <c r="P3984">
        <v>252</v>
      </c>
      <c r="Q3984" t="s">
        <v>8012</v>
      </c>
    </row>
    <row r="3985" spans="1:17" x14ac:dyDescent="0.3">
      <c r="A3985" t="s">
        <v>4446</v>
      </c>
      <c r="B3985" t="str">
        <f>"300185"</f>
        <v>300185</v>
      </c>
      <c r="C3985" t="s">
        <v>8013</v>
      </c>
      <c r="D3985" t="s">
        <v>188</v>
      </c>
      <c r="F3985">
        <v>-464765415</v>
      </c>
      <c r="G3985">
        <v>499133980</v>
      </c>
      <c r="H3985">
        <v>83738539</v>
      </c>
      <c r="I3985">
        <v>-305678549</v>
      </c>
      <c r="J3985">
        <v>-632223700</v>
      </c>
      <c r="K3985">
        <v>-108918832</v>
      </c>
      <c r="L3985">
        <v>-64031195</v>
      </c>
      <c r="M3985">
        <v>-107805064</v>
      </c>
      <c r="N3985">
        <v>-687110049</v>
      </c>
      <c r="O3985">
        <v>-294975991</v>
      </c>
      <c r="P3985">
        <v>201</v>
      </c>
      <c r="Q3985" t="s">
        <v>8014</v>
      </c>
    </row>
    <row r="3986" spans="1:17" x14ac:dyDescent="0.3">
      <c r="A3986" t="s">
        <v>4446</v>
      </c>
      <c r="B3986" t="str">
        <f>"300186"</f>
        <v>300186</v>
      </c>
      <c r="C3986" t="s">
        <v>8015</v>
      </c>
      <c r="M3986">
        <v>-15038639.07</v>
      </c>
      <c r="N3986">
        <v>20152123.93</v>
      </c>
      <c r="O3986">
        <v>74203301.480000004</v>
      </c>
      <c r="P3986">
        <v>5</v>
      </c>
      <c r="Q3986" t="s">
        <v>8016</v>
      </c>
    </row>
    <row r="3987" spans="1:17" x14ac:dyDescent="0.3">
      <c r="A3987" t="s">
        <v>4446</v>
      </c>
      <c r="B3987" t="str">
        <f>"300187"</f>
        <v>300187</v>
      </c>
      <c r="C3987" t="s">
        <v>8017</v>
      </c>
      <c r="D3987" t="s">
        <v>33</v>
      </c>
      <c r="F3987">
        <v>9902602</v>
      </c>
      <c r="G3987">
        <v>11937715</v>
      </c>
      <c r="H3987">
        <v>40175841</v>
      </c>
      <c r="I3987">
        <v>-48980529</v>
      </c>
      <c r="J3987">
        <v>-451373251</v>
      </c>
      <c r="K3987">
        <v>120466275</v>
      </c>
      <c r="L3987">
        <v>-232145694</v>
      </c>
      <c r="M3987">
        <v>-45870905</v>
      </c>
      <c r="N3987">
        <v>-40297867</v>
      </c>
      <c r="O3987">
        <v>-158537359</v>
      </c>
      <c r="P3987">
        <v>110</v>
      </c>
      <c r="Q3987" t="s">
        <v>8018</v>
      </c>
    </row>
    <row r="3988" spans="1:17" x14ac:dyDescent="0.3">
      <c r="A3988" t="s">
        <v>4446</v>
      </c>
      <c r="B3988" t="str">
        <f>"300188"</f>
        <v>300188</v>
      </c>
      <c r="C3988" t="s">
        <v>8019</v>
      </c>
      <c r="D3988" t="s">
        <v>212</v>
      </c>
      <c r="F3988">
        <v>-227804803</v>
      </c>
      <c r="G3988">
        <v>114144701</v>
      </c>
      <c r="H3988">
        <v>218586915</v>
      </c>
      <c r="I3988">
        <v>-160517972</v>
      </c>
      <c r="J3988">
        <v>120975153</v>
      </c>
      <c r="K3988">
        <v>279387825</v>
      </c>
      <c r="L3988">
        <v>146836427</v>
      </c>
      <c r="M3988">
        <v>138112411</v>
      </c>
      <c r="N3988">
        <v>26933653</v>
      </c>
      <c r="O3988">
        <v>-196493539</v>
      </c>
      <c r="P3988">
        <v>558</v>
      </c>
      <c r="Q3988" t="s">
        <v>8020</v>
      </c>
    </row>
    <row r="3989" spans="1:17" x14ac:dyDescent="0.3">
      <c r="A3989" t="s">
        <v>4446</v>
      </c>
      <c r="B3989" t="str">
        <f>"300189"</f>
        <v>300189</v>
      </c>
      <c r="C3989" t="s">
        <v>8021</v>
      </c>
      <c r="D3989" t="s">
        <v>205</v>
      </c>
      <c r="F3989">
        <v>-17562515</v>
      </c>
      <c r="G3989">
        <v>72888409</v>
      </c>
      <c r="H3989">
        <v>-111934277</v>
      </c>
      <c r="I3989">
        <v>560157291</v>
      </c>
      <c r="J3989">
        <v>344050326</v>
      </c>
      <c r="K3989">
        <v>-973998864</v>
      </c>
      <c r="L3989">
        <v>-87809548</v>
      </c>
      <c r="M3989">
        <v>-79414041</v>
      </c>
      <c r="N3989">
        <v>-286736017</v>
      </c>
      <c r="O3989">
        <v>-147694126</v>
      </c>
      <c r="P3989">
        <v>111</v>
      </c>
      <c r="Q3989" t="s">
        <v>8022</v>
      </c>
    </row>
    <row r="3990" spans="1:17" x14ac:dyDescent="0.3">
      <c r="A3990" t="s">
        <v>4446</v>
      </c>
      <c r="B3990" t="str">
        <f>"300190"</f>
        <v>300190</v>
      </c>
      <c r="C3990" t="s">
        <v>8023</v>
      </c>
      <c r="D3990" t="s">
        <v>33</v>
      </c>
      <c r="F3990">
        <v>-285944621</v>
      </c>
      <c r="G3990">
        <v>-508357804</v>
      </c>
      <c r="H3990">
        <v>-350046630</v>
      </c>
      <c r="I3990">
        <v>-290175565</v>
      </c>
      <c r="J3990">
        <v>-200114865</v>
      </c>
      <c r="K3990">
        <v>-241849932</v>
      </c>
      <c r="L3990">
        <v>-328567625</v>
      </c>
      <c r="M3990">
        <v>-1054150</v>
      </c>
      <c r="N3990">
        <v>-209511656</v>
      </c>
      <c r="O3990">
        <v>-130713302</v>
      </c>
      <c r="P3990">
        <v>233</v>
      </c>
      <c r="Q3990" t="s">
        <v>8024</v>
      </c>
    </row>
    <row r="3991" spans="1:17" x14ac:dyDescent="0.3">
      <c r="A3991" t="s">
        <v>4446</v>
      </c>
      <c r="B3991" t="str">
        <f>"300191"</f>
        <v>300191</v>
      </c>
      <c r="C3991" t="s">
        <v>8025</v>
      </c>
      <c r="D3991" t="s">
        <v>70</v>
      </c>
      <c r="F3991">
        <v>-49228230</v>
      </c>
      <c r="G3991">
        <v>203143308</v>
      </c>
      <c r="H3991">
        <v>-346549878</v>
      </c>
      <c r="I3991">
        <v>24429331</v>
      </c>
      <c r="J3991">
        <v>-11517715</v>
      </c>
      <c r="K3991">
        <v>-142519014</v>
      </c>
      <c r="L3991">
        <v>23966283</v>
      </c>
      <c r="M3991">
        <v>97342789</v>
      </c>
      <c r="N3991">
        <v>14956843</v>
      </c>
      <c r="O3991">
        <v>-23712722</v>
      </c>
      <c r="P3991">
        <v>75</v>
      </c>
      <c r="Q3991" t="s">
        <v>8026</v>
      </c>
    </row>
    <row r="3992" spans="1:17" x14ac:dyDescent="0.3">
      <c r="A3992" t="s">
        <v>4446</v>
      </c>
      <c r="B3992" t="str">
        <f>"300192"</f>
        <v>300192</v>
      </c>
      <c r="C3992" t="s">
        <v>8027</v>
      </c>
      <c r="D3992" t="s">
        <v>110</v>
      </c>
      <c r="F3992">
        <v>82136044</v>
      </c>
      <c r="G3992">
        <v>132988921</v>
      </c>
      <c r="H3992">
        <v>208875528</v>
      </c>
      <c r="I3992">
        <v>265114258</v>
      </c>
      <c r="J3992">
        <v>21549295</v>
      </c>
      <c r="K3992">
        <v>43641999</v>
      </c>
      <c r="L3992">
        <v>16677894</v>
      </c>
      <c r="M3992">
        <v>-58305272</v>
      </c>
      <c r="N3992">
        <v>-64035121</v>
      </c>
      <c r="O3992">
        <v>-78542363</v>
      </c>
      <c r="P3992">
        <v>182</v>
      </c>
      <c r="Q3992" t="s">
        <v>8028</v>
      </c>
    </row>
    <row r="3993" spans="1:17" x14ac:dyDescent="0.3">
      <c r="A3993" t="s">
        <v>4446</v>
      </c>
      <c r="B3993" t="str">
        <f>"300193"</f>
        <v>300193</v>
      </c>
      <c r="C3993" t="s">
        <v>8029</v>
      </c>
      <c r="D3993" t="s">
        <v>78</v>
      </c>
      <c r="F3993">
        <v>-8581378</v>
      </c>
      <c r="G3993">
        <v>217344316</v>
      </c>
      <c r="H3993">
        <v>200450301</v>
      </c>
      <c r="I3993">
        <v>137196902</v>
      </c>
      <c r="J3993">
        <v>204247611</v>
      </c>
      <c r="K3993">
        <v>250668755</v>
      </c>
      <c r="L3993">
        <v>122243769</v>
      </c>
      <c r="M3993">
        <v>74647844</v>
      </c>
      <c r="N3993">
        <v>46389332</v>
      </c>
      <c r="O3993">
        <v>-99561435</v>
      </c>
      <c r="P3993">
        <v>155</v>
      </c>
      <c r="Q3993" t="s">
        <v>8030</v>
      </c>
    </row>
    <row r="3994" spans="1:17" x14ac:dyDescent="0.3">
      <c r="A3994" t="s">
        <v>4446</v>
      </c>
      <c r="B3994" t="str">
        <f>"300194"</f>
        <v>300194</v>
      </c>
      <c r="C3994" t="s">
        <v>8031</v>
      </c>
      <c r="D3994" t="s">
        <v>113</v>
      </c>
      <c r="F3994">
        <v>-124419048</v>
      </c>
      <c r="G3994">
        <v>-110864170</v>
      </c>
      <c r="H3994">
        <v>154558460</v>
      </c>
      <c r="I3994">
        <v>137277864</v>
      </c>
      <c r="J3994">
        <v>379166555</v>
      </c>
      <c r="K3994">
        <v>221866788</v>
      </c>
      <c r="L3994">
        <v>70651072</v>
      </c>
      <c r="M3994">
        <v>-86505594</v>
      </c>
      <c r="N3994">
        <v>-81997797</v>
      </c>
      <c r="O3994">
        <v>-69188273</v>
      </c>
      <c r="P3994">
        <v>149</v>
      </c>
      <c r="Q3994" t="s">
        <v>8032</v>
      </c>
    </row>
    <row r="3995" spans="1:17" x14ac:dyDescent="0.3">
      <c r="A3995" t="s">
        <v>4446</v>
      </c>
      <c r="B3995" t="str">
        <f>"300195"</f>
        <v>300195</v>
      </c>
      <c r="C3995" t="s">
        <v>8033</v>
      </c>
      <c r="D3995" t="s">
        <v>78</v>
      </c>
      <c r="F3995">
        <v>72851576</v>
      </c>
      <c r="G3995">
        <v>-53078329</v>
      </c>
      <c r="H3995">
        <v>-312324442</v>
      </c>
      <c r="I3995">
        <v>-288309334</v>
      </c>
      <c r="J3995">
        <v>-262613610</v>
      </c>
      <c r="K3995">
        <v>168790215</v>
      </c>
      <c r="L3995">
        <v>41677169</v>
      </c>
      <c r="M3995">
        <v>-257680883</v>
      </c>
      <c r="N3995">
        <v>-87863067</v>
      </c>
      <c r="O3995">
        <v>-21227536</v>
      </c>
      <c r="P3995">
        <v>90</v>
      </c>
      <c r="Q3995" t="s">
        <v>8034</v>
      </c>
    </row>
    <row r="3996" spans="1:17" x14ac:dyDescent="0.3">
      <c r="A3996" t="s">
        <v>4446</v>
      </c>
      <c r="B3996" t="str">
        <f>"300196"</f>
        <v>300196</v>
      </c>
      <c r="C3996" t="s">
        <v>8035</v>
      </c>
      <c r="D3996" t="s">
        <v>350</v>
      </c>
      <c r="F3996">
        <v>-319874330</v>
      </c>
      <c r="G3996">
        <v>167231441</v>
      </c>
      <c r="H3996">
        <v>300476509</v>
      </c>
      <c r="I3996">
        <v>-94656418</v>
      </c>
      <c r="J3996">
        <v>172675903</v>
      </c>
      <c r="K3996">
        <v>302539740</v>
      </c>
      <c r="L3996">
        <v>210814505</v>
      </c>
      <c r="M3996">
        <v>71003018</v>
      </c>
      <c r="N3996">
        <v>7477583</v>
      </c>
      <c r="O3996">
        <v>-268718783</v>
      </c>
      <c r="P3996">
        <v>232</v>
      </c>
      <c r="Q3996" t="s">
        <v>8036</v>
      </c>
    </row>
    <row r="3997" spans="1:17" x14ac:dyDescent="0.3">
      <c r="A3997" t="s">
        <v>4446</v>
      </c>
      <c r="B3997" t="str">
        <f>"300197"</f>
        <v>300197</v>
      </c>
      <c r="C3997" t="s">
        <v>8037</v>
      </c>
      <c r="D3997" t="s">
        <v>95</v>
      </c>
      <c r="F3997">
        <v>-299142137</v>
      </c>
      <c r="G3997">
        <v>-143229706</v>
      </c>
      <c r="H3997">
        <v>1114916638</v>
      </c>
      <c r="I3997">
        <v>315106696</v>
      </c>
      <c r="J3997">
        <v>-1064981797</v>
      </c>
      <c r="K3997">
        <v>-976868260</v>
      </c>
      <c r="L3997">
        <v>-297501454</v>
      </c>
      <c r="M3997">
        <v>-307391373</v>
      </c>
      <c r="N3997">
        <v>-514093772</v>
      </c>
      <c r="O3997">
        <v>-360669685</v>
      </c>
      <c r="P3997">
        <v>356</v>
      </c>
      <c r="Q3997" t="s">
        <v>8038</v>
      </c>
    </row>
    <row r="3998" spans="1:17" x14ac:dyDescent="0.3">
      <c r="A3998" t="s">
        <v>4446</v>
      </c>
      <c r="B3998" t="str">
        <f>"300198"</f>
        <v>300198</v>
      </c>
      <c r="C3998" t="s">
        <v>8039</v>
      </c>
      <c r="D3998" t="s">
        <v>350</v>
      </c>
      <c r="F3998">
        <v>-158332164</v>
      </c>
      <c r="G3998">
        <v>-448514665</v>
      </c>
      <c r="H3998">
        <v>-218025829</v>
      </c>
      <c r="I3998">
        <v>97892548</v>
      </c>
      <c r="J3998">
        <v>-365406655</v>
      </c>
      <c r="K3998">
        <v>-90090478</v>
      </c>
      <c r="L3998">
        <v>-105357692</v>
      </c>
      <c r="M3998">
        <v>-1904100</v>
      </c>
      <c r="N3998">
        <v>-86560687</v>
      </c>
      <c r="O3998">
        <v>-4369534</v>
      </c>
      <c r="P3998">
        <v>82</v>
      </c>
      <c r="Q3998" t="s">
        <v>8040</v>
      </c>
    </row>
    <row r="3999" spans="1:17" x14ac:dyDescent="0.3">
      <c r="A3999" t="s">
        <v>4446</v>
      </c>
      <c r="B3999" t="str">
        <f>"300199"</f>
        <v>300199</v>
      </c>
      <c r="C3999" t="s">
        <v>8041</v>
      </c>
      <c r="D3999" t="s">
        <v>113</v>
      </c>
      <c r="F3999">
        <v>-42034567</v>
      </c>
      <c r="G3999">
        <v>-195615699</v>
      </c>
      <c r="H3999">
        <v>-465466580</v>
      </c>
      <c r="I3999">
        <v>-313125702</v>
      </c>
      <c r="J3999">
        <v>-7337153</v>
      </c>
      <c r="K3999">
        <v>180545463</v>
      </c>
      <c r="L3999">
        <v>-219986443</v>
      </c>
      <c r="M3999">
        <v>68261881</v>
      </c>
      <c r="N3999">
        <v>-149376813</v>
      </c>
      <c r="O3999">
        <v>-134192697</v>
      </c>
      <c r="P3999">
        <v>242</v>
      </c>
      <c r="Q3999" t="s">
        <v>8042</v>
      </c>
    </row>
    <row r="4000" spans="1:17" x14ac:dyDescent="0.3">
      <c r="A4000" t="s">
        <v>4446</v>
      </c>
      <c r="B4000" t="str">
        <f>"300200"</f>
        <v>300200</v>
      </c>
      <c r="C4000" t="s">
        <v>8043</v>
      </c>
      <c r="D4000" t="s">
        <v>133</v>
      </c>
      <c r="F4000">
        <v>148929407</v>
      </c>
      <c r="G4000">
        <v>250699833</v>
      </c>
      <c r="H4000">
        <v>297288333</v>
      </c>
      <c r="I4000">
        <v>215257797</v>
      </c>
      <c r="J4000">
        <v>31800155</v>
      </c>
      <c r="K4000">
        <v>72338024</v>
      </c>
      <c r="L4000">
        <v>44214689</v>
      </c>
      <c r="M4000">
        <v>8812679</v>
      </c>
      <c r="N4000">
        <v>-59665169</v>
      </c>
      <c r="O4000">
        <v>-50732911</v>
      </c>
      <c r="P4000">
        <v>160</v>
      </c>
      <c r="Q4000" t="s">
        <v>8044</v>
      </c>
    </row>
    <row r="4001" spans="1:17" x14ac:dyDescent="0.3">
      <c r="A4001" t="s">
        <v>4446</v>
      </c>
      <c r="B4001" t="str">
        <f>"300201"</f>
        <v>300201</v>
      </c>
      <c r="C4001" t="s">
        <v>8045</v>
      </c>
      <c r="D4001" t="s">
        <v>78</v>
      </c>
      <c r="F4001">
        <v>-35789565</v>
      </c>
      <c r="G4001">
        <v>614506883</v>
      </c>
      <c r="H4001">
        <v>83511874</v>
      </c>
      <c r="I4001">
        <v>-52952107</v>
      </c>
      <c r="J4001">
        <v>-113897516</v>
      </c>
      <c r="K4001">
        <v>-150063634</v>
      </c>
      <c r="L4001">
        <v>69215316</v>
      </c>
      <c r="M4001">
        <v>29483175</v>
      </c>
      <c r="N4001">
        <v>-76760033</v>
      </c>
      <c r="O4001">
        <v>-72008335</v>
      </c>
      <c r="P4001">
        <v>77</v>
      </c>
      <c r="Q4001" t="s">
        <v>8046</v>
      </c>
    </row>
    <row r="4002" spans="1:17" x14ac:dyDescent="0.3">
      <c r="A4002" t="s">
        <v>4446</v>
      </c>
      <c r="B4002" t="str">
        <f>"300202"</f>
        <v>300202</v>
      </c>
      <c r="C4002" t="s">
        <v>8047</v>
      </c>
      <c r="D4002" t="s">
        <v>212</v>
      </c>
      <c r="F4002">
        <v>-53944257</v>
      </c>
      <c r="G4002">
        <v>204507378</v>
      </c>
      <c r="H4002">
        <v>35891250</v>
      </c>
      <c r="I4002">
        <v>69112947</v>
      </c>
      <c r="J4002">
        <v>150456918</v>
      </c>
      <c r="K4002">
        <v>51745695</v>
      </c>
      <c r="L4002">
        <v>44820822</v>
      </c>
      <c r="M4002">
        <v>233040544</v>
      </c>
      <c r="N4002">
        <v>19679346</v>
      </c>
      <c r="O4002">
        <v>-35880342</v>
      </c>
      <c r="P4002">
        <v>2978</v>
      </c>
      <c r="Q4002" t="s">
        <v>8048</v>
      </c>
    </row>
    <row r="4003" spans="1:17" x14ac:dyDescent="0.3">
      <c r="A4003" t="s">
        <v>4446</v>
      </c>
      <c r="B4003" t="str">
        <f>"300203"</f>
        <v>300203</v>
      </c>
      <c r="C4003" t="s">
        <v>8049</v>
      </c>
      <c r="D4003" t="s">
        <v>33</v>
      </c>
      <c r="F4003">
        <v>-443070691</v>
      </c>
      <c r="G4003">
        <v>12162024</v>
      </c>
      <c r="H4003">
        <v>-137031974</v>
      </c>
      <c r="I4003">
        <v>251976535</v>
      </c>
      <c r="J4003">
        <v>-65546156</v>
      </c>
      <c r="K4003">
        <v>-89444882</v>
      </c>
      <c r="L4003">
        <v>75731913</v>
      </c>
      <c r="M4003">
        <v>30014360</v>
      </c>
      <c r="N4003">
        <v>-65781623</v>
      </c>
      <c r="O4003">
        <v>13912455</v>
      </c>
      <c r="P4003">
        <v>431</v>
      </c>
      <c r="Q4003" t="s">
        <v>8050</v>
      </c>
    </row>
    <row r="4004" spans="1:17" x14ac:dyDescent="0.3">
      <c r="A4004" t="s">
        <v>4446</v>
      </c>
      <c r="B4004" t="str">
        <f>"300204"</f>
        <v>300204</v>
      </c>
      <c r="C4004" t="s">
        <v>8051</v>
      </c>
      <c r="D4004" t="s">
        <v>113</v>
      </c>
      <c r="F4004">
        <v>-218298606</v>
      </c>
      <c r="G4004">
        <v>-157788680</v>
      </c>
      <c r="H4004">
        <v>-14517144</v>
      </c>
      <c r="I4004">
        <v>69625995</v>
      </c>
      <c r="J4004">
        <v>227090866</v>
      </c>
      <c r="K4004">
        <v>186106669</v>
      </c>
      <c r="L4004">
        <v>209577994</v>
      </c>
      <c r="M4004">
        <v>192398268</v>
      </c>
      <c r="N4004">
        <v>105703688</v>
      </c>
      <c r="O4004">
        <v>40421437</v>
      </c>
      <c r="P4004">
        <v>202</v>
      </c>
      <c r="Q4004" t="s">
        <v>8052</v>
      </c>
    </row>
    <row r="4005" spans="1:17" x14ac:dyDescent="0.3">
      <c r="A4005" t="s">
        <v>4446</v>
      </c>
      <c r="B4005" t="str">
        <f>"300205"</f>
        <v>300205</v>
      </c>
      <c r="C4005" t="s">
        <v>8053</v>
      </c>
      <c r="D4005" t="s">
        <v>100</v>
      </c>
      <c r="F4005">
        <v>-327250283</v>
      </c>
      <c r="G4005">
        <v>177234438</v>
      </c>
      <c r="H4005">
        <v>244304964</v>
      </c>
      <c r="I4005">
        <v>-25515807</v>
      </c>
      <c r="J4005">
        <v>144537056</v>
      </c>
      <c r="K4005">
        <v>42035085</v>
      </c>
      <c r="L4005">
        <v>243536625</v>
      </c>
      <c r="M4005">
        <v>-210810268</v>
      </c>
      <c r="N4005">
        <v>-51925183</v>
      </c>
      <c r="O4005">
        <v>-27163598</v>
      </c>
      <c r="P4005">
        <v>222</v>
      </c>
      <c r="Q4005" t="s">
        <v>8054</v>
      </c>
    </row>
    <row r="4006" spans="1:17" x14ac:dyDescent="0.3">
      <c r="A4006" t="s">
        <v>4446</v>
      </c>
      <c r="B4006" t="str">
        <f>"300206"</f>
        <v>300206</v>
      </c>
      <c r="C4006" t="s">
        <v>8055</v>
      </c>
      <c r="D4006" t="s">
        <v>113</v>
      </c>
      <c r="F4006">
        <v>163779608</v>
      </c>
      <c r="G4006">
        <v>640405240</v>
      </c>
      <c r="H4006">
        <v>62382716</v>
      </c>
      <c r="I4006">
        <v>45763217</v>
      </c>
      <c r="J4006">
        <v>72381208</v>
      </c>
      <c r="K4006">
        <v>-152804945</v>
      </c>
      <c r="L4006">
        <v>-83858384</v>
      </c>
      <c r="M4006">
        <v>-98897459</v>
      </c>
      <c r="N4006">
        <v>-86723181</v>
      </c>
      <c r="O4006">
        <v>56771256</v>
      </c>
      <c r="P4006">
        <v>428</v>
      </c>
      <c r="Q4006" t="s">
        <v>8056</v>
      </c>
    </row>
    <row r="4007" spans="1:17" x14ac:dyDescent="0.3">
      <c r="A4007" t="s">
        <v>4446</v>
      </c>
      <c r="B4007" t="str">
        <f>"300207"</f>
        <v>300207</v>
      </c>
      <c r="C4007" t="s">
        <v>8057</v>
      </c>
      <c r="D4007" t="s">
        <v>188</v>
      </c>
      <c r="F4007">
        <v>-2021597983</v>
      </c>
      <c r="G4007">
        <v>-3102690387</v>
      </c>
      <c r="H4007">
        <v>-2305693990</v>
      </c>
      <c r="I4007">
        <v>-976022560</v>
      </c>
      <c r="J4007">
        <v>-1742042837</v>
      </c>
      <c r="K4007">
        <v>395887399</v>
      </c>
      <c r="L4007">
        <v>76342226</v>
      </c>
      <c r="M4007">
        <v>460003783</v>
      </c>
      <c r="N4007">
        <v>-320997641</v>
      </c>
      <c r="O4007">
        <v>-533936534</v>
      </c>
      <c r="P4007">
        <v>1013</v>
      </c>
      <c r="Q4007" t="s">
        <v>8058</v>
      </c>
    </row>
    <row r="4008" spans="1:17" x14ac:dyDescent="0.3">
      <c r="A4008" t="s">
        <v>4446</v>
      </c>
      <c r="B4008" t="str">
        <f>"300208"</f>
        <v>300208</v>
      </c>
      <c r="C4008" t="s">
        <v>8059</v>
      </c>
      <c r="D4008" t="s">
        <v>103</v>
      </c>
      <c r="F4008">
        <v>602123485</v>
      </c>
      <c r="G4008">
        <v>52110197</v>
      </c>
      <c r="H4008">
        <v>-915259861</v>
      </c>
      <c r="I4008">
        <v>-718501553</v>
      </c>
      <c r="J4008">
        <v>-150702229</v>
      </c>
      <c r="K4008">
        <v>-191209399</v>
      </c>
      <c r="L4008">
        <v>465323880</v>
      </c>
      <c r="M4008">
        <v>-114831716</v>
      </c>
      <c r="N4008">
        <v>78190494</v>
      </c>
      <c r="O4008">
        <v>36049012</v>
      </c>
      <c r="P4008">
        <v>144</v>
      </c>
      <c r="Q4008" t="s">
        <v>8060</v>
      </c>
    </row>
    <row r="4009" spans="1:17" x14ac:dyDescent="0.3">
      <c r="A4009" t="s">
        <v>4446</v>
      </c>
      <c r="B4009" t="str">
        <f>"300209"</f>
        <v>300209</v>
      </c>
      <c r="C4009" t="s">
        <v>8061</v>
      </c>
      <c r="D4009" t="s">
        <v>212</v>
      </c>
      <c r="F4009">
        <v>-46109777</v>
      </c>
      <c r="G4009">
        <v>-300137041</v>
      </c>
      <c r="H4009">
        <v>43982855</v>
      </c>
      <c r="I4009">
        <v>-89420830</v>
      </c>
      <c r="J4009">
        <v>26790913</v>
      </c>
      <c r="K4009">
        <v>-24539518</v>
      </c>
      <c r="L4009">
        <v>-46265929</v>
      </c>
      <c r="M4009">
        <v>-18111841</v>
      </c>
      <c r="N4009">
        <v>-27698945</v>
      </c>
      <c r="O4009">
        <v>-55542445</v>
      </c>
      <c r="P4009">
        <v>143</v>
      </c>
      <c r="Q4009" t="s">
        <v>8062</v>
      </c>
    </row>
    <row r="4010" spans="1:17" x14ac:dyDescent="0.3">
      <c r="A4010" t="s">
        <v>4446</v>
      </c>
      <c r="B4010" t="str">
        <f>"300210"</f>
        <v>300210</v>
      </c>
      <c r="C4010" t="s">
        <v>8063</v>
      </c>
      <c r="D4010" t="s">
        <v>33</v>
      </c>
      <c r="F4010">
        <v>73420066</v>
      </c>
      <c r="G4010">
        <v>152531943</v>
      </c>
      <c r="H4010">
        <v>-45267473</v>
      </c>
      <c r="I4010">
        <v>-81336179</v>
      </c>
      <c r="J4010">
        <v>-69089867</v>
      </c>
      <c r="K4010">
        <v>-52200589</v>
      </c>
      <c r="L4010">
        <v>-86220461</v>
      </c>
      <c r="M4010">
        <v>-194125637</v>
      </c>
      <c r="N4010">
        <v>-114525036</v>
      </c>
      <c r="O4010">
        <v>-17789280</v>
      </c>
      <c r="P4010">
        <v>50</v>
      </c>
      <c r="Q4010" t="s">
        <v>8064</v>
      </c>
    </row>
    <row r="4011" spans="1:17" x14ac:dyDescent="0.3">
      <c r="A4011" t="s">
        <v>4446</v>
      </c>
      <c r="B4011" t="str">
        <f>"300211"</f>
        <v>300211</v>
      </c>
      <c r="C4011" t="s">
        <v>8065</v>
      </c>
      <c r="D4011" t="s">
        <v>100</v>
      </c>
      <c r="F4011">
        <v>34644866</v>
      </c>
      <c r="G4011">
        <v>34550080</v>
      </c>
      <c r="H4011">
        <v>72216164</v>
      </c>
      <c r="I4011">
        <v>52594410</v>
      </c>
      <c r="J4011">
        <v>7439581</v>
      </c>
      <c r="K4011">
        <v>11572866</v>
      </c>
      <c r="L4011">
        <v>16889655</v>
      </c>
      <c r="M4011">
        <v>-24771238</v>
      </c>
      <c r="N4011">
        <v>-15519149</v>
      </c>
      <c r="O4011">
        <v>-26457911</v>
      </c>
      <c r="P4011">
        <v>63</v>
      </c>
      <c r="Q4011" t="s">
        <v>8066</v>
      </c>
    </row>
    <row r="4012" spans="1:17" x14ac:dyDescent="0.3">
      <c r="A4012" t="s">
        <v>4446</v>
      </c>
      <c r="B4012" t="str">
        <f>"300212"</f>
        <v>300212</v>
      </c>
      <c r="C4012" t="s">
        <v>8067</v>
      </c>
      <c r="D4012" t="s">
        <v>212</v>
      </c>
      <c r="F4012">
        <v>-585256982</v>
      </c>
      <c r="G4012">
        <v>-172558109</v>
      </c>
      <c r="H4012">
        <v>-205499444</v>
      </c>
      <c r="I4012">
        <v>-792675952</v>
      </c>
      <c r="J4012">
        <v>-908917044</v>
      </c>
      <c r="K4012">
        <v>-610487697</v>
      </c>
      <c r="L4012">
        <v>-542553168</v>
      </c>
      <c r="M4012">
        <v>-527325525</v>
      </c>
      <c r="N4012">
        <v>-314665046</v>
      </c>
      <c r="O4012">
        <v>-220474841</v>
      </c>
      <c r="P4012">
        <v>389</v>
      </c>
      <c r="Q4012" t="s">
        <v>8068</v>
      </c>
    </row>
    <row r="4013" spans="1:17" x14ac:dyDescent="0.3">
      <c r="A4013" t="s">
        <v>4446</v>
      </c>
      <c r="B4013" t="str">
        <f>"300213"</f>
        <v>300213</v>
      </c>
      <c r="C4013" t="s">
        <v>8069</v>
      </c>
      <c r="D4013" t="s">
        <v>100</v>
      </c>
      <c r="F4013">
        <v>64822775</v>
      </c>
      <c r="G4013">
        <v>107349903</v>
      </c>
      <c r="H4013">
        <v>137384789</v>
      </c>
      <c r="I4013">
        <v>-83117542</v>
      </c>
      <c r="J4013">
        <v>-41305467</v>
      </c>
      <c r="K4013">
        <v>57241877</v>
      </c>
      <c r="L4013">
        <v>69729937</v>
      </c>
      <c r="M4013">
        <v>41852597</v>
      </c>
      <c r="N4013">
        <v>9924929</v>
      </c>
      <c r="O4013">
        <v>-16880542</v>
      </c>
      <c r="P4013">
        <v>188</v>
      </c>
      <c r="Q4013" t="s">
        <v>8070</v>
      </c>
    </row>
    <row r="4014" spans="1:17" x14ac:dyDescent="0.3">
      <c r="A4014" t="s">
        <v>4446</v>
      </c>
      <c r="B4014" t="str">
        <f>"300214"</f>
        <v>300214</v>
      </c>
      <c r="C4014" t="s">
        <v>8071</v>
      </c>
      <c r="D4014" t="s">
        <v>133</v>
      </c>
      <c r="F4014">
        <v>-63564349</v>
      </c>
      <c r="G4014">
        <v>321346608</v>
      </c>
      <c r="H4014">
        <v>-22798538</v>
      </c>
      <c r="I4014">
        <v>8265783</v>
      </c>
      <c r="J4014">
        <v>-74062523</v>
      </c>
      <c r="K4014">
        <v>-116024759</v>
      </c>
      <c r="L4014">
        <v>194441928</v>
      </c>
      <c r="M4014">
        <v>19673372</v>
      </c>
      <c r="N4014">
        <v>-121133968</v>
      </c>
      <c r="O4014">
        <v>-131821959</v>
      </c>
      <c r="P4014">
        <v>107</v>
      </c>
      <c r="Q4014" t="s">
        <v>8072</v>
      </c>
    </row>
    <row r="4015" spans="1:17" x14ac:dyDescent="0.3">
      <c r="A4015" t="s">
        <v>4446</v>
      </c>
      <c r="B4015" t="str">
        <f>"300215"</f>
        <v>300215</v>
      </c>
      <c r="C4015" t="s">
        <v>8073</v>
      </c>
      <c r="D4015" t="s">
        <v>110</v>
      </c>
      <c r="F4015">
        <v>395463776</v>
      </c>
      <c r="G4015">
        <v>193360039</v>
      </c>
      <c r="H4015">
        <v>190614312</v>
      </c>
      <c r="I4015">
        <v>389049675</v>
      </c>
      <c r="J4015">
        <v>222739073</v>
      </c>
      <c r="K4015">
        <v>83040626</v>
      </c>
      <c r="L4015">
        <v>-87231565</v>
      </c>
      <c r="M4015">
        <v>-272621116</v>
      </c>
      <c r="N4015">
        <v>-283627368</v>
      </c>
      <c r="O4015">
        <v>-272880589</v>
      </c>
      <c r="P4015">
        <v>178</v>
      </c>
      <c r="Q4015" t="s">
        <v>8074</v>
      </c>
    </row>
    <row r="4016" spans="1:17" x14ac:dyDescent="0.3">
      <c r="A4016" t="s">
        <v>4446</v>
      </c>
      <c r="B4016" t="str">
        <f>"300216"</f>
        <v>300216</v>
      </c>
      <c r="C4016" t="s">
        <v>8075</v>
      </c>
      <c r="H4016">
        <v>-7101235</v>
      </c>
      <c r="I4016">
        <v>81982156</v>
      </c>
      <c r="J4016">
        <v>-1666303395</v>
      </c>
      <c r="K4016">
        <v>-443206989</v>
      </c>
      <c r="L4016">
        <v>-24654118</v>
      </c>
      <c r="M4016">
        <v>-51916782</v>
      </c>
      <c r="N4016">
        <v>-44427056</v>
      </c>
      <c r="O4016">
        <v>-132376842</v>
      </c>
      <c r="P4016">
        <v>53</v>
      </c>
      <c r="Q4016" t="s">
        <v>8076</v>
      </c>
    </row>
    <row r="4017" spans="1:17" x14ac:dyDescent="0.3">
      <c r="A4017" t="s">
        <v>4446</v>
      </c>
      <c r="B4017" t="str">
        <f>"300217"</f>
        <v>300217</v>
      </c>
      <c r="C4017" t="s">
        <v>8077</v>
      </c>
      <c r="D4017" t="s">
        <v>126</v>
      </c>
      <c r="F4017">
        <v>-211644865</v>
      </c>
      <c r="G4017">
        <v>11811673</v>
      </c>
      <c r="H4017">
        <v>-36191849</v>
      </c>
      <c r="I4017">
        <v>-346019344</v>
      </c>
      <c r="J4017">
        <v>-197760905</v>
      </c>
      <c r="K4017">
        <v>32018381</v>
      </c>
      <c r="L4017">
        <v>50737998</v>
      </c>
      <c r="M4017">
        <v>-87192275</v>
      </c>
      <c r="N4017">
        <v>-99874114</v>
      </c>
      <c r="O4017">
        <v>22843975</v>
      </c>
      <c r="P4017">
        <v>161</v>
      </c>
      <c r="Q4017" t="s">
        <v>8078</v>
      </c>
    </row>
    <row r="4018" spans="1:17" x14ac:dyDescent="0.3">
      <c r="A4018" t="s">
        <v>4446</v>
      </c>
      <c r="B4018" t="str">
        <f>"300218"</f>
        <v>300218</v>
      </c>
      <c r="C4018" t="s">
        <v>8079</v>
      </c>
      <c r="D4018" t="s">
        <v>133</v>
      </c>
      <c r="F4018">
        <v>46330480</v>
      </c>
      <c r="G4018">
        <v>54076989</v>
      </c>
      <c r="H4018">
        <v>62132818</v>
      </c>
      <c r="I4018">
        <v>129732910</v>
      </c>
      <c r="J4018">
        <v>51864156</v>
      </c>
      <c r="K4018">
        <v>55588765</v>
      </c>
      <c r="L4018">
        <v>-62438516</v>
      </c>
      <c r="M4018">
        <v>-84185086</v>
      </c>
      <c r="N4018">
        <v>-81730259</v>
      </c>
      <c r="O4018">
        <v>-139519316</v>
      </c>
      <c r="P4018">
        <v>108</v>
      </c>
      <c r="Q4018" t="s">
        <v>8080</v>
      </c>
    </row>
    <row r="4019" spans="1:17" x14ac:dyDescent="0.3">
      <c r="A4019" t="s">
        <v>4446</v>
      </c>
      <c r="B4019" t="str">
        <f>"300219"</f>
        <v>300219</v>
      </c>
      <c r="C4019" t="s">
        <v>8081</v>
      </c>
      <c r="D4019" t="s">
        <v>150</v>
      </c>
      <c r="F4019">
        <v>-37835266</v>
      </c>
      <c r="G4019">
        <v>-24884853</v>
      </c>
      <c r="H4019">
        <v>421558422</v>
      </c>
      <c r="I4019">
        <v>376368585</v>
      </c>
      <c r="J4019">
        <v>-237461614</v>
      </c>
      <c r="K4019">
        <v>-153216726</v>
      </c>
      <c r="L4019">
        <v>23712946</v>
      </c>
      <c r="M4019">
        <v>98052090</v>
      </c>
      <c r="N4019">
        <v>38898860</v>
      </c>
      <c r="O4019">
        <v>-106082791</v>
      </c>
      <c r="P4019">
        <v>135</v>
      </c>
      <c r="Q4019" t="s">
        <v>8082</v>
      </c>
    </row>
    <row r="4020" spans="1:17" x14ac:dyDescent="0.3">
      <c r="A4020" t="s">
        <v>4446</v>
      </c>
      <c r="B4020" t="str">
        <f>"300220"</f>
        <v>300220</v>
      </c>
      <c r="C4020" t="s">
        <v>8083</v>
      </c>
      <c r="D4020" t="s">
        <v>78</v>
      </c>
      <c r="F4020">
        <v>-74553211</v>
      </c>
      <c r="G4020">
        <v>-46180098</v>
      </c>
      <c r="H4020">
        <v>4132394</v>
      </c>
      <c r="I4020">
        <v>22389558</v>
      </c>
      <c r="J4020">
        <v>-1374364</v>
      </c>
      <c r="K4020">
        <v>8870980</v>
      </c>
      <c r="L4020">
        <v>-22012600</v>
      </c>
      <c r="M4020">
        <v>-12253418</v>
      </c>
      <c r="N4020">
        <v>-25840977</v>
      </c>
      <c r="O4020">
        <v>-52522847</v>
      </c>
      <c r="P4020">
        <v>91</v>
      </c>
      <c r="Q4020" t="s">
        <v>8084</v>
      </c>
    </row>
    <row r="4021" spans="1:17" x14ac:dyDescent="0.3">
      <c r="A4021" t="s">
        <v>4446</v>
      </c>
      <c r="B4021" t="str">
        <f>"300221"</f>
        <v>300221</v>
      </c>
      <c r="C4021" t="s">
        <v>8085</v>
      </c>
      <c r="D4021" t="s">
        <v>133</v>
      </c>
      <c r="F4021">
        <v>-125690235</v>
      </c>
      <c r="G4021">
        <v>108467137</v>
      </c>
      <c r="H4021">
        <v>171940917</v>
      </c>
      <c r="I4021">
        <v>81185024</v>
      </c>
      <c r="J4021">
        <v>-63975892</v>
      </c>
      <c r="K4021">
        <v>25873122</v>
      </c>
      <c r="L4021">
        <v>41761496</v>
      </c>
      <c r="M4021">
        <v>-92618776</v>
      </c>
      <c r="N4021">
        <v>-186696774</v>
      </c>
      <c r="O4021">
        <v>-67873799</v>
      </c>
      <c r="P4021">
        <v>173</v>
      </c>
      <c r="Q4021" t="s">
        <v>8086</v>
      </c>
    </row>
    <row r="4022" spans="1:17" x14ac:dyDescent="0.3">
      <c r="A4022" t="s">
        <v>4446</v>
      </c>
      <c r="B4022" t="str">
        <f>"300222"</f>
        <v>300222</v>
      </c>
      <c r="C4022" t="s">
        <v>8087</v>
      </c>
      <c r="D4022" t="s">
        <v>188</v>
      </c>
      <c r="F4022">
        <v>-124360533</v>
      </c>
      <c r="G4022">
        <v>-175336707</v>
      </c>
      <c r="H4022">
        <v>-197325490</v>
      </c>
      <c r="I4022">
        <v>-618954807</v>
      </c>
      <c r="J4022">
        <v>-545797807</v>
      </c>
      <c r="K4022">
        <v>-47350527</v>
      </c>
      <c r="L4022">
        <v>122388358</v>
      </c>
      <c r="M4022">
        <v>1702135</v>
      </c>
      <c r="N4022">
        <v>-69303426</v>
      </c>
      <c r="O4022">
        <v>-48054134</v>
      </c>
      <c r="P4022">
        <v>221</v>
      </c>
      <c r="Q4022" t="s">
        <v>8088</v>
      </c>
    </row>
    <row r="4023" spans="1:17" x14ac:dyDescent="0.3">
      <c r="A4023" t="s">
        <v>4446</v>
      </c>
      <c r="B4023" t="str">
        <f>"300223"</f>
        <v>300223</v>
      </c>
      <c r="C4023" t="s">
        <v>8089</v>
      </c>
      <c r="D4023" t="s">
        <v>150</v>
      </c>
      <c r="F4023">
        <v>860502769</v>
      </c>
      <c r="G4023">
        <v>226403804</v>
      </c>
      <c r="H4023">
        <v>12513716</v>
      </c>
      <c r="I4023">
        <v>25874289</v>
      </c>
      <c r="J4023">
        <v>-58774296</v>
      </c>
      <c r="K4023">
        <v>-79480666</v>
      </c>
      <c r="L4023">
        <v>42453284</v>
      </c>
      <c r="M4023">
        <v>-7516104</v>
      </c>
      <c r="N4023">
        <v>9598075</v>
      </c>
      <c r="O4023">
        <v>-3796342</v>
      </c>
      <c r="P4023">
        <v>612</v>
      </c>
      <c r="Q4023" t="s">
        <v>8090</v>
      </c>
    </row>
    <row r="4024" spans="1:17" x14ac:dyDescent="0.3">
      <c r="A4024" t="s">
        <v>4446</v>
      </c>
      <c r="B4024" t="str">
        <f>"300224"</f>
        <v>300224</v>
      </c>
      <c r="C4024" t="s">
        <v>8091</v>
      </c>
      <c r="D4024" t="s">
        <v>234</v>
      </c>
      <c r="F4024">
        <v>17107648</v>
      </c>
      <c r="G4024">
        <v>140141856</v>
      </c>
      <c r="H4024">
        <v>-115850788</v>
      </c>
      <c r="I4024">
        <v>25350772</v>
      </c>
      <c r="J4024">
        <v>-106900859</v>
      </c>
      <c r="K4024">
        <v>-112546008</v>
      </c>
      <c r="L4024">
        <v>12140801</v>
      </c>
      <c r="M4024">
        <v>-285813389</v>
      </c>
      <c r="N4024">
        <v>13350444</v>
      </c>
      <c r="O4024">
        <v>225867243</v>
      </c>
      <c r="P4024">
        <v>200</v>
      </c>
      <c r="Q4024" t="s">
        <v>8092</v>
      </c>
    </row>
    <row r="4025" spans="1:17" x14ac:dyDescent="0.3">
      <c r="A4025" t="s">
        <v>4446</v>
      </c>
      <c r="B4025" t="str">
        <f>"300225"</f>
        <v>300225</v>
      </c>
      <c r="C4025" t="s">
        <v>8093</v>
      </c>
      <c r="D4025" t="s">
        <v>133</v>
      </c>
      <c r="F4025">
        <v>-231758641</v>
      </c>
      <c r="G4025">
        <v>107821587</v>
      </c>
      <c r="H4025">
        <v>49272775</v>
      </c>
      <c r="I4025">
        <v>-41667611</v>
      </c>
      <c r="J4025">
        <v>80423358</v>
      </c>
      <c r="K4025">
        <v>81537992</v>
      </c>
      <c r="L4025">
        <v>-43491898</v>
      </c>
      <c r="M4025">
        <v>40960338</v>
      </c>
      <c r="N4025">
        <v>-20306017</v>
      </c>
      <c r="O4025">
        <v>-2903616</v>
      </c>
      <c r="P4025">
        <v>94</v>
      </c>
      <c r="Q4025" t="s">
        <v>8094</v>
      </c>
    </row>
    <row r="4026" spans="1:17" x14ac:dyDescent="0.3">
      <c r="A4026" t="s">
        <v>4446</v>
      </c>
      <c r="B4026" t="str">
        <f>"300226"</f>
        <v>300226</v>
      </c>
      <c r="C4026" t="s">
        <v>8095</v>
      </c>
      <c r="D4026" t="s">
        <v>212</v>
      </c>
      <c r="F4026">
        <v>661627262</v>
      </c>
      <c r="G4026">
        <v>-1242031143</v>
      </c>
      <c r="H4026">
        <v>-649554569</v>
      </c>
      <c r="I4026">
        <v>-345379287</v>
      </c>
      <c r="J4026">
        <v>-1264737381</v>
      </c>
      <c r="K4026">
        <v>-790211680</v>
      </c>
      <c r="L4026">
        <v>-167060848</v>
      </c>
      <c r="M4026">
        <v>-453051716</v>
      </c>
      <c r="N4026">
        <v>-46921909</v>
      </c>
      <c r="O4026">
        <v>-93305524</v>
      </c>
      <c r="P4026">
        <v>254</v>
      </c>
      <c r="Q4026" t="s">
        <v>8096</v>
      </c>
    </row>
    <row r="4027" spans="1:17" x14ac:dyDescent="0.3">
      <c r="A4027" t="s">
        <v>4446</v>
      </c>
      <c r="B4027" t="str">
        <f>"300227"</f>
        <v>300227</v>
      </c>
      <c r="C4027" t="s">
        <v>8097</v>
      </c>
      <c r="D4027" t="s">
        <v>78</v>
      </c>
      <c r="F4027">
        <v>-44851182</v>
      </c>
      <c r="G4027">
        <v>12177540</v>
      </c>
      <c r="H4027">
        <v>-40970720</v>
      </c>
      <c r="I4027">
        <v>16221474</v>
      </c>
      <c r="J4027">
        <v>-15771107</v>
      </c>
      <c r="K4027">
        <v>-24538272</v>
      </c>
      <c r="L4027">
        <v>-32620417</v>
      </c>
      <c r="M4027">
        <v>-61312440</v>
      </c>
      <c r="N4027">
        <v>-59976955</v>
      </c>
      <c r="O4027">
        <v>-30290128</v>
      </c>
      <c r="P4027">
        <v>220</v>
      </c>
      <c r="Q4027" t="s">
        <v>8098</v>
      </c>
    </row>
    <row r="4028" spans="1:17" x14ac:dyDescent="0.3">
      <c r="A4028" t="s">
        <v>4446</v>
      </c>
      <c r="B4028" t="str">
        <f>"300228"</f>
        <v>300228</v>
      </c>
      <c r="C4028" t="s">
        <v>8099</v>
      </c>
      <c r="D4028" t="s">
        <v>78</v>
      </c>
      <c r="F4028">
        <v>168947082</v>
      </c>
      <c r="G4028">
        <v>64937664</v>
      </c>
      <c r="H4028">
        <v>234187614</v>
      </c>
      <c r="I4028">
        <v>199224218</v>
      </c>
      <c r="J4028">
        <v>-75428142</v>
      </c>
      <c r="K4028">
        <v>-247902854</v>
      </c>
      <c r="L4028">
        <v>-275130876</v>
      </c>
      <c r="M4028">
        <v>35952909</v>
      </c>
      <c r="N4028">
        <v>-442173957</v>
      </c>
      <c r="O4028">
        <v>54106059</v>
      </c>
      <c r="P4028">
        <v>128</v>
      </c>
      <c r="Q4028" t="s">
        <v>8100</v>
      </c>
    </row>
    <row r="4029" spans="1:17" x14ac:dyDescent="0.3">
      <c r="A4029" t="s">
        <v>4446</v>
      </c>
      <c r="B4029" t="str">
        <f>"300229"</f>
        <v>300229</v>
      </c>
      <c r="C4029" t="s">
        <v>8101</v>
      </c>
      <c r="D4029" t="s">
        <v>212</v>
      </c>
      <c r="F4029">
        <v>-286476522</v>
      </c>
      <c r="G4029">
        <v>45867217</v>
      </c>
      <c r="H4029">
        <v>-35728590</v>
      </c>
      <c r="I4029">
        <v>227934334</v>
      </c>
      <c r="J4029">
        <v>119802554</v>
      </c>
      <c r="K4029">
        <v>66843593</v>
      </c>
      <c r="L4029">
        <v>61669973</v>
      </c>
      <c r="M4029">
        <v>78395048</v>
      </c>
      <c r="N4029">
        <v>-57470878</v>
      </c>
      <c r="O4029">
        <v>4473696</v>
      </c>
      <c r="P4029">
        <v>210</v>
      </c>
      <c r="Q4029" t="s">
        <v>8102</v>
      </c>
    </row>
    <row r="4030" spans="1:17" x14ac:dyDescent="0.3">
      <c r="A4030" t="s">
        <v>4446</v>
      </c>
      <c r="B4030" t="str">
        <f>"300230"</f>
        <v>300230</v>
      </c>
      <c r="C4030" t="s">
        <v>8103</v>
      </c>
      <c r="D4030" t="s">
        <v>133</v>
      </c>
      <c r="F4030">
        <v>44057867</v>
      </c>
      <c r="G4030">
        <v>422671703</v>
      </c>
      <c r="H4030">
        <v>393863440</v>
      </c>
      <c r="I4030">
        <v>153013795</v>
      </c>
      <c r="J4030">
        <v>163663077</v>
      </c>
      <c r="K4030">
        <v>77179196</v>
      </c>
      <c r="L4030">
        <v>11903513</v>
      </c>
      <c r="M4030">
        <v>7319340</v>
      </c>
      <c r="N4030">
        <v>6005828</v>
      </c>
      <c r="O4030">
        <v>7769304</v>
      </c>
      <c r="P4030">
        <v>169</v>
      </c>
      <c r="Q4030" t="s">
        <v>8104</v>
      </c>
    </row>
    <row r="4031" spans="1:17" x14ac:dyDescent="0.3">
      <c r="A4031" t="s">
        <v>4446</v>
      </c>
      <c r="B4031" t="str">
        <f>"300231"</f>
        <v>300231</v>
      </c>
      <c r="C4031" t="s">
        <v>8105</v>
      </c>
      <c r="D4031" t="s">
        <v>212</v>
      </c>
      <c r="F4031">
        <v>226242450</v>
      </c>
      <c r="G4031">
        <v>-115763542</v>
      </c>
      <c r="H4031">
        <v>80674823</v>
      </c>
      <c r="I4031">
        <v>201865444</v>
      </c>
      <c r="J4031">
        <v>-62205171</v>
      </c>
      <c r="K4031">
        <v>-58074567</v>
      </c>
      <c r="L4031">
        <v>27150653</v>
      </c>
      <c r="M4031">
        <v>-26104161</v>
      </c>
      <c r="N4031">
        <v>22619121</v>
      </c>
      <c r="O4031">
        <v>15088316</v>
      </c>
      <c r="P4031">
        <v>264</v>
      </c>
      <c r="Q4031" t="s">
        <v>8106</v>
      </c>
    </row>
    <row r="4032" spans="1:17" x14ac:dyDescent="0.3">
      <c r="A4032" t="s">
        <v>4446</v>
      </c>
      <c r="B4032" t="str">
        <f>"300232"</f>
        <v>300232</v>
      </c>
      <c r="C4032" t="s">
        <v>8107</v>
      </c>
      <c r="D4032" t="s">
        <v>150</v>
      </c>
      <c r="F4032">
        <v>-455207438</v>
      </c>
      <c r="G4032">
        <v>57544808</v>
      </c>
      <c r="H4032">
        <v>-45641421</v>
      </c>
      <c r="I4032">
        <v>211308143</v>
      </c>
      <c r="J4032">
        <v>-98500584</v>
      </c>
      <c r="K4032">
        <v>82016985</v>
      </c>
      <c r="L4032">
        <v>-20334454</v>
      </c>
      <c r="M4032">
        <v>6117847</v>
      </c>
      <c r="N4032">
        <v>-46968380</v>
      </c>
      <c r="O4032">
        <v>-196102419</v>
      </c>
      <c r="P4032">
        <v>922</v>
      </c>
      <c r="Q4032" t="s">
        <v>8108</v>
      </c>
    </row>
    <row r="4033" spans="1:17" x14ac:dyDescent="0.3">
      <c r="A4033" t="s">
        <v>4446</v>
      </c>
      <c r="B4033" t="str">
        <f>"300233"</f>
        <v>300233</v>
      </c>
      <c r="C4033" t="s">
        <v>8109</v>
      </c>
      <c r="D4033" t="s">
        <v>113</v>
      </c>
      <c r="F4033">
        <v>66705808</v>
      </c>
      <c r="G4033">
        <v>276076839</v>
      </c>
      <c r="H4033">
        <v>240301311</v>
      </c>
      <c r="I4033">
        <v>4153008</v>
      </c>
      <c r="J4033">
        <v>-37180691</v>
      </c>
      <c r="K4033">
        <v>86150845</v>
      </c>
      <c r="L4033">
        <v>48994500</v>
      </c>
      <c r="M4033">
        <v>61062919</v>
      </c>
      <c r="N4033">
        <v>-66062516</v>
      </c>
      <c r="O4033">
        <v>-21734062</v>
      </c>
      <c r="P4033">
        <v>202</v>
      </c>
      <c r="Q4033" t="s">
        <v>8110</v>
      </c>
    </row>
    <row r="4034" spans="1:17" x14ac:dyDescent="0.3">
      <c r="A4034" t="s">
        <v>4446</v>
      </c>
      <c r="B4034" t="str">
        <f>"300234"</f>
        <v>300234</v>
      </c>
      <c r="C4034" t="s">
        <v>8111</v>
      </c>
      <c r="D4034" t="s">
        <v>350</v>
      </c>
      <c r="F4034">
        <v>-5159463</v>
      </c>
      <c r="G4034">
        <v>16051083</v>
      </c>
      <c r="H4034">
        <v>-15401449</v>
      </c>
      <c r="I4034">
        <v>-21781584</v>
      </c>
      <c r="J4034">
        <v>22528549</v>
      </c>
      <c r="K4034">
        <v>-41708153</v>
      </c>
      <c r="L4034">
        <v>-19311695</v>
      </c>
      <c r="M4034">
        <v>26039466</v>
      </c>
      <c r="N4034">
        <v>-99786644</v>
      </c>
      <c r="O4034">
        <v>-52118785</v>
      </c>
      <c r="P4034">
        <v>111</v>
      </c>
      <c r="Q4034" t="s">
        <v>8112</v>
      </c>
    </row>
    <row r="4035" spans="1:17" x14ac:dyDescent="0.3">
      <c r="A4035" t="s">
        <v>4446</v>
      </c>
      <c r="B4035" t="str">
        <f>"300235"</f>
        <v>300235</v>
      </c>
      <c r="C4035" t="s">
        <v>8113</v>
      </c>
      <c r="D4035" t="s">
        <v>212</v>
      </c>
      <c r="F4035">
        <v>20527787</v>
      </c>
      <c r="G4035">
        <v>28307311</v>
      </c>
      <c r="H4035">
        <v>23902867</v>
      </c>
      <c r="I4035">
        <v>10149558</v>
      </c>
      <c r="J4035">
        <v>-5855248</v>
      </c>
      <c r="K4035">
        <v>5023706</v>
      </c>
      <c r="L4035">
        <v>13854053</v>
      </c>
      <c r="M4035">
        <v>18548972</v>
      </c>
      <c r="N4035">
        <v>-71948400</v>
      </c>
      <c r="O4035">
        <v>18993457</v>
      </c>
      <c r="P4035">
        <v>114</v>
      </c>
      <c r="Q4035" t="s">
        <v>8114</v>
      </c>
    </row>
    <row r="4036" spans="1:17" x14ac:dyDescent="0.3">
      <c r="A4036" t="s">
        <v>4446</v>
      </c>
      <c r="B4036" t="str">
        <f>"300236"</f>
        <v>300236</v>
      </c>
      <c r="C4036" t="s">
        <v>8115</v>
      </c>
      <c r="D4036" t="s">
        <v>150</v>
      </c>
      <c r="F4036">
        <v>-216658514</v>
      </c>
      <c r="G4036">
        <v>9457412</v>
      </c>
      <c r="H4036">
        <v>-7176011</v>
      </c>
      <c r="I4036">
        <v>-16270504</v>
      </c>
      <c r="J4036">
        <v>73047009</v>
      </c>
      <c r="K4036">
        <v>39552924</v>
      </c>
      <c r="L4036">
        <v>-22687454</v>
      </c>
      <c r="M4036">
        <v>-17363362</v>
      </c>
      <c r="N4036">
        <v>-25556747</v>
      </c>
      <c r="O4036">
        <v>-5147530</v>
      </c>
      <c r="P4036">
        <v>414</v>
      </c>
      <c r="Q4036" t="s">
        <v>8116</v>
      </c>
    </row>
    <row r="4037" spans="1:17" x14ac:dyDescent="0.3">
      <c r="A4037" t="s">
        <v>4446</v>
      </c>
      <c r="B4037" t="str">
        <f>"300237"</f>
        <v>300237</v>
      </c>
      <c r="C4037" t="s">
        <v>8117</v>
      </c>
      <c r="D4037" t="s">
        <v>95</v>
      </c>
      <c r="F4037">
        <v>-106991180</v>
      </c>
      <c r="G4037">
        <v>-277140163</v>
      </c>
      <c r="H4037">
        <v>71081329</v>
      </c>
      <c r="I4037">
        <v>-243789096</v>
      </c>
      <c r="J4037">
        <v>-369886583</v>
      </c>
      <c r="K4037">
        <v>-487704531</v>
      </c>
      <c r="L4037">
        <v>-285834634</v>
      </c>
      <c r="M4037">
        <v>8321029</v>
      </c>
      <c r="N4037">
        <v>30654349</v>
      </c>
      <c r="O4037">
        <v>-31514344</v>
      </c>
      <c r="P4037">
        <v>315</v>
      </c>
      <c r="Q4037" t="s">
        <v>8118</v>
      </c>
    </row>
    <row r="4038" spans="1:17" x14ac:dyDescent="0.3">
      <c r="A4038" t="s">
        <v>4446</v>
      </c>
      <c r="B4038" t="str">
        <f>"300238"</f>
        <v>300238</v>
      </c>
      <c r="C4038" t="s">
        <v>8119</v>
      </c>
      <c r="D4038" t="s">
        <v>113</v>
      </c>
      <c r="F4038">
        <v>122710580</v>
      </c>
      <c r="G4038">
        <v>100959491</v>
      </c>
      <c r="H4038">
        <v>86224043</v>
      </c>
      <c r="I4038">
        <v>1748407</v>
      </c>
      <c r="J4038">
        <v>-12620951</v>
      </c>
      <c r="K4038">
        <v>-33233949</v>
      </c>
      <c r="L4038">
        <v>48775714</v>
      </c>
      <c r="M4038">
        <v>36300401</v>
      </c>
      <c r="N4038">
        <v>-1199082</v>
      </c>
      <c r="O4038">
        <v>-22324081</v>
      </c>
      <c r="P4038">
        <v>196</v>
      </c>
      <c r="Q4038" t="s">
        <v>8120</v>
      </c>
    </row>
    <row r="4039" spans="1:17" x14ac:dyDescent="0.3">
      <c r="A4039" t="s">
        <v>4446</v>
      </c>
      <c r="B4039" t="str">
        <f>"300239"</f>
        <v>300239</v>
      </c>
      <c r="C4039" t="s">
        <v>8121</v>
      </c>
      <c r="D4039" t="s">
        <v>113</v>
      </c>
      <c r="F4039">
        <v>1097627</v>
      </c>
      <c r="G4039">
        <v>-88771589</v>
      </c>
      <c r="H4039">
        <v>-170921833</v>
      </c>
      <c r="I4039">
        <v>4768026</v>
      </c>
      <c r="J4039">
        <v>-106860850</v>
      </c>
      <c r="K4039">
        <v>-117192033</v>
      </c>
      <c r="L4039">
        <v>-38852987</v>
      </c>
      <c r="M4039">
        <v>-26180293</v>
      </c>
      <c r="N4039">
        <v>-14439954</v>
      </c>
      <c r="O4039">
        <v>-48230880</v>
      </c>
      <c r="P4039">
        <v>107</v>
      </c>
      <c r="Q4039" t="s">
        <v>8122</v>
      </c>
    </row>
    <row r="4040" spans="1:17" x14ac:dyDescent="0.3">
      <c r="A4040" t="s">
        <v>4446</v>
      </c>
      <c r="B4040" t="str">
        <f>"300240"</f>
        <v>300240</v>
      </c>
      <c r="C4040" t="s">
        <v>8123</v>
      </c>
      <c r="D4040" t="s">
        <v>22</v>
      </c>
      <c r="F4040">
        <v>20828192</v>
      </c>
      <c r="G4040">
        <v>94212796</v>
      </c>
      <c r="H4040">
        <v>-88530336</v>
      </c>
      <c r="I4040">
        <v>-5102193</v>
      </c>
      <c r="J4040">
        <v>-167874500</v>
      </c>
      <c r="K4040">
        <v>57068895</v>
      </c>
      <c r="L4040">
        <v>149984471</v>
      </c>
      <c r="M4040">
        <v>-51113821</v>
      </c>
      <c r="N4040">
        <v>-46383840</v>
      </c>
      <c r="O4040">
        <v>76087639</v>
      </c>
      <c r="P4040">
        <v>67</v>
      </c>
      <c r="Q4040" t="s">
        <v>8124</v>
      </c>
    </row>
    <row r="4041" spans="1:17" x14ac:dyDescent="0.3">
      <c r="A4041" t="s">
        <v>4446</v>
      </c>
      <c r="B4041" t="str">
        <f>"300241"</f>
        <v>300241</v>
      </c>
      <c r="C4041" t="s">
        <v>8125</v>
      </c>
      <c r="D4041" t="s">
        <v>150</v>
      </c>
      <c r="F4041">
        <v>-376527682</v>
      </c>
      <c r="G4041">
        <v>-139434264</v>
      </c>
      <c r="H4041">
        <v>59310688</v>
      </c>
      <c r="I4041">
        <v>21900010</v>
      </c>
      <c r="J4041">
        <v>88499983</v>
      </c>
      <c r="K4041">
        <v>-180956311</v>
      </c>
      <c r="L4041">
        <v>-27124004</v>
      </c>
      <c r="M4041">
        <v>-52930076</v>
      </c>
      <c r="N4041">
        <v>-15633339</v>
      </c>
      <c r="O4041">
        <v>-19498215</v>
      </c>
      <c r="P4041">
        <v>170</v>
      </c>
      <c r="Q4041" t="s">
        <v>8126</v>
      </c>
    </row>
    <row r="4042" spans="1:17" x14ac:dyDescent="0.3">
      <c r="A4042" t="s">
        <v>4446</v>
      </c>
      <c r="B4042" t="str">
        <f>"300242"</f>
        <v>300242</v>
      </c>
      <c r="C4042" t="s">
        <v>8127</v>
      </c>
      <c r="D4042" t="s">
        <v>89</v>
      </c>
      <c r="F4042">
        <v>-172372270</v>
      </c>
      <c r="G4042">
        <v>16690443</v>
      </c>
      <c r="H4042">
        <v>161209690</v>
      </c>
      <c r="I4042">
        <v>-332491578</v>
      </c>
      <c r="J4042">
        <v>56654585</v>
      </c>
      <c r="K4042">
        <v>-164953611</v>
      </c>
      <c r="L4042">
        <v>-19781288</v>
      </c>
      <c r="M4042">
        <v>21783176</v>
      </c>
      <c r="N4042">
        <v>-35902429</v>
      </c>
      <c r="O4042">
        <v>-25986745</v>
      </c>
      <c r="P4042">
        <v>95</v>
      </c>
      <c r="Q4042" t="s">
        <v>8128</v>
      </c>
    </row>
    <row r="4043" spans="1:17" x14ac:dyDescent="0.3">
      <c r="A4043" t="s">
        <v>4446</v>
      </c>
      <c r="B4043" t="str">
        <f>"300243"</f>
        <v>300243</v>
      </c>
      <c r="C4043" t="s">
        <v>8129</v>
      </c>
      <c r="D4043" t="s">
        <v>133</v>
      </c>
      <c r="F4043">
        <v>-160429514</v>
      </c>
      <c r="G4043">
        <v>-83926302</v>
      </c>
      <c r="H4043">
        <v>68723839</v>
      </c>
      <c r="I4043">
        <v>44382493</v>
      </c>
      <c r="J4043">
        <v>40264017</v>
      </c>
      <c r="K4043">
        <v>413560454</v>
      </c>
      <c r="L4043">
        <v>-298769184</v>
      </c>
      <c r="M4043">
        <v>-61137624</v>
      </c>
      <c r="N4043">
        <v>-84512230</v>
      </c>
      <c r="O4043">
        <v>-49191960</v>
      </c>
      <c r="P4043">
        <v>103</v>
      </c>
      <c r="Q4043" t="s">
        <v>8130</v>
      </c>
    </row>
    <row r="4044" spans="1:17" x14ac:dyDescent="0.3">
      <c r="A4044" t="s">
        <v>4446</v>
      </c>
      <c r="B4044" t="str">
        <f>"300244"</f>
        <v>300244</v>
      </c>
      <c r="C4044" t="s">
        <v>8131</v>
      </c>
      <c r="D4044" t="s">
        <v>113</v>
      </c>
      <c r="F4044">
        <v>753006452</v>
      </c>
      <c r="G4044">
        <v>1089766667</v>
      </c>
      <c r="H4044">
        <v>85946895</v>
      </c>
      <c r="I4044">
        <v>-51276835</v>
      </c>
      <c r="J4044">
        <v>-324662564</v>
      </c>
      <c r="K4044">
        <v>-178803728</v>
      </c>
      <c r="L4044">
        <v>-19223191</v>
      </c>
      <c r="M4044">
        <v>-5816042</v>
      </c>
      <c r="N4044">
        <v>28211145</v>
      </c>
      <c r="O4044">
        <v>-17091058</v>
      </c>
      <c r="P4044">
        <v>1268</v>
      </c>
      <c r="Q4044" t="s">
        <v>8132</v>
      </c>
    </row>
    <row r="4045" spans="1:17" x14ac:dyDescent="0.3">
      <c r="A4045" t="s">
        <v>4446</v>
      </c>
      <c r="B4045" t="str">
        <f>"300245"</f>
        <v>300245</v>
      </c>
      <c r="C4045" t="s">
        <v>8133</v>
      </c>
      <c r="D4045" t="s">
        <v>212</v>
      </c>
      <c r="F4045">
        <v>2238015</v>
      </c>
      <c r="G4045">
        <v>-4018112</v>
      </c>
      <c r="H4045">
        <v>47455016</v>
      </c>
      <c r="I4045">
        <v>39186051</v>
      </c>
      <c r="J4045">
        <v>36394834</v>
      </c>
      <c r="K4045">
        <v>-167946167</v>
      </c>
      <c r="L4045">
        <v>-41980615</v>
      </c>
      <c r="M4045">
        <v>57934778</v>
      </c>
      <c r="N4045">
        <v>41704064</v>
      </c>
      <c r="O4045">
        <v>848019</v>
      </c>
      <c r="P4045">
        <v>128</v>
      </c>
      <c r="Q4045" t="s">
        <v>8134</v>
      </c>
    </row>
    <row r="4046" spans="1:17" x14ac:dyDescent="0.3">
      <c r="A4046" t="s">
        <v>4446</v>
      </c>
      <c r="B4046" t="str">
        <f>"300246"</f>
        <v>300246</v>
      </c>
      <c r="C4046" t="s">
        <v>8135</v>
      </c>
      <c r="D4046" t="s">
        <v>113</v>
      </c>
      <c r="F4046">
        <v>-79181373</v>
      </c>
      <c r="G4046">
        <v>387333934</v>
      </c>
      <c r="H4046">
        <v>34449913</v>
      </c>
      <c r="I4046">
        <v>-14325622</v>
      </c>
      <c r="J4046">
        <v>27637405</v>
      </c>
      <c r="K4046">
        <v>8261344</v>
      </c>
      <c r="L4046">
        <v>-544735</v>
      </c>
      <c r="M4046">
        <v>-13645453</v>
      </c>
      <c r="N4046">
        <v>10229240</v>
      </c>
      <c r="O4046">
        <v>23702488</v>
      </c>
      <c r="P4046">
        <v>511</v>
      </c>
      <c r="Q4046" t="s">
        <v>8136</v>
      </c>
    </row>
    <row r="4047" spans="1:17" x14ac:dyDescent="0.3">
      <c r="A4047" t="s">
        <v>4446</v>
      </c>
      <c r="B4047" t="str">
        <f>"300247"</f>
        <v>300247</v>
      </c>
      <c r="C4047" t="s">
        <v>8137</v>
      </c>
      <c r="D4047" t="s">
        <v>126</v>
      </c>
      <c r="F4047">
        <v>4769360</v>
      </c>
      <c r="G4047">
        <v>72761842</v>
      </c>
      <c r="H4047">
        <v>76940141</v>
      </c>
      <c r="I4047">
        <v>-22888205</v>
      </c>
      <c r="J4047">
        <v>-133393249</v>
      </c>
      <c r="K4047">
        <v>26360532</v>
      </c>
      <c r="L4047">
        <v>-58705237</v>
      </c>
      <c r="M4047">
        <v>3057852</v>
      </c>
      <c r="N4047">
        <v>-19757015</v>
      </c>
      <c r="O4047">
        <v>-85097007</v>
      </c>
      <c r="P4047">
        <v>107</v>
      </c>
      <c r="Q4047" t="s">
        <v>8138</v>
      </c>
    </row>
    <row r="4048" spans="1:17" x14ac:dyDescent="0.3">
      <c r="A4048" t="s">
        <v>4446</v>
      </c>
      <c r="B4048" t="str">
        <f>"300248"</f>
        <v>300248</v>
      </c>
      <c r="C4048" t="s">
        <v>8139</v>
      </c>
      <c r="D4048" t="s">
        <v>212</v>
      </c>
      <c r="F4048">
        <v>65808550</v>
      </c>
      <c r="G4048">
        <v>114605587</v>
      </c>
      <c r="H4048">
        <v>119473187</v>
      </c>
      <c r="I4048">
        <v>11075648</v>
      </c>
      <c r="J4048">
        <v>33464205</v>
      </c>
      <c r="K4048">
        <v>132912380</v>
      </c>
      <c r="L4048">
        <v>68985525</v>
      </c>
      <c r="M4048">
        <v>-50078174</v>
      </c>
      <c r="N4048">
        <v>-46899579</v>
      </c>
      <c r="O4048">
        <v>-14155348</v>
      </c>
      <c r="P4048">
        <v>209</v>
      </c>
      <c r="Q4048" t="s">
        <v>8140</v>
      </c>
    </row>
    <row r="4049" spans="1:17" x14ac:dyDescent="0.3">
      <c r="A4049" t="s">
        <v>4446</v>
      </c>
      <c r="B4049" t="str">
        <f>"300249"</f>
        <v>300249</v>
      </c>
      <c r="C4049" t="s">
        <v>8141</v>
      </c>
      <c r="D4049" t="s">
        <v>212</v>
      </c>
      <c r="F4049">
        <v>-45558309</v>
      </c>
      <c r="G4049">
        <v>-182834358</v>
      </c>
      <c r="H4049">
        <v>-67934367</v>
      </c>
      <c r="I4049">
        <v>-105529244</v>
      </c>
      <c r="J4049">
        <v>-140107274</v>
      </c>
      <c r="K4049">
        <v>85110060</v>
      </c>
      <c r="L4049">
        <v>-76637783</v>
      </c>
      <c r="M4049">
        <v>11050355</v>
      </c>
      <c r="N4049">
        <v>-14414017</v>
      </c>
      <c r="O4049">
        <v>-62058159</v>
      </c>
      <c r="P4049">
        <v>195</v>
      </c>
      <c r="Q4049" t="s">
        <v>8142</v>
      </c>
    </row>
    <row r="4050" spans="1:17" x14ac:dyDescent="0.3">
      <c r="A4050" t="s">
        <v>4446</v>
      </c>
      <c r="B4050" t="str">
        <f>"300250"</f>
        <v>300250</v>
      </c>
      <c r="C4050" t="s">
        <v>8143</v>
      </c>
      <c r="D4050" t="s">
        <v>212</v>
      </c>
      <c r="F4050">
        <v>-36281997</v>
      </c>
      <c r="G4050">
        <v>50128552</v>
      </c>
      <c r="H4050">
        <v>-11315157</v>
      </c>
      <c r="I4050">
        <v>-12956779</v>
      </c>
      <c r="J4050">
        <v>83969870</v>
      </c>
      <c r="K4050">
        <v>113767112</v>
      </c>
      <c r="L4050">
        <v>69207651</v>
      </c>
      <c r="M4050">
        <v>29020464</v>
      </c>
      <c r="N4050">
        <v>13135066</v>
      </c>
      <c r="O4050">
        <v>-27240063</v>
      </c>
      <c r="P4050">
        <v>159</v>
      </c>
      <c r="Q4050" t="s">
        <v>8144</v>
      </c>
    </row>
    <row r="4051" spans="1:17" x14ac:dyDescent="0.3">
      <c r="A4051" t="s">
        <v>4446</v>
      </c>
      <c r="B4051" t="str">
        <f>"300251"</f>
        <v>300251</v>
      </c>
      <c r="C4051" t="s">
        <v>8145</v>
      </c>
      <c r="D4051" t="s">
        <v>89</v>
      </c>
      <c r="F4051">
        <v>532582347</v>
      </c>
      <c r="G4051">
        <v>-15005402</v>
      </c>
      <c r="H4051">
        <v>1614510751</v>
      </c>
      <c r="I4051">
        <v>-488741220</v>
      </c>
      <c r="J4051">
        <v>-56367730</v>
      </c>
      <c r="K4051">
        <v>739191336</v>
      </c>
      <c r="L4051">
        <v>350101386</v>
      </c>
      <c r="M4051">
        <v>-94699996</v>
      </c>
      <c r="N4051">
        <v>738525845</v>
      </c>
      <c r="O4051">
        <v>-120629938</v>
      </c>
      <c r="P4051">
        <v>807</v>
      </c>
      <c r="Q4051" t="s">
        <v>8146</v>
      </c>
    </row>
    <row r="4052" spans="1:17" x14ac:dyDescent="0.3">
      <c r="A4052" t="s">
        <v>4446</v>
      </c>
      <c r="B4052" t="str">
        <f>"300252"</f>
        <v>300252</v>
      </c>
      <c r="C4052" t="s">
        <v>8147</v>
      </c>
      <c r="D4052" t="s">
        <v>92</v>
      </c>
      <c r="F4052">
        <v>362002796</v>
      </c>
      <c r="G4052">
        <v>278255847</v>
      </c>
      <c r="H4052">
        <v>-47895933</v>
      </c>
      <c r="I4052">
        <v>-28933606</v>
      </c>
      <c r="J4052">
        <v>-643951820</v>
      </c>
      <c r="K4052">
        <v>86575542</v>
      </c>
      <c r="L4052">
        <v>75140468</v>
      </c>
      <c r="M4052">
        <v>-59189710</v>
      </c>
      <c r="N4052">
        <v>-174526410</v>
      </c>
      <c r="O4052">
        <v>-74436506</v>
      </c>
      <c r="P4052">
        <v>217</v>
      </c>
      <c r="Q4052" t="s">
        <v>8148</v>
      </c>
    </row>
    <row r="4053" spans="1:17" x14ac:dyDescent="0.3">
      <c r="A4053" t="s">
        <v>4446</v>
      </c>
      <c r="B4053" t="str">
        <f>"300253"</f>
        <v>300253</v>
      </c>
      <c r="C4053" t="s">
        <v>8149</v>
      </c>
      <c r="D4053" t="s">
        <v>212</v>
      </c>
      <c r="F4053">
        <v>82173393</v>
      </c>
      <c r="G4053">
        <v>203832335</v>
      </c>
      <c r="H4053">
        <v>41819656</v>
      </c>
      <c r="I4053">
        <v>-42970990</v>
      </c>
      <c r="J4053">
        <v>-79018122</v>
      </c>
      <c r="K4053">
        <v>-194137558</v>
      </c>
      <c r="L4053">
        <v>-155633566</v>
      </c>
      <c r="M4053">
        <v>21129742</v>
      </c>
      <c r="N4053">
        <v>28833742</v>
      </c>
      <c r="O4053">
        <v>10113569</v>
      </c>
      <c r="P4053">
        <v>936</v>
      </c>
      <c r="Q4053" t="s">
        <v>8150</v>
      </c>
    </row>
    <row r="4054" spans="1:17" x14ac:dyDescent="0.3">
      <c r="A4054" t="s">
        <v>4446</v>
      </c>
      <c r="B4054" t="str">
        <f>"300254"</f>
        <v>300254</v>
      </c>
      <c r="C4054" t="s">
        <v>8151</v>
      </c>
      <c r="D4054" t="s">
        <v>113</v>
      </c>
      <c r="F4054">
        <v>66413337</v>
      </c>
      <c r="G4054">
        <v>-49176044</v>
      </c>
      <c r="H4054">
        <v>54418392</v>
      </c>
      <c r="I4054">
        <v>20382547</v>
      </c>
      <c r="J4054">
        <v>-28747524</v>
      </c>
      <c r="K4054">
        <v>8639592</v>
      </c>
      <c r="L4054">
        <v>17949339</v>
      </c>
      <c r="M4054">
        <v>123327586</v>
      </c>
      <c r="N4054">
        <v>44177436</v>
      </c>
      <c r="O4054">
        <v>-10327644</v>
      </c>
      <c r="P4054">
        <v>82</v>
      </c>
      <c r="Q4054" t="s">
        <v>8152</v>
      </c>
    </row>
    <row r="4055" spans="1:17" x14ac:dyDescent="0.3">
      <c r="A4055" t="s">
        <v>4446</v>
      </c>
      <c r="B4055" t="str">
        <f>"300255"</f>
        <v>300255</v>
      </c>
      <c r="C4055" t="s">
        <v>8153</v>
      </c>
      <c r="D4055" t="s">
        <v>113</v>
      </c>
      <c r="F4055">
        <v>-305210778</v>
      </c>
      <c r="G4055">
        <v>-383361714</v>
      </c>
      <c r="H4055">
        <v>-221529522</v>
      </c>
      <c r="I4055">
        <v>57961562</v>
      </c>
      <c r="J4055">
        <v>4034971</v>
      </c>
      <c r="K4055">
        <v>75500383</v>
      </c>
      <c r="L4055">
        <v>-123437993</v>
      </c>
      <c r="M4055">
        <v>-236159512</v>
      </c>
      <c r="N4055">
        <v>-282440494</v>
      </c>
      <c r="O4055">
        <v>-195935122</v>
      </c>
      <c r="P4055">
        <v>175</v>
      </c>
      <c r="Q4055" t="s">
        <v>8154</v>
      </c>
    </row>
    <row r="4056" spans="1:17" x14ac:dyDescent="0.3">
      <c r="A4056" t="s">
        <v>4446</v>
      </c>
      <c r="B4056" t="str">
        <f>"300256"</f>
        <v>300256</v>
      </c>
      <c r="C4056" t="s">
        <v>8155</v>
      </c>
      <c r="D4056" t="s">
        <v>150</v>
      </c>
      <c r="F4056">
        <v>-534436765</v>
      </c>
      <c r="G4056">
        <v>-655530529</v>
      </c>
      <c r="H4056">
        <v>-347215886</v>
      </c>
      <c r="I4056">
        <v>-653920825</v>
      </c>
      <c r="J4056">
        <v>-915173757</v>
      </c>
      <c r="K4056">
        <v>-278495671</v>
      </c>
      <c r="L4056">
        <v>-307997540</v>
      </c>
      <c r="M4056">
        <v>-452334604</v>
      </c>
      <c r="N4056">
        <v>-113246812</v>
      </c>
      <c r="O4056">
        <v>-178099757</v>
      </c>
      <c r="P4056">
        <v>206</v>
      </c>
      <c r="Q4056" t="s">
        <v>8156</v>
      </c>
    </row>
    <row r="4057" spans="1:17" x14ac:dyDescent="0.3">
      <c r="A4057" t="s">
        <v>4446</v>
      </c>
      <c r="B4057" t="str">
        <f>"300257"</f>
        <v>300257</v>
      </c>
      <c r="C4057" t="s">
        <v>8157</v>
      </c>
      <c r="D4057" t="s">
        <v>78</v>
      </c>
      <c r="F4057">
        <v>-920197459</v>
      </c>
      <c r="G4057">
        <v>-412920032</v>
      </c>
      <c r="H4057">
        <v>-710391916</v>
      </c>
      <c r="I4057">
        <v>-1235288865</v>
      </c>
      <c r="J4057">
        <v>-749628663</v>
      </c>
      <c r="K4057">
        <v>-38438757</v>
      </c>
      <c r="L4057">
        <v>-109689990</v>
      </c>
      <c r="M4057">
        <v>137693552</v>
      </c>
      <c r="N4057">
        <v>147706755</v>
      </c>
      <c r="O4057">
        <v>17108319</v>
      </c>
      <c r="P4057">
        <v>148</v>
      </c>
      <c r="Q4057" t="s">
        <v>8158</v>
      </c>
    </row>
    <row r="4058" spans="1:17" x14ac:dyDescent="0.3">
      <c r="A4058" t="s">
        <v>4446</v>
      </c>
      <c r="B4058" t="str">
        <f>"300258"</f>
        <v>300258</v>
      </c>
      <c r="C4058" t="s">
        <v>8159</v>
      </c>
      <c r="D4058" t="s">
        <v>27</v>
      </c>
      <c r="F4058">
        <v>-289905441</v>
      </c>
      <c r="G4058">
        <v>-56306027</v>
      </c>
      <c r="H4058">
        <v>16417868</v>
      </c>
      <c r="I4058">
        <v>-76834141</v>
      </c>
      <c r="J4058">
        <v>99761089</v>
      </c>
      <c r="K4058">
        <v>101474011</v>
      </c>
      <c r="L4058">
        <v>38221973</v>
      </c>
      <c r="M4058">
        <v>-101383536</v>
      </c>
      <c r="N4058">
        <v>-149368591</v>
      </c>
      <c r="O4058">
        <v>-149499578</v>
      </c>
      <c r="P4058">
        <v>331</v>
      </c>
      <c r="Q4058" t="s">
        <v>8160</v>
      </c>
    </row>
    <row r="4059" spans="1:17" x14ac:dyDescent="0.3">
      <c r="A4059" t="s">
        <v>4446</v>
      </c>
      <c r="B4059" t="str">
        <f>"300259"</f>
        <v>300259</v>
      </c>
      <c r="C4059" t="s">
        <v>8161</v>
      </c>
      <c r="D4059" t="s">
        <v>78</v>
      </c>
      <c r="F4059">
        <v>186788044</v>
      </c>
      <c r="G4059">
        <v>256706067</v>
      </c>
      <c r="H4059">
        <v>134818264</v>
      </c>
      <c r="I4059">
        <v>158067952</v>
      </c>
      <c r="J4059">
        <v>11475290</v>
      </c>
      <c r="K4059">
        <v>98801750</v>
      </c>
      <c r="L4059">
        <v>-72438895</v>
      </c>
      <c r="M4059">
        <v>57111392</v>
      </c>
      <c r="N4059">
        <v>20858119</v>
      </c>
      <c r="O4059">
        <v>-12613680</v>
      </c>
      <c r="P4059">
        <v>360</v>
      </c>
      <c r="Q4059" t="s">
        <v>8162</v>
      </c>
    </row>
    <row r="4060" spans="1:17" x14ac:dyDescent="0.3">
      <c r="A4060" t="s">
        <v>4446</v>
      </c>
      <c r="B4060" t="str">
        <f>"300260"</f>
        <v>300260</v>
      </c>
      <c r="C4060" t="s">
        <v>8163</v>
      </c>
      <c r="D4060" t="s">
        <v>78</v>
      </c>
      <c r="F4060">
        <v>23377421</v>
      </c>
      <c r="G4060">
        <v>14796324</v>
      </c>
      <c r="H4060">
        <v>42556952</v>
      </c>
      <c r="I4060">
        <v>130851602</v>
      </c>
      <c r="J4060">
        <v>25457473</v>
      </c>
      <c r="K4060">
        <v>60321617</v>
      </c>
      <c r="L4060">
        <v>-89235008</v>
      </c>
      <c r="M4060">
        <v>-51918268</v>
      </c>
      <c r="N4060">
        <v>-102982304</v>
      </c>
      <c r="O4060">
        <v>-57577202</v>
      </c>
      <c r="P4060">
        <v>212</v>
      </c>
      <c r="Q4060" t="s">
        <v>8164</v>
      </c>
    </row>
    <row r="4061" spans="1:17" x14ac:dyDescent="0.3">
      <c r="A4061" t="s">
        <v>4446</v>
      </c>
      <c r="B4061" t="str">
        <f>"300261"</f>
        <v>300261</v>
      </c>
      <c r="C4061" t="s">
        <v>8165</v>
      </c>
      <c r="D4061" t="s">
        <v>133</v>
      </c>
      <c r="F4061">
        <v>332103686</v>
      </c>
      <c r="G4061">
        <v>245812908</v>
      </c>
      <c r="H4061">
        <v>-8710681</v>
      </c>
      <c r="I4061">
        <v>-2681860</v>
      </c>
      <c r="J4061">
        <v>119820278</v>
      </c>
      <c r="K4061">
        <v>-81629046</v>
      </c>
      <c r="L4061">
        <v>-95721583</v>
      </c>
      <c r="M4061">
        <v>-268141711</v>
      </c>
      <c r="N4061">
        <v>-120230340</v>
      </c>
      <c r="O4061">
        <v>-64040581</v>
      </c>
      <c r="P4061">
        <v>139</v>
      </c>
      <c r="Q4061" t="s">
        <v>8166</v>
      </c>
    </row>
    <row r="4062" spans="1:17" x14ac:dyDescent="0.3">
      <c r="A4062" t="s">
        <v>4446</v>
      </c>
      <c r="B4062" t="str">
        <f>"300262"</f>
        <v>300262</v>
      </c>
      <c r="C4062" t="s">
        <v>8167</v>
      </c>
      <c r="D4062" t="s">
        <v>33</v>
      </c>
      <c r="F4062">
        <v>100223159</v>
      </c>
      <c r="G4062">
        <v>130744526</v>
      </c>
      <c r="H4062">
        <v>-203521632</v>
      </c>
      <c r="I4062">
        <v>-359765742</v>
      </c>
      <c r="J4062">
        <v>-470995322</v>
      </c>
      <c r="K4062">
        <v>-438083271</v>
      </c>
      <c r="L4062">
        <v>-150793450</v>
      </c>
      <c r="M4062">
        <v>129871845</v>
      </c>
      <c r="N4062">
        <v>-289333449</v>
      </c>
      <c r="O4062">
        <v>-255752790</v>
      </c>
      <c r="P4062">
        <v>127</v>
      </c>
      <c r="Q4062" t="s">
        <v>8168</v>
      </c>
    </row>
    <row r="4063" spans="1:17" x14ac:dyDescent="0.3">
      <c r="A4063" t="s">
        <v>4446</v>
      </c>
      <c r="B4063" t="str">
        <f>"300263"</f>
        <v>300263</v>
      </c>
      <c r="C4063" t="s">
        <v>8169</v>
      </c>
      <c r="D4063" t="s">
        <v>78</v>
      </c>
      <c r="F4063">
        <v>-129311267</v>
      </c>
      <c r="G4063">
        <v>62234354</v>
      </c>
      <c r="H4063">
        <v>96152310</v>
      </c>
      <c r="I4063">
        <v>-45512593</v>
      </c>
      <c r="J4063">
        <v>331188273</v>
      </c>
      <c r="K4063">
        <v>78413314</v>
      </c>
      <c r="L4063">
        <v>-13912222</v>
      </c>
      <c r="M4063">
        <v>-267343375</v>
      </c>
      <c r="N4063">
        <v>-100170109</v>
      </c>
      <c r="O4063">
        <v>-71864004</v>
      </c>
      <c r="P4063">
        <v>233</v>
      </c>
      <c r="Q4063" t="s">
        <v>8170</v>
      </c>
    </row>
    <row r="4064" spans="1:17" x14ac:dyDescent="0.3">
      <c r="A4064" t="s">
        <v>4446</v>
      </c>
      <c r="B4064" t="str">
        <f>"300264"</f>
        <v>300264</v>
      </c>
      <c r="C4064" t="s">
        <v>8171</v>
      </c>
      <c r="D4064" t="s">
        <v>212</v>
      </c>
      <c r="F4064">
        <v>-30962173</v>
      </c>
      <c r="G4064">
        <v>-20229785</v>
      </c>
      <c r="H4064">
        <v>26457898</v>
      </c>
      <c r="I4064">
        <v>-97560319</v>
      </c>
      <c r="J4064">
        <v>-123859446</v>
      </c>
      <c r="K4064">
        <v>519417</v>
      </c>
      <c r="L4064">
        <v>-18448338</v>
      </c>
      <c r="M4064">
        <v>-15672602</v>
      </c>
      <c r="N4064">
        <v>42501078</v>
      </c>
      <c r="O4064">
        <v>-40294052</v>
      </c>
      <c r="P4064">
        <v>132</v>
      </c>
      <c r="Q4064" t="s">
        <v>8172</v>
      </c>
    </row>
    <row r="4065" spans="1:17" x14ac:dyDescent="0.3">
      <c r="A4065" t="s">
        <v>4446</v>
      </c>
      <c r="B4065" t="str">
        <f>"300265"</f>
        <v>300265</v>
      </c>
      <c r="C4065" t="s">
        <v>8173</v>
      </c>
      <c r="D4065" t="s">
        <v>188</v>
      </c>
      <c r="F4065">
        <v>-138711779</v>
      </c>
      <c r="G4065">
        <v>22292251</v>
      </c>
      <c r="H4065">
        <v>120019601</v>
      </c>
      <c r="I4065">
        <v>-39926192</v>
      </c>
      <c r="J4065">
        <v>125795219</v>
      </c>
      <c r="K4065">
        <v>-58296057</v>
      </c>
      <c r="L4065">
        <v>-21470492</v>
      </c>
      <c r="M4065">
        <v>-112718772</v>
      </c>
      <c r="N4065">
        <v>-61405346</v>
      </c>
      <c r="O4065">
        <v>-127457358</v>
      </c>
      <c r="P4065">
        <v>162</v>
      </c>
      <c r="Q4065" t="s">
        <v>8174</v>
      </c>
    </row>
    <row r="4066" spans="1:17" x14ac:dyDescent="0.3">
      <c r="A4066" t="s">
        <v>4446</v>
      </c>
      <c r="B4066" t="str">
        <f>"300266"</f>
        <v>300266</v>
      </c>
      <c r="C4066" t="s">
        <v>8175</v>
      </c>
      <c r="D4066" t="s">
        <v>33</v>
      </c>
      <c r="F4066">
        <v>-515264438</v>
      </c>
      <c r="G4066">
        <v>-1099214157</v>
      </c>
      <c r="H4066">
        <v>-980798005</v>
      </c>
      <c r="I4066">
        <v>-1021690312</v>
      </c>
      <c r="J4066">
        <v>-1293298276</v>
      </c>
      <c r="K4066">
        <v>-404550561</v>
      </c>
      <c r="L4066">
        <v>-96287127</v>
      </c>
      <c r="M4066">
        <v>7072557</v>
      </c>
      <c r="N4066">
        <v>-58710339</v>
      </c>
      <c r="O4066">
        <v>-79684453</v>
      </c>
      <c r="P4066">
        <v>145</v>
      </c>
      <c r="Q4066" t="s">
        <v>8176</v>
      </c>
    </row>
    <row r="4067" spans="1:17" x14ac:dyDescent="0.3">
      <c r="A4067" t="s">
        <v>4446</v>
      </c>
      <c r="B4067" t="str">
        <f>"300267"</f>
        <v>300267</v>
      </c>
      <c r="C4067" t="s">
        <v>8177</v>
      </c>
      <c r="D4067" t="s">
        <v>113</v>
      </c>
      <c r="F4067">
        <v>-255411009</v>
      </c>
      <c r="G4067">
        <v>-427296747</v>
      </c>
      <c r="H4067">
        <v>82826587</v>
      </c>
      <c r="I4067">
        <v>27279129</v>
      </c>
      <c r="J4067">
        <v>429294927</v>
      </c>
      <c r="K4067">
        <v>-657799003</v>
      </c>
      <c r="L4067">
        <v>-51578999</v>
      </c>
      <c r="M4067">
        <v>-351827975</v>
      </c>
      <c r="N4067">
        <v>-29754964</v>
      </c>
      <c r="O4067">
        <v>-147146014</v>
      </c>
      <c r="P4067">
        <v>237</v>
      </c>
      <c r="Q4067" t="s">
        <v>8178</v>
      </c>
    </row>
    <row r="4068" spans="1:17" x14ac:dyDescent="0.3">
      <c r="A4068" t="s">
        <v>4446</v>
      </c>
      <c r="B4068" t="str">
        <f>"300268"</f>
        <v>300268</v>
      </c>
      <c r="C4068" t="s">
        <v>8179</v>
      </c>
      <c r="D4068" t="s">
        <v>205</v>
      </c>
      <c r="F4068">
        <v>-161687494</v>
      </c>
      <c r="G4068">
        <v>-550982177</v>
      </c>
      <c r="H4068">
        <v>228462</v>
      </c>
      <c r="I4068">
        <v>-208521275</v>
      </c>
      <c r="J4068">
        <v>-53885359</v>
      </c>
      <c r="K4068">
        <v>-5559170</v>
      </c>
      <c r="L4068">
        <v>-29426776</v>
      </c>
      <c r="M4068">
        <v>25996813</v>
      </c>
      <c r="N4068">
        <v>56794631</v>
      </c>
      <c r="O4068">
        <v>-38847452</v>
      </c>
      <c r="P4068">
        <v>87</v>
      </c>
      <c r="Q4068" t="s">
        <v>8180</v>
      </c>
    </row>
    <row r="4069" spans="1:17" x14ac:dyDescent="0.3">
      <c r="A4069" t="s">
        <v>4446</v>
      </c>
      <c r="B4069" t="str">
        <f>"300269"</f>
        <v>300269</v>
      </c>
      <c r="C4069" t="s">
        <v>8181</v>
      </c>
      <c r="D4069" t="s">
        <v>89</v>
      </c>
      <c r="F4069">
        <v>84736049</v>
      </c>
      <c r="G4069">
        <v>181297802</v>
      </c>
      <c r="H4069">
        <v>91030603</v>
      </c>
      <c r="I4069">
        <v>77867093</v>
      </c>
      <c r="J4069">
        <v>174171731</v>
      </c>
      <c r="K4069">
        <v>-299513380</v>
      </c>
      <c r="L4069">
        <v>212930742</v>
      </c>
      <c r="M4069">
        <v>147296874</v>
      </c>
      <c r="N4069">
        <v>-23498662</v>
      </c>
      <c r="O4069">
        <v>-71611615</v>
      </c>
      <c r="P4069">
        <v>125</v>
      </c>
      <c r="Q4069" t="s">
        <v>8182</v>
      </c>
    </row>
    <row r="4070" spans="1:17" x14ac:dyDescent="0.3">
      <c r="A4070" t="s">
        <v>4446</v>
      </c>
      <c r="B4070" t="str">
        <f>"300270"</f>
        <v>300270</v>
      </c>
      <c r="C4070" t="s">
        <v>8183</v>
      </c>
      <c r="D4070" t="s">
        <v>212</v>
      </c>
      <c r="F4070">
        <v>495348</v>
      </c>
      <c r="G4070">
        <v>59853310</v>
      </c>
      <c r="H4070">
        <v>-88385863</v>
      </c>
      <c r="I4070">
        <v>-167879207</v>
      </c>
      <c r="J4070">
        <v>-157038470</v>
      </c>
      <c r="K4070">
        <v>18576449</v>
      </c>
      <c r="L4070">
        <v>-141159915</v>
      </c>
      <c r="M4070">
        <v>-32000507</v>
      </c>
      <c r="N4070">
        <v>-42259402</v>
      </c>
      <c r="O4070">
        <v>-39717403</v>
      </c>
      <c r="P4070">
        <v>136</v>
      </c>
      <c r="Q4070" t="s">
        <v>8184</v>
      </c>
    </row>
    <row r="4071" spans="1:17" x14ac:dyDescent="0.3">
      <c r="A4071" t="s">
        <v>4446</v>
      </c>
      <c r="B4071" t="str">
        <f>"300271"</f>
        <v>300271</v>
      </c>
      <c r="C4071" t="s">
        <v>8185</v>
      </c>
      <c r="D4071" t="s">
        <v>212</v>
      </c>
      <c r="F4071">
        <v>-414068958</v>
      </c>
      <c r="G4071">
        <v>319617756</v>
      </c>
      <c r="H4071">
        <v>225663090</v>
      </c>
      <c r="I4071">
        <v>121436630</v>
      </c>
      <c r="J4071">
        <v>340566217</v>
      </c>
      <c r="K4071">
        <v>90372393</v>
      </c>
      <c r="L4071">
        <v>217770510</v>
      </c>
      <c r="M4071">
        <v>139358830</v>
      </c>
      <c r="N4071">
        <v>-104244546</v>
      </c>
      <c r="O4071">
        <v>3455491</v>
      </c>
      <c r="P4071">
        <v>590</v>
      </c>
      <c r="Q4071" t="s">
        <v>8186</v>
      </c>
    </row>
    <row r="4072" spans="1:17" x14ac:dyDescent="0.3">
      <c r="A4072" t="s">
        <v>4446</v>
      </c>
      <c r="B4072" t="str">
        <f>"300272"</f>
        <v>300272</v>
      </c>
      <c r="C4072" t="s">
        <v>8187</v>
      </c>
      <c r="D4072" t="s">
        <v>126</v>
      </c>
      <c r="F4072">
        <v>92478488</v>
      </c>
      <c r="G4072">
        <v>102906980</v>
      </c>
      <c r="H4072">
        <v>56741940</v>
      </c>
      <c r="I4072">
        <v>55560561</v>
      </c>
      <c r="J4072">
        <v>-79357142</v>
      </c>
      <c r="K4072">
        <v>-113590892</v>
      </c>
      <c r="L4072">
        <v>-81260006</v>
      </c>
      <c r="M4072">
        <v>19883379</v>
      </c>
      <c r="N4072">
        <v>-95818571</v>
      </c>
      <c r="O4072">
        <v>520221</v>
      </c>
      <c r="P4072">
        <v>131</v>
      </c>
      <c r="Q4072" t="s">
        <v>8188</v>
      </c>
    </row>
    <row r="4073" spans="1:17" x14ac:dyDescent="0.3">
      <c r="A4073" t="s">
        <v>4446</v>
      </c>
      <c r="B4073" t="str">
        <f>"300273"</f>
        <v>300273</v>
      </c>
      <c r="C4073" t="s">
        <v>8189</v>
      </c>
      <c r="D4073" t="s">
        <v>113</v>
      </c>
      <c r="F4073">
        <v>231633938</v>
      </c>
      <c r="G4073">
        <v>52463140</v>
      </c>
      <c r="H4073">
        <v>302460</v>
      </c>
      <c r="I4073">
        <v>-607195135</v>
      </c>
      <c r="J4073">
        <v>-661891861</v>
      </c>
      <c r="K4073">
        <v>-491205807</v>
      </c>
      <c r="L4073">
        <v>-807282480</v>
      </c>
      <c r="M4073">
        <v>-407463172</v>
      </c>
      <c r="N4073">
        <v>-263130401</v>
      </c>
      <c r="O4073">
        <v>-6383882</v>
      </c>
      <c r="P4073">
        <v>143</v>
      </c>
      <c r="Q4073" t="s">
        <v>8190</v>
      </c>
    </row>
    <row r="4074" spans="1:17" x14ac:dyDescent="0.3">
      <c r="A4074" t="s">
        <v>4446</v>
      </c>
      <c r="B4074" t="str">
        <f>"300274"</f>
        <v>300274</v>
      </c>
      <c r="C4074" t="s">
        <v>8191</v>
      </c>
      <c r="D4074" t="s">
        <v>188</v>
      </c>
      <c r="F4074">
        <v>-3292131256</v>
      </c>
      <c r="G4074">
        <v>2135683767</v>
      </c>
      <c r="H4074">
        <v>1798861697</v>
      </c>
      <c r="I4074">
        <v>-658299176</v>
      </c>
      <c r="J4074">
        <v>502348920</v>
      </c>
      <c r="K4074">
        <v>-488398007</v>
      </c>
      <c r="L4074">
        <v>-578036262</v>
      </c>
      <c r="M4074">
        <v>-75679551</v>
      </c>
      <c r="N4074">
        <v>190379378</v>
      </c>
      <c r="O4074">
        <v>-314872736</v>
      </c>
      <c r="P4074">
        <v>2195</v>
      </c>
      <c r="Q4074" t="s">
        <v>8192</v>
      </c>
    </row>
    <row r="4075" spans="1:17" x14ac:dyDescent="0.3">
      <c r="A4075" t="s">
        <v>4446</v>
      </c>
      <c r="B4075" t="str">
        <f>"300275"</f>
        <v>300275</v>
      </c>
      <c r="C4075" t="s">
        <v>8193</v>
      </c>
      <c r="D4075" t="s">
        <v>78</v>
      </c>
      <c r="F4075">
        <v>-55959701</v>
      </c>
      <c r="G4075">
        <v>-10005967</v>
      </c>
      <c r="H4075">
        <v>7297808</v>
      </c>
      <c r="I4075">
        <v>-4902426</v>
      </c>
      <c r="J4075">
        <v>60004797</v>
      </c>
      <c r="K4075">
        <v>-66706420</v>
      </c>
      <c r="L4075">
        <v>-107329508</v>
      </c>
      <c r="M4075">
        <v>-121246715</v>
      </c>
      <c r="N4075">
        <v>-60334148</v>
      </c>
      <c r="O4075">
        <v>-12144415</v>
      </c>
      <c r="P4075">
        <v>89</v>
      </c>
      <c r="Q4075" t="s">
        <v>8194</v>
      </c>
    </row>
    <row r="4076" spans="1:17" x14ac:dyDescent="0.3">
      <c r="A4076" t="s">
        <v>4446</v>
      </c>
      <c r="B4076" t="str">
        <f>"300276"</f>
        <v>300276</v>
      </c>
      <c r="C4076" t="s">
        <v>8195</v>
      </c>
      <c r="D4076" t="s">
        <v>78</v>
      </c>
      <c r="F4076">
        <v>-67149190</v>
      </c>
      <c r="G4076">
        <v>144308982</v>
      </c>
      <c r="H4076">
        <v>58352846</v>
      </c>
      <c r="I4076">
        <v>158291650</v>
      </c>
      <c r="J4076">
        <v>4201210</v>
      </c>
      <c r="K4076">
        <v>-88533575</v>
      </c>
      <c r="L4076">
        <v>-74202549</v>
      </c>
      <c r="M4076">
        <v>-7065737</v>
      </c>
      <c r="N4076">
        <v>-73070372</v>
      </c>
      <c r="O4076">
        <v>-59356422</v>
      </c>
      <c r="P4076">
        <v>138</v>
      </c>
      <c r="Q4076" t="s">
        <v>8196</v>
      </c>
    </row>
    <row r="4077" spans="1:17" x14ac:dyDescent="0.3">
      <c r="A4077" t="s">
        <v>4446</v>
      </c>
      <c r="B4077" t="str">
        <f>"300277"</f>
        <v>300277</v>
      </c>
      <c r="C4077" t="s">
        <v>8197</v>
      </c>
      <c r="D4077" t="s">
        <v>212</v>
      </c>
      <c r="F4077">
        <v>5684140</v>
      </c>
      <c r="G4077">
        <v>19144633</v>
      </c>
      <c r="H4077">
        <v>90466513</v>
      </c>
      <c r="I4077">
        <v>21181997</v>
      </c>
      <c r="J4077">
        <v>55242101</v>
      </c>
      <c r="K4077">
        <v>103796365</v>
      </c>
      <c r="L4077">
        <v>-11120545</v>
      </c>
      <c r="M4077">
        <v>42411144</v>
      </c>
      <c r="N4077">
        <v>-80240281</v>
      </c>
      <c r="O4077">
        <v>-64187491</v>
      </c>
      <c r="P4077">
        <v>73</v>
      </c>
      <c r="Q4077" t="s">
        <v>8198</v>
      </c>
    </row>
    <row r="4078" spans="1:17" x14ac:dyDescent="0.3">
      <c r="A4078" t="s">
        <v>4446</v>
      </c>
      <c r="B4078" t="str">
        <f>"300278"</f>
        <v>300278</v>
      </c>
      <c r="C4078" t="s">
        <v>8199</v>
      </c>
      <c r="D4078" t="s">
        <v>78</v>
      </c>
      <c r="F4078">
        <v>-41658655</v>
      </c>
      <c r="G4078">
        <v>195686363</v>
      </c>
      <c r="H4078">
        <v>-23995925</v>
      </c>
      <c r="I4078">
        <v>68501156</v>
      </c>
      <c r="J4078">
        <v>-64003089</v>
      </c>
      <c r="K4078">
        <v>-185911073</v>
      </c>
      <c r="L4078">
        <v>-156001668</v>
      </c>
      <c r="M4078">
        <v>-33671386</v>
      </c>
      <c r="N4078">
        <v>-62109701</v>
      </c>
      <c r="O4078">
        <v>-172247595</v>
      </c>
      <c r="P4078">
        <v>98</v>
      </c>
      <c r="Q4078" t="s">
        <v>8200</v>
      </c>
    </row>
    <row r="4079" spans="1:17" x14ac:dyDescent="0.3">
      <c r="A4079" t="s">
        <v>4446</v>
      </c>
      <c r="B4079" t="str">
        <f>"300279"</f>
        <v>300279</v>
      </c>
      <c r="C4079" t="s">
        <v>8201</v>
      </c>
      <c r="D4079" t="s">
        <v>150</v>
      </c>
      <c r="F4079">
        <v>-38763001</v>
      </c>
      <c r="G4079">
        <v>-161619745</v>
      </c>
      <c r="H4079">
        <v>2652006</v>
      </c>
      <c r="I4079">
        <v>21410138</v>
      </c>
      <c r="J4079">
        <v>-74103084</v>
      </c>
      <c r="K4079">
        <v>-8553594</v>
      </c>
      <c r="L4079">
        <v>-127353617</v>
      </c>
      <c r="M4079">
        <v>-97708899</v>
      </c>
      <c r="N4079">
        <v>-41218265</v>
      </c>
      <c r="O4079">
        <v>-31244344</v>
      </c>
      <c r="P4079">
        <v>166</v>
      </c>
      <c r="Q4079" t="s">
        <v>8202</v>
      </c>
    </row>
    <row r="4080" spans="1:17" x14ac:dyDescent="0.3">
      <c r="A4080" t="s">
        <v>4446</v>
      </c>
      <c r="B4080" t="str">
        <f>"300280"</f>
        <v>300280</v>
      </c>
      <c r="C4080" t="s">
        <v>8203</v>
      </c>
      <c r="D4080" t="s">
        <v>89</v>
      </c>
      <c r="F4080">
        <v>69831412</v>
      </c>
      <c r="G4080">
        <v>284408035</v>
      </c>
      <c r="H4080">
        <v>280376222</v>
      </c>
      <c r="I4080">
        <v>44147029</v>
      </c>
      <c r="J4080">
        <v>-42457779</v>
      </c>
      <c r="K4080">
        <v>32175052</v>
      </c>
      <c r="L4080">
        <v>33752413</v>
      </c>
      <c r="M4080">
        <v>5666292</v>
      </c>
      <c r="N4080">
        <v>-16294636</v>
      </c>
      <c r="O4080">
        <v>-69444370</v>
      </c>
      <c r="P4080">
        <v>144</v>
      </c>
      <c r="Q4080" t="s">
        <v>8204</v>
      </c>
    </row>
    <row r="4081" spans="1:17" x14ac:dyDescent="0.3">
      <c r="A4081" t="s">
        <v>4446</v>
      </c>
      <c r="B4081" t="str">
        <f>"300281"</f>
        <v>300281</v>
      </c>
      <c r="C4081" t="s">
        <v>8205</v>
      </c>
      <c r="D4081" t="s">
        <v>78</v>
      </c>
      <c r="F4081">
        <v>34230168</v>
      </c>
      <c r="G4081">
        <v>16284919</v>
      </c>
      <c r="H4081">
        <v>-62338680</v>
      </c>
      <c r="I4081">
        <v>-8867591</v>
      </c>
      <c r="J4081">
        <v>-12830228</v>
      </c>
      <c r="K4081">
        <v>-57299681</v>
      </c>
      <c r="L4081">
        <v>-49453048</v>
      </c>
      <c r="M4081">
        <v>25345220</v>
      </c>
      <c r="N4081">
        <v>-127859462</v>
      </c>
      <c r="O4081">
        <v>-72133864</v>
      </c>
      <c r="P4081">
        <v>48</v>
      </c>
      <c r="Q4081" t="s">
        <v>8206</v>
      </c>
    </row>
    <row r="4082" spans="1:17" x14ac:dyDescent="0.3">
      <c r="A4082" t="s">
        <v>4446</v>
      </c>
      <c r="B4082" t="str">
        <f>"300282"</f>
        <v>300282</v>
      </c>
      <c r="C4082" t="s">
        <v>8207</v>
      </c>
      <c r="D4082" t="s">
        <v>110</v>
      </c>
      <c r="F4082">
        <v>-187806820</v>
      </c>
      <c r="G4082">
        <v>70751084</v>
      </c>
      <c r="H4082">
        <v>94595514</v>
      </c>
      <c r="I4082">
        <v>-158463400</v>
      </c>
      <c r="J4082">
        <v>-155943171</v>
      </c>
      <c r="K4082">
        <v>73125368</v>
      </c>
      <c r="L4082">
        <v>102640388</v>
      </c>
      <c r="M4082">
        <v>-66844685</v>
      </c>
      <c r="N4082">
        <v>-47007875</v>
      </c>
      <c r="O4082">
        <v>-19305176</v>
      </c>
      <c r="P4082">
        <v>100</v>
      </c>
      <c r="Q4082" t="s">
        <v>8208</v>
      </c>
    </row>
    <row r="4083" spans="1:17" x14ac:dyDescent="0.3">
      <c r="A4083" t="s">
        <v>4446</v>
      </c>
      <c r="B4083" t="str">
        <f>"300283"</f>
        <v>300283</v>
      </c>
      <c r="C4083" t="s">
        <v>8209</v>
      </c>
      <c r="D4083" t="s">
        <v>188</v>
      </c>
      <c r="F4083">
        <v>55746415</v>
      </c>
      <c r="G4083">
        <v>-132592537</v>
      </c>
      <c r="H4083">
        <v>40321457</v>
      </c>
      <c r="I4083">
        <v>133422027</v>
      </c>
      <c r="J4083">
        <v>-136535642</v>
      </c>
      <c r="K4083">
        <v>-206105228</v>
      </c>
      <c r="L4083">
        <v>27926365</v>
      </c>
      <c r="M4083">
        <v>26672616</v>
      </c>
      <c r="N4083">
        <v>21899643</v>
      </c>
      <c r="O4083">
        <v>-61769746</v>
      </c>
      <c r="P4083">
        <v>58</v>
      </c>
      <c r="Q4083" t="s">
        <v>8210</v>
      </c>
    </row>
    <row r="4084" spans="1:17" x14ac:dyDescent="0.3">
      <c r="A4084" t="s">
        <v>4446</v>
      </c>
      <c r="B4084" t="str">
        <f>"300284"</f>
        <v>300284</v>
      </c>
      <c r="C4084" t="s">
        <v>8211</v>
      </c>
      <c r="D4084" t="s">
        <v>95</v>
      </c>
      <c r="F4084">
        <v>-17991594</v>
      </c>
      <c r="G4084">
        <v>608097973</v>
      </c>
      <c r="H4084">
        <v>532770436</v>
      </c>
      <c r="I4084">
        <v>-146924856</v>
      </c>
      <c r="J4084">
        <v>109195928</v>
      </c>
      <c r="K4084">
        <v>-69682456</v>
      </c>
      <c r="L4084">
        <v>-114006700</v>
      </c>
      <c r="M4084">
        <v>128201004</v>
      </c>
      <c r="N4084">
        <v>196338567</v>
      </c>
      <c r="O4084">
        <v>14455654</v>
      </c>
      <c r="P4084">
        <v>274</v>
      </c>
      <c r="Q4084" t="s">
        <v>8212</v>
      </c>
    </row>
    <row r="4085" spans="1:17" x14ac:dyDescent="0.3">
      <c r="A4085" t="s">
        <v>4446</v>
      </c>
      <c r="B4085" t="str">
        <f>"300285"</f>
        <v>300285</v>
      </c>
      <c r="C4085" t="s">
        <v>8213</v>
      </c>
      <c r="D4085" t="s">
        <v>133</v>
      </c>
      <c r="F4085">
        <v>50215257</v>
      </c>
      <c r="G4085">
        <v>553984163</v>
      </c>
      <c r="H4085">
        <v>288841579</v>
      </c>
      <c r="I4085">
        <v>136997585</v>
      </c>
      <c r="J4085">
        <v>7388706</v>
      </c>
      <c r="K4085">
        <v>107547686</v>
      </c>
      <c r="L4085">
        <v>-59849251</v>
      </c>
      <c r="M4085">
        <v>-115283302</v>
      </c>
      <c r="N4085">
        <v>-68634989</v>
      </c>
      <c r="O4085">
        <v>-29118349</v>
      </c>
      <c r="P4085">
        <v>1538</v>
      </c>
      <c r="Q4085" t="s">
        <v>8214</v>
      </c>
    </row>
    <row r="4086" spans="1:17" x14ac:dyDescent="0.3">
      <c r="A4086" t="s">
        <v>4446</v>
      </c>
      <c r="B4086" t="str">
        <f>"300286"</f>
        <v>300286</v>
      </c>
      <c r="C4086" t="s">
        <v>8215</v>
      </c>
      <c r="D4086" t="s">
        <v>188</v>
      </c>
      <c r="F4086">
        <v>83497451</v>
      </c>
      <c r="G4086">
        <v>-62691569</v>
      </c>
      <c r="H4086">
        <v>143383663</v>
      </c>
      <c r="I4086">
        <v>66033587</v>
      </c>
      <c r="J4086">
        <v>81613869</v>
      </c>
      <c r="K4086">
        <v>65797180</v>
      </c>
      <c r="L4086">
        <v>23935855</v>
      </c>
      <c r="M4086">
        <v>40328305</v>
      </c>
      <c r="N4086">
        <v>26113843</v>
      </c>
      <c r="O4086">
        <v>30441735</v>
      </c>
      <c r="P4086">
        <v>273</v>
      </c>
      <c r="Q4086" t="s">
        <v>8216</v>
      </c>
    </row>
    <row r="4087" spans="1:17" x14ac:dyDescent="0.3">
      <c r="A4087" t="s">
        <v>4446</v>
      </c>
      <c r="B4087" t="str">
        <f>"300287"</f>
        <v>300287</v>
      </c>
      <c r="C4087" t="s">
        <v>8217</v>
      </c>
      <c r="D4087" t="s">
        <v>212</v>
      </c>
      <c r="F4087">
        <v>-27270629</v>
      </c>
      <c r="G4087">
        <v>-21074148</v>
      </c>
      <c r="H4087">
        <v>192035042</v>
      </c>
      <c r="I4087">
        <v>-511293426</v>
      </c>
      <c r="J4087">
        <v>119617266</v>
      </c>
      <c r="K4087">
        <v>-13230745</v>
      </c>
      <c r="L4087">
        <v>-52492967</v>
      </c>
      <c r="M4087">
        <v>-136254798</v>
      </c>
      <c r="N4087">
        <v>-130336758</v>
      </c>
      <c r="O4087">
        <v>-116438560</v>
      </c>
      <c r="P4087">
        <v>288</v>
      </c>
      <c r="Q4087" t="s">
        <v>8218</v>
      </c>
    </row>
    <row r="4088" spans="1:17" x14ac:dyDescent="0.3">
      <c r="A4088" t="s">
        <v>4446</v>
      </c>
      <c r="B4088" t="str">
        <f>"300288"</f>
        <v>300288</v>
      </c>
      <c r="C4088" t="s">
        <v>8219</v>
      </c>
      <c r="D4088" t="s">
        <v>212</v>
      </c>
      <c r="F4088">
        <v>57136743</v>
      </c>
      <c r="G4088">
        <v>70611990</v>
      </c>
      <c r="H4088">
        <v>62108790</v>
      </c>
      <c r="I4088">
        <v>-27421413</v>
      </c>
      <c r="J4088">
        <v>-29547818</v>
      </c>
      <c r="K4088">
        <v>70902563</v>
      </c>
      <c r="L4088">
        <v>118726056</v>
      </c>
      <c r="M4088">
        <v>1761411</v>
      </c>
      <c r="N4088">
        <v>32092899</v>
      </c>
      <c r="O4088">
        <v>12523760</v>
      </c>
      <c r="P4088">
        <v>221</v>
      </c>
      <c r="Q4088" t="s">
        <v>8220</v>
      </c>
    </row>
    <row r="4089" spans="1:17" x14ac:dyDescent="0.3">
      <c r="A4089" t="s">
        <v>4446</v>
      </c>
      <c r="B4089" t="str">
        <f>"300289"</f>
        <v>300289</v>
      </c>
      <c r="C4089" t="s">
        <v>8221</v>
      </c>
      <c r="D4089" t="s">
        <v>113</v>
      </c>
      <c r="F4089">
        <v>76700550</v>
      </c>
      <c r="G4089">
        <v>107213440</v>
      </c>
      <c r="H4089">
        <v>98794163</v>
      </c>
      <c r="I4089">
        <v>69020952</v>
      </c>
      <c r="J4089">
        <v>110151000</v>
      </c>
      <c r="K4089">
        <v>58466244</v>
      </c>
      <c r="L4089">
        <v>153092741</v>
      </c>
      <c r="M4089">
        <v>-32367123</v>
      </c>
      <c r="N4089">
        <v>-62898610</v>
      </c>
      <c r="O4089">
        <v>-183800186</v>
      </c>
      <c r="P4089">
        <v>132</v>
      </c>
      <c r="Q4089" t="s">
        <v>8222</v>
      </c>
    </row>
    <row r="4090" spans="1:17" x14ac:dyDescent="0.3">
      <c r="A4090" t="s">
        <v>4446</v>
      </c>
      <c r="B4090" t="str">
        <f>"300290"</f>
        <v>300290</v>
      </c>
      <c r="C4090" t="s">
        <v>8223</v>
      </c>
      <c r="D4090" t="s">
        <v>212</v>
      </c>
      <c r="F4090">
        <v>-62917410</v>
      </c>
      <c r="G4090">
        <v>83447086</v>
      </c>
      <c r="H4090">
        <v>50402338</v>
      </c>
      <c r="I4090">
        <v>75586863</v>
      </c>
      <c r="J4090">
        <v>-22537189</v>
      </c>
      <c r="K4090">
        <v>-444902</v>
      </c>
      <c r="L4090">
        <v>30688192</v>
      </c>
      <c r="M4090">
        <v>-62258407</v>
      </c>
      <c r="N4090">
        <v>-140325657</v>
      </c>
      <c r="O4090">
        <v>2326608</v>
      </c>
      <c r="P4090">
        <v>113</v>
      </c>
      <c r="Q4090" t="s">
        <v>8224</v>
      </c>
    </row>
    <row r="4091" spans="1:17" x14ac:dyDescent="0.3">
      <c r="A4091" t="s">
        <v>4446</v>
      </c>
      <c r="B4091" t="str">
        <f>"300291"</f>
        <v>300291</v>
      </c>
      <c r="C4091" t="s">
        <v>8225</v>
      </c>
      <c r="D4091" t="s">
        <v>89</v>
      </c>
      <c r="F4091">
        <v>236325177</v>
      </c>
      <c r="G4091">
        <v>-18597547</v>
      </c>
      <c r="H4091">
        <v>111741964</v>
      </c>
      <c r="I4091">
        <v>51344447</v>
      </c>
      <c r="J4091">
        <v>-14802347</v>
      </c>
      <c r="K4091">
        <v>-495012016</v>
      </c>
      <c r="L4091">
        <v>-211013002</v>
      </c>
      <c r="M4091">
        <v>-58587114</v>
      </c>
      <c r="N4091">
        <v>-75429313</v>
      </c>
      <c r="O4091">
        <v>-99932660</v>
      </c>
      <c r="P4091">
        <v>93</v>
      </c>
      <c r="Q4091" t="s">
        <v>8226</v>
      </c>
    </row>
    <row r="4092" spans="1:17" x14ac:dyDescent="0.3">
      <c r="A4092" t="s">
        <v>4446</v>
      </c>
      <c r="B4092" t="str">
        <f>"300292"</f>
        <v>300292</v>
      </c>
      <c r="C4092" t="s">
        <v>8227</v>
      </c>
      <c r="D4092" t="s">
        <v>100</v>
      </c>
      <c r="F4092">
        <v>133126424</v>
      </c>
      <c r="G4092">
        <v>-43170490</v>
      </c>
      <c r="H4092">
        <v>-41570792</v>
      </c>
      <c r="I4092">
        <v>42976285</v>
      </c>
      <c r="J4092">
        <v>-3806109</v>
      </c>
      <c r="K4092">
        <v>61692134</v>
      </c>
      <c r="L4092">
        <v>56978743</v>
      </c>
      <c r="M4092">
        <v>81291226</v>
      </c>
      <c r="N4092">
        <v>-24107853</v>
      </c>
      <c r="O4092">
        <v>-66794798</v>
      </c>
      <c r="P4092">
        <v>205</v>
      </c>
      <c r="Q4092" t="s">
        <v>8228</v>
      </c>
    </row>
    <row r="4093" spans="1:17" x14ac:dyDescent="0.3">
      <c r="A4093" t="s">
        <v>4446</v>
      </c>
      <c r="B4093" t="str">
        <f>"300293"</f>
        <v>300293</v>
      </c>
      <c r="C4093" t="s">
        <v>8229</v>
      </c>
      <c r="D4093" t="s">
        <v>78</v>
      </c>
      <c r="F4093">
        <v>-63461409</v>
      </c>
      <c r="G4093">
        <v>49608738</v>
      </c>
      <c r="H4093">
        <v>-40151811</v>
      </c>
      <c r="I4093">
        <v>266114251</v>
      </c>
      <c r="J4093">
        <v>-88685273</v>
      </c>
      <c r="K4093">
        <v>287811182</v>
      </c>
      <c r="L4093">
        <v>22546643</v>
      </c>
      <c r="M4093">
        <v>47109988</v>
      </c>
      <c r="N4093">
        <v>-295484367</v>
      </c>
      <c r="O4093">
        <v>-400537794</v>
      </c>
      <c r="P4093">
        <v>112</v>
      </c>
      <c r="Q4093" t="s">
        <v>8230</v>
      </c>
    </row>
    <row r="4094" spans="1:17" x14ac:dyDescent="0.3">
      <c r="A4094" t="s">
        <v>4446</v>
      </c>
      <c r="B4094" t="str">
        <f>"300294"</f>
        <v>300294</v>
      </c>
      <c r="C4094" t="s">
        <v>8231</v>
      </c>
      <c r="D4094" t="s">
        <v>113</v>
      </c>
      <c r="F4094">
        <v>1281673715</v>
      </c>
      <c r="G4094">
        <v>577728514</v>
      </c>
      <c r="H4094">
        <v>-199358302</v>
      </c>
      <c r="I4094">
        <v>-78755777</v>
      </c>
      <c r="J4094">
        <v>-260640590</v>
      </c>
      <c r="K4094">
        <v>-101240613</v>
      </c>
      <c r="L4094">
        <v>-11939294</v>
      </c>
      <c r="M4094">
        <v>74415880</v>
      </c>
      <c r="N4094">
        <v>56242706</v>
      </c>
      <c r="O4094">
        <v>67917650</v>
      </c>
      <c r="P4094">
        <v>495</v>
      </c>
      <c r="Q4094" t="s">
        <v>8232</v>
      </c>
    </row>
    <row r="4095" spans="1:17" x14ac:dyDescent="0.3">
      <c r="A4095" t="s">
        <v>4446</v>
      </c>
      <c r="B4095" t="str">
        <f>"300295"</f>
        <v>300295</v>
      </c>
      <c r="C4095" t="s">
        <v>8233</v>
      </c>
      <c r="D4095" t="s">
        <v>89</v>
      </c>
      <c r="F4095">
        <v>-1025306</v>
      </c>
      <c r="G4095">
        <v>-68995626</v>
      </c>
      <c r="H4095">
        <v>-106039404</v>
      </c>
      <c r="I4095">
        <v>-23474146</v>
      </c>
      <c r="J4095">
        <v>-452116179</v>
      </c>
      <c r="K4095">
        <v>-335640011</v>
      </c>
      <c r="L4095">
        <v>127704035</v>
      </c>
      <c r="M4095">
        <v>130489618</v>
      </c>
      <c r="N4095">
        <v>136966562</v>
      </c>
      <c r="O4095">
        <v>101658677</v>
      </c>
      <c r="P4095">
        <v>100</v>
      </c>
      <c r="Q4095" t="s">
        <v>8234</v>
      </c>
    </row>
    <row r="4096" spans="1:17" x14ac:dyDescent="0.3">
      <c r="A4096" t="s">
        <v>4446</v>
      </c>
      <c r="B4096" t="str">
        <f>"300296"</f>
        <v>300296</v>
      </c>
      <c r="C4096" t="s">
        <v>8235</v>
      </c>
      <c r="D4096" t="s">
        <v>150</v>
      </c>
      <c r="F4096">
        <v>-12585145</v>
      </c>
      <c r="G4096">
        <v>871263163</v>
      </c>
      <c r="H4096">
        <v>721259808</v>
      </c>
      <c r="I4096">
        <v>616538819</v>
      </c>
      <c r="J4096">
        <v>640189405</v>
      </c>
      <c r="K4096">
        <v>-151501987</v>
      </c>
      <c r="L4096">
        <v>36934574</v>
      </c>
      <c r="M4096">
        <v>-8048576</v>
      </c>
      <c r="N4096">
        <v>-68203998</v>
      </c>
      <c r="O4096">
        <v>-106485244</v>
      </c>
      <c r="P4096">
        <v>1700</v>
      </c>
      <c r="Q4096" t="s">
        <v>8236</v>
      </c>
    </row>
    <row r="4097" spans="1:17" x14ac:dyDescent="0.3">
      <c r="A4097" t="s">
        <v>4446</v>
      </c>
      <c r="B4097" t="str">
        <f>"300297"</f>
        <v>300297</v>
      </c>
      <c r="C4097" t="s">
        <v>8237</v>
      </c>
      <c r="D4097" t="s">
        <v>212</v>
      </c>
      <c r="F4097">
        <v>-261032875</v>
      </c>
      <c r="G4097">
        <v>-30515843</v>
      </c>
      <c r="H4097">
        <v>-561088978</v>
      </c>
      <c r="I4097">
        <v>-1501654323</v>
      </c>
      <c r="J4097">
        <v>-781930042</v>
      </c>
      <c r="K4097">
        <v>-14849830</v>
      </c>
      <c r="L4097">
        <v>-125844362</v>
      </c>
      <c r="M4097">
        <v>-96992774</v>
      </c>
      <c r="N4097">
        <v>-90405506</v>
      </c>
      <c r="O4097">
        <v>-162708839</v>
      </c>
      <c r="P4097">
        <v>342</v>
      </c>
      <c r="Q4097" t="s">
        <v>8238</v>
      </c>
    </row>
    <row r="4098" spans="1:17" x14ac:dyDescent="0.3">
      <c r="A4098" t="s">
        <v>4446</v>
      </c>
      <c r="B4098" t="str">
        <f>"300298"</f>
        <v>300298</v>
      </c>
      <c r="C4098" t="s">
        <v>8239</v>
      </c>
      <c r="D4098" t="s">
        <v>113</v>
      </c>
      <c r="F4098">
        <v>76247032</v>
      </c>
      <c r="G4098">
        <v>229131373</v>
      </c>
      <c r="H4098">
        <v>100871430</v>
      </c>
      <c r="I4098">
        <v>76889546</v>
      </c>
      <c r="J4098">
        <v>145206713</v>
      </c>
      <c r="K4098">
        <v>147970808</v>
      </c>
      <c r="L4098">
        <v>62785798</v>
      </c>
      <c r="M4098">
        <v>83819723</v>
      </c>
      <c r="N4098">
        <v>8648336</v>
      </c>
      <c r="O4098">
        <v>96007195</v>
      </c>
      <c r="P4098">
        <v>619</v>
      </c>
      <c r="Q4098" t="s">
        <v>8240</v>
      </c>
    </row>
    <row r="4099" spans="1:17" x14ac:dyDescent="0.3">
      <c r="A4099" t="s">
        <v>4446</v>
      </c>
      <c r="B4099" t="str">
        <f>"300299"</f>
        <v>300299</v>
      </c>
      <c r="C4099" t="s">
        <v>8241</v>
      </c>
      <c r="D4099" t="s">
        <v>89</v>
      </c>
      <c r="F4099">
        <v>146929912</v>
      </c>
      <c r="G4099">
        <v>46398477</v>
      </c>
      <c r="H4099">
        <v>3171883</v>
      </c>
      <c r="I4099">
        <v>19658482</v>
      </c>
      <c r="J4099">
        <v>127482379</v>
      </c>
      <c r="K4099">
        <v>141238591</v>
      </c>
      <c r="L4099">
        <v>38256526</v>
      </c>
      <c r="M4099">
        <v>-34029206</v>
      </c>
      <c r="N4099">
        <v>-35463151</v>
      </c>
      <c r="O4099">
        <v>-41031431</v>
      </c>
      <c r="P4099">
        <v>187</v>
      </c>
      <c r="Q4099" t="s">
        <v>8242</v>
      </c>
    </row>
    <row r="4100" spans="1:17" x14ac:dyDescent="0.3">
      <c r="A4100" t="s">
        <v>4446</v>
      </c>
      <c r="B4100" t="str">
        <f>"300300"</f>
        <v>300300</v>
      </c>
      <c r="C4100" t="s">
        <v>8243</v>
      </c>
      <c r="D4100" t="s">
        <v>212</v>
      </c>
      <c r="F4100">
        <v>-106525779</v>
      </c>
      <c r="G4100">
        <v>-29084916</v>
      </c>
      <c r="H4100">
        <v>-67249078</v>
      </c>
      <c r="I4100">
        <v>-17956089</v>
      </c>
      <c r="J4100">
        <v>150196666</v>
      </c>
      <c r="K4100">
        <v>-536427688</v>
      </c>
      <c r="L4100">
        <v>-128271934</v>
      </c>
      <c r="M4100">
        <v>-155093026</v>
      </c>
      <c r="N4100">
        <v>3118680</v>
      </c>
      <c r="O4100">
        <v>-46430377</v>
      </c>
      <c r="P4100">
        <v>121</v>
      </c>
      <c r="Q4100" t="s">
        <v>8244</v>
      </c>
    </row>
    <row r="4101" spans="1:17" x14ac:dyDescent="0.3">
      <c r="A4101" t="s">
        <v>4446</v>
      </c>
      <c r="B4101" t="str">
        <f>"300301"</f>
        <v>300301</v>
      </c>
      <c r="C4101" t="s">
        <v>8245</v>
      </c>
      <c r="D4101" t="s">
        <v>150</v>
      </c>
      <c r="F4101">
        <v>382416168</v>
      </c>
      <c r="G4101">
        <v>128217263</v>
      </c>
      <c r="H4101">
        <v>58188948</v>
      </c>
      <c r="I4101">
        <v>-291648856</v>
      </c>
      <c r="J4101">
        <v>100909112</v>
      </c>
      <c r="K4101">
        <v>-169137553</v>
      </c>
      <c r="L4101">
        <v>-107426145</v>
      </c>
      <c r="M4101">
        <v>-237970194</v>
      </c>
      <c r="N4101">
        <v>-214302821</v>
      </c>
      <c r="O4101">
        <v>-278484892</v>
      </c>
      <c r="P4101">
        <v>75</v>
      </c>
      <c r="Q4101" t="s">
        <v>8246</v>
      </c>
    </row>
    <row r="4102" spans="1:17" x14ac:dyDescent="0.3">
      <c r="A4102" t="s">
        <v>4446</v>
      </c>
      <c r="B4102" t="str">
        <f>"300302"</f>
        <v>300302</v>
      </c>
      <c r="C4102" t="s">
        <v>8247</v>
      </c>
      <c r="D4102" t="s">
        <v>212</v>
      </c>
      <c r="F4102">
        <v>86475585</v>
      </c>
      <c r="G4102">
        <v>-90048641</v>
      </c>
      <c r="H4102">
        <v>-22023082</v>
      </c>
      <c r="I4102">
        <v>-40799652</v>
      </c>
      <c r="J4102">
        <v>-192647737</v>
      </c>
      <c r="K4102">
        <v>-72640995</v>
      </c>
      <c r="L4102">
        <v>264977359</v>
      </c>
      <c r="M4102">
        <v>11935587</v>
      </c>
      <c r="N4102">
        <v>-67095110</v>
      </c>
      <c r="O4102">
        <v>-26790203</v>
      </c>
      <c r="P4102">
        <v>146</v>
      </c>
      <c r="Q4102" t="s">
        <v>8248</v>
      </c>
    </row>
    <row r="4103" spans="1:17" x14ac:dyDescent="0.3">
      <c r="A4103" t="s">
        <v>4446</v>
      </c>
      <c r="B4103" t="str">
        <f>"300303"</f>
        <v>300303</v>
      </c>
      <c r="C4103" t="s">
        <v>8249</v>
      </c>
      <c r="D4103" t="s">
        <v>150</v>
      </c>
      <c r="F4103">
        <v>347954694</v>
      </c>
      <c r="G4103">
        <v>139006081</v>
      </c>
      <c r="H4103">
        <v>323067648</v>
      </c>
      <c r="I4103">
        <v>-129243324</v>
      </c>
      <c r="J4103">
        <v>-181323197</v>
      </c>
      <c r="K4103">
        <v>-141339021</v>
      </c>
      <c r="L4103">
        <v>43331225</v>
      </c>
      <c r="M4103">
        <v>51779208</v>
      </c>
      <c r="N4103">
        <v>65285730</v>
      </c>
      <c r="O4103">
        <v>-19341110</v>
      </c>
      <c r="P4103">
        <v>256</v>
      </c>
      <c r="Q4103" t="s">
        <v>8250</v>
      </c>
    </row>
    <row r="4104" spans="1:17" x14ac:dyDescent="0.3">
      <c r="A4104" t="s">
        <v>4446</v>
      </c>
      <c r="B4104" t="str">
        <f>"300304"</f>
        <v>300304</v>
      </c>
      <c r="C4104" t="s">
        <v>8251</v>
      </c>
      <c r="D4104" t="s">
        <v>27</v>
      </c>
      <c r="F4104">
        <v>154137671</v>
      </c>
      <c r="G4104">
        <v>10030752</v>
      </c>
      <c r="H4104">
        <v>46321510</v>
      </c>
      <c r="I4104">
        <v>53320810</v>
      </c>
      <c r="J4104">
        <v>-4771325</v>
      </c>
      <c r="K4104">
        <v>-50496300</v>
      </c>
      <c r="L4104">
        <v>5181656</v>
      </c>
      <c r="M4104">
        <v>-32205498</v>
      </c>
      <c r="N4104">
        <v>-76558485</v>
      </c>
      <c r="O4104">
        <v>36815532</v>
      </c>
      <c r="P4104">
        <v>114</v>
      </c>
      <c r="Q4104" t="s">
        <v>8252</v>
      </c>
    </row>
    <row r="4105" spans="1:17" x14ac:dyDescent="0.3">
      <c r="A4105" t="s">
        <v>4446</v>
      </c>
      <c r="B4105" t="str">
        <f>"300305"</f>
        <v>300305</v>
      </c>
      <c r="C4105" t="s">
        <v>8253</v>
      </c>
      <c r="D4105" t="s">
        <v>133</v>
      </c>
      <c r="F4105">
        <v>-112185188</v>
      </c>
      <c r="G4105">
        <v>-8858130</v>
      </c>
      <c r="H4105">
        <v>-64716737</v>
      </c>
      <c r="I4105">
        <v>-58669287</v>
      </c>
      <c r="J4105">
        <v>28930248</v>
      </c>
      <c r="K4105">
        <v>74454949</v>
      </c>
      <c r="L4105">
        <v>59953219</v>
      </c>
      <c r="M4105">
        <v>-7134587</v>
      </c>
      <c r="N4105">
        <v>48006557</v>
      </c>
      <c r="O4105">
        <v>-100224638</v>
      </c>
      <c r="P4105">
        <v>148</v>
      </c>
      <c r="Q4105" t="s">
        <v>8254</v>
      </c>
    </row>
    <row r="4106" spans="1:17" x14ac:dyDescent="0.3">
      <c r="A4106" t="s">
        <v>4446</v>
      </c>
      <c r="B4106" t="str">
        <f>"300306"</f>
        <v>300306</v>
      </c>
      <c r="C4106" t="s">
        <v>8255</v>
      </c>
      <c r="D4106" t="s">
        <v>78</v>
      </c>
      <c r="F4106">
        <v>35421006</v>
      </c>
      <c r="G4106">
        <v>85598929</v>
      </c>
      <c r="H4106">
        <v>114310663</v>
      </c>
      <c r="I4106">
        <v>6909329</v>
      </c>
      <c r="J4106">
        <v>45697426</v>
      </c>
      <c r="K4106">
        <v>56097327</v>
      </c>
      <c r="L4106">
        <v>39427408</v>
      </c>
      <c r="M4106">
        <v>40328565</v>
      </c>
      <c r="N4106">
        <v>48711435</v>
      </c>
      <c r="O4106">
        <v>30859421</v>
      </c>
      <c r="P4106">
        <v>169</v>
      </c>
      <c r="Q4106" t="s">
        <v>8256</v>
      </c>
    </row>
    <row r="4107" spans="1:17" x14ac:dyDescent="0.3">
      <c r="A4107" t="s">
        <v>4446</v>
      </c>
      <c r="B4107" t="str">
        <f>"300307"</f>
        <v>300307</v>
      </c>
      <c r="C4107" t="s">
        <v>8257</v>
      </c>
      <c r="D4107" t="s">
        <v>78</v>
      </c>
      <c r="F4107">
        <v>-185547290</v>
      </c>
      <c r="G4107">
        <v>-125819821</v>
      </c>
      <c r="H4107">
        <v>-179487759</v>
      </c>
      <c r="I4107">
        <v>-156451433</v>
      </c>
      <c r="J4107">
        <v>207876093</v>
      </c>
      <c r="K4107">
        <v>-62913363</v>
      </c>
      <c r="L4107">
        <v>18248630</v>
      </c>
      <c r="M4107">
        <v>-413640883</v>
      </c>
      <c r="N4107">
        <v>102653399</v>
      </c>
      <c r="O4107">
        <v>488451701</v>
      </c>
      <c r="P4107">
        <v>2981</v>
      </c>
      <c r="Q4107" t="s">
        <v>8258</v>
      </c>
    </row>
    <row r="4108" spans="1:17" x14ac:dyDescent="0.3">
      <c r="A4108" t="s">
        <v>4446</v>
      </c>
      <c r="B4108" t="str">
        <f>"300308"</f>
        <v>300308</v>
      </c>
      <c r="C4108" t="s">
        <v>8259</v>
      </c>
      <c r="D4108" t="s">
        <v>100</v>
      </c>
      <c r="F4108">
        <v>-19019193</v>
      </c>
      <c r="G4108">
        <v>-926148444</v>
      </c>
      <c r="H4108">
        <v>-189027892</v>
      </c>
      <c r="I4108">
        <v>57403826</v>
      </c>
      <c r="J4108">
        <v>-377873984</v>
      </c>
      <c r="K4108">
        <v>20576962</v>
      </c>
      <c r="L4108">
        <v>-25857787</v>
      </c>
      <c r="M4108">
        <v>-52145831</v>
      </c>
      <c r="N4108">
        <v>-59522678</v>
      </c>
      <c r="O4108">
        <v>-40216572</v>
      </c>
      <c r="P4108">
        <v>815</v>
      </c>
      <c r="Q4108" t="s">
        <v>8260</v>
      </c>
    </row>
    <row r="4109" spans="1:17" x14ac:dyDescent="0.3">
      <c r="A4109" t="s">
        <v>4446</v>
      </c>
      <c r="B4109" t="str">
        <f>"300309"</f>
        <v>300309</v>
      </c>
      <c r="C4109" t="s">
        <v>8261</v>
      </c>
      <c r="D4109" t="s">
        <v>75</v>
      </c>
      <c r="F4109">
        <v>40650504</v>
      </c>
      <c r="G4109">
        <v>13509379</v>
      </c>
      <c r="H4109">
        <v>19236358</v>
      </c>
      <c r="I4109">
        <v>-597997785</v>
      </c>
      <c r="J4109">
        <v>-1010394925</v>
      </c>
      <c r="K4109">
        <v>-1006568925</v>
      </c>
      <c r="L4109">
        <v>-126754536</v>
      </c>
      <c r="M4109">
        <v>-182824808</v>
      </c>
      <c r="N4109">
        <v>-23336074</v>
      </c>
      <c r="O4109">
        <v>-93996394</v>
      </c>
      <c r="P4109">
        <v>108</v>
      </c>
      <c r="Q4109" t="s">
        <v>8262</v>
      </c>
    </row>
    <row r="4110" spans="1:17" x14ac:dyDescent="0.3">
      <c r="A4110" t="s">
        <v>4446</v>
      </c>
      <c r="B4110" t="str">
        <f>"300310"</f>
        <v>300310</v>
      </c>
      <c r="C4110" t="s">
        <v>8263</v>
      </c>
      <c r="D4110" t="s">
        <v>100</v>
      </c>
      <c r="F4110">
        <v>75018136</v>
      </c>
      <c r="G4110">
        <v>20350308</v>
      </c>
      <c r="H4110">
        <v>213525615</v>
      </c>
      <c r="I4110">
        <v>-164293744</v>
      </c>
      <c r="J4110">
        <v>2134084</v>
      </c>
      <c r="K4110">
        <v>33175498</v>
      </c>
      <c r="L4110">
        <v>87077186</v>
      </c>
      <c r="M4110">
        <v>18483638</v>
      </c>
      <c r="N4110">
        <v>-139403699</v>
      </c>
      <c r="O4110">
        <v>-50477109</v>
      </c>
      <c r="P4110">
        <v>257</v>
      </c>
      <c r="Q4110" t="s">
        <v>8264</v>
      </c>
    </row>
    <row r="4111" spans="1:17" x14ac:dyDescent="0.3">
      <c r="A4111" t="s">
        <v>4446</v>
      </c>
      <c r="B4111" t="str">
        <f>"300311"</f>
        <v>300311</v>
      </c>
      <c r="C4111" t="s">
        <v>8265</v>
      </c>
      <c r="D4111" t="s">
        <v>212</v>
      </c>
      <c r="F4111">
        <v>-83137613</v>
      </c>
      <c r="G4111">
        <v>129429213</v>
      </c>
      <c r="H4111">
        <v>-23092128</v>
      </c>
      <c r="I4111">
        <v>-79110149</v>
      </c>
      <c r="J4111">
        <v>176531781</v>
      </c>
      <c r="K4111">
        <v>12859922</v>
      </c>
      <c r="L4111">
        <v>63363782</v>
      </c>
      <c r="M4111">
        <v>-44764888</v>
      </c>
      <c r="N4111">
        <v>18571989</v>
      </c>
      <c r="O4111">
        <v>49225383</v>
      </c>
      <c r="P4111">
        <v>161</v>
      </c>
      <c r="Q4111" t="s">
        <v>8266</v>
      </c>
    </row>
    <row r="4112" spans="1:17" x14ac:dyDescent="0.3">
      <c r="A4112" t="s">
        <v>4446</v>
      </c>
      <c r="B4112" t="str">
        <f>"300312"</f>
        <v>300312</v>
      </c>
      <c r="C4112" t="s">
        <v>8267</v>
      </c>
      <c r="D4112" t="s">
        <v>100</v>
      </c>
      <c r="G4112">
        <v>-11468824</v>
      </c>
      <c r="H4112">
        <v>25844321</v>
      </c>
      <c r="I4112">
        <v>89262770</v>
      </c>
      <c r="J4112">
        <v>-40765567</v>
      </c>
      <c r="K4112">
        <v>-31422370</v>
      </c>
      <c r="L4112">
        <v>-140507985</v>
      </c>
      <c r="M4112">
        <v>-130388713</v>
      </c>
      <c r="N4112">
        <v>-128088331</v>
      </c>
      <c r="O4112">
        <v>-157079806</v>
      </c>
      <c r="P4112">
        <v>134</v>
      </c>
      <c r="Q4112" t="s">
        <v>8268</v>
      </c>
    </row>
    <row r="4113" spans="1:17" x14ac:dyDescent="0.3">
      <c r="A4113" t="s">
        <v>4446</v>
      </c>
      <c r="B4113" t="str">
        <f>"300313"</f>
        <v>300313</v>
      </c>
      <c r="C4113" t="s">
        <v>8269</v>
      </c>
      <c r="D4113" t="s">
        <v>205</v>
      </c>
      <c r="F4113">
        <v>128506058</v>
      </c>
      <c r="G4113">
        <v>18376005</v>
      </c>
      <c r="H4113">
        <v>-46993981</v>
      </c>
      <c r="I4113">
        <v>-21061035</v>
      </c>
      <c r="J4113">
        <v>69207734</v>
      </c>
      <c r="K4113">
        <v>48906666</v>
      </c>
      <c r="L4113">
        <v>-316942848</v>
      </c>
      <c r="M4113">
        <v>-88517356</v>
      </c>
      <c r="N4113">
        <v>-61961709</v>
      </c>
      <c r="O4113">
        <v>-20548674</v>
      </c>
      <c r="P4113">
        <v>85</v>
      </c>
      <c r="Q4113" t="s">
        <v>8270</v>
      </c>
    </row>
    <row r="4114" spans="1:17" x14ac:dyDescent="0.3">
      <c r="A4114" t="s">
        <v>4446</v>
      </c>
      <c r="B4114" t="str">
        <f>"300314"</f>
        <v>300314</v>
      </c>
      <c r="C4114" t="s">
        <v>8271</v>
      </c>
      <c r="D4114" t="s">
        <v>113</v>
      </c>
      <c r="F4114">
        <v>45229481</v>
      </c>
      <c r="G4114">
        <v>113630779</v>
      </c>
      <c r="H4114">
        <v>79591613</v>
      </c>
      <c r="I4114">
        <v>56021238</v>
      </c>
      <c r="J4114">
        <v>19465689</v>
      </c>
      <c r="K4114">
        <v>18223550</v>
      </c>
      <c r="L4114">
        <v>11987988</v>
      </c>
      <c r="M4114">
        <v>30324181</v>
      </c>
      <c r="N4114">
        <v>8874502</v>
      </c>
      <c r="O4114">
        <v>90232683</v>
      </c>
      <c r="P4114">
        <v>196</v>
      </c>
      <c r="Q4114" t="s">
        <v>8272</v>
      </c>
    </row>
    <row r="4115" spans="1:17" x14ac:dyDescent="0.3">
      <c r="A4115" t="s">
        <v>4446</v>
      </c>
      <c r="B4115" t="str">
        <f>"300315"</f>
        <v>300315</v>
      </c>
      <c r="C4115" t="s">
        <v>8273</v>
      </c>
      <c r="D4115" t="s">
        <v>89</v>
      </c>
      <c r="F4115">
        <v>117286768</v>
      </c>
      <c r="G4115">
        <v>443098185</v>
      </c>
      <c r="H4115">
        <v>461808685</v>
      </c>
      <c r="I4115">
        <v>789006451</v>
      </c>
      <c r="J4115">
        <v>487681314</v>
      </c>
      <c r="K4115">
        <v>687372773</v>
      </c>
      <c r="L4115">
        <v>300748939</v>
      </c>
      <c r="M4115">
        <v>229752463</v>
      </c>
      <c r="N4115">
        <v>59862257</v>
      </c>
      <c r="O4115">
        <v>27417055</v>
      </c>
      <c r="P4115">
        <v>456</v>
      </c>
      <c r="Q4115" t="s">
        <v>8274</v>
      </c>
    </row>
    <row r="4116" spans="1:17" x14ac:dyDescent="0.3">
      <c r="A4116" t="s">
        <v>4446</v>
      </c>
      <c r="B4116" t="str">
        <f>"300316"</f>
        <v>300316</v>
      </c>
      <c r="C4116" t="s">
        <v>8275</v>
      </c>
      <c r="D4116" t="s">
        <v>188</v>
      </c>
      <c r="F4116">
        <v>1056029011</v>
      </c>
      <c r="G4116">
        <v>775443524</v>
      </c>
      <c r="H4116">
        <v>700328228</v>
      </c>
      <c r="I4116">
        <v>-66989158</v>
      </c>
      <c r="J4116">
        <v>-309717482</v>
      </c>
      <c r="K4116">
        <v>-158018428</v>
      </c>
      <c r="L4116">
        <v>-340042855</v>
      </c>
      <c r="M4116">
        <v>-235329799</v>
      </c>
      <c r="N4116">
        <v>61803490</v>
      </c>
      <c r="O4116">
        <v>-40985094</v>
      </c>
      <c r="P4116">
        <v>1072</v>
      </c>
      <c r="Q4116" t="s">
        <v>8276</v>
      </c>
    </row>
    <row r="4117" spans="1:17" x14ac:dyDescent="0.3">
      <c r="A4117" t="s">
        <v>4446</v>
      </c>
      <c r="B4117" t="str">
        <f>"300317"</f>
        <v>300317</v>
      </c>
      <c r="C4117" t="s">
        <v>8277</v>
      </c>
      <c r="D4117" t="s">
        <v>41</v>
      </c>
      <c r="F4117">
        <v>31249563</v>
      </c>
      <c r="G4117">
        <v>223117498</v>
      </c>
      <c r="H4117">
        <v>416605406</v>
      </c>
      <c r="I4117">
        <v>92815609</v>
      </c>
      <c r="J4117">
        <v>-612680579</v>
      </c>
      <c r="K4117">
        <v>11798644</v>
      </c>
      <c r="L4117">
        <v>-278761362</v>
      </c>
      <c r="M4117">
        <v>-73270322</v>
      </c>
      <c r="N4117">
        <v>17875361</v>
      </c>
      <c r="O4117">
        <v>-94517033</v>
      </c>
      <c r="P4117">
        <v>142</v>
      </c>
      <c r="Q4117" t="s">
        <v>8278</v>
      </c>
    </row>
    <row r="4118" spans="1:17" x14ac:dyDescent="0.3">
      <c r="A4118" t="s">
        <v>4446</v>
      </c>
      <c r="B4118" t="str">
        <f>"300318"</f>
        <v>300318</v>
      </c>
      <c r="C4118" t="s">
        <v>8279</v>
      </c>
      <c r="D4118" t="s">
        <v>113</v>
      </c>
      <c r="F4118">
        <v>-365892101</v>
      </c>
      <c r="G4118">
        <v>-116168565</v>
      </c>
      <c r="H4118">
        <v>-144824917</v>
      </c>
      <c r="I4118">
        <v>-137208801</v>
      </c>
      <c r="J4118">
        <v>-134033147</v>
      </c>
      <c r="K4118">
        <v>40647025</v>
      </c>
      <c r="L4118">
        <v>53997000</v>
      </c>
      <c r="M4118">
        <v>-28334022</v>
      </c>
      <c r="N4118">
        <v>13722082</v>
      </c>
      <c r="O4118">
        <v>-17914413</v>
      </c>
      <c r="P4118">
        <v>144</v>
      </c>
      <c r="Q4118" t="s">
        <v>8280</v>
      </c>
    </row>
    <row r="4119" spans="1:17" x14ac:dyDescent="0.3">
      <c r="A4119" t="s">
        <v>4446</v>
      </c>
      <c r="B4119" t="str">
        <f>"300319"</f>
        <v>300319</v>
      </c>
      <c r="C4119" t="s">
        <v>8281</v>
      </c>
      <c r="D4119" t="s">
        <v>150</v>
      </c>
      <c r="F4119">
        <v>-36284345</v>
      </c>
      <c r="G4119">
        <v>65551571</v>
      </c>
      <c r="H4119">
        <v>-88709936</v>
      </c>
      <c r="I4119">
        <v>-142621512</v>
      </c>
      <c r="J4119">
        <v>-60338024</v>
      </c>
      <c r="K4119">
        <v>91558774</v>
      </c>
      <c r="L4119">
        <v>-14561907</v>
      </c>
      <c r="M4119">
        <v>-46312015</v>
      </c>
      <c r="N4119">
        <v>-72515126</v>
      </c>
      <c r="O4119">
        <v>-22075885</v>
      </c>
      <c r="P4119">
        <v>3162</v>
      </c>
      <c r="Q4119" t="s">
        <v>8282</v>
      </c>
    </row>
    <row r="4120" spans="1:17" x14ac:dyDescent="0.3">
      <c r="A4120" t="s">
        <v>4446</v>
      </c>
      <c r="B4120" t="str">
        <f>"300320"</f>
        <v>300320</v>
      </c>
      <c r="C4120" t="s">
        <v>8283</v>
      </c>
      <c r="D4120" t="s">
        <v>133</v>
      </c>
      <c r="F4120">
        <v>51995343</v>
      </c>
      <c r="G4120">
        <v>75823178</v>
      </c>
      <c r="H4120">
        <v>95105796</v>
      </c>
      <c r="I4120">
        <v>-94880387</v>
      </c>
      <c r="J4120">
        <v>-52060784</v>
      </c>
      <c r="K4120">
        <v>13720108</v>
      </c>
      <c r="L4120">
        <v>65438240</v>
      </c>
      <c r="M4120">
        <v>-75942310</v>
      </c>
      <c r="N4120">
        <v>-102549099</v>
      </c>
      <c r="O4120">
        <v>13082286</v>
      </c>
      <c r="P4120">
        <v>152</v>
      </c>
      <c r="Q4120" t="s">
        <v>8284</v>
      </c>
    </row>
    <row r="4121" spans="1:17" x14ac:dyDescent="0.3">
      <c r="A4121" t="s">
        <v>4446</v>
      </c>
      <c r="B4121" t="str">
        <f>"300321"</f>
        <v>300321</v>
      </c>
      <c r="C4121" t="s">
        <v>8285</v>
      </c>
      <c r="D4121" t="s">
        <v>133</v>
      </c>
      <c r="F4121">
        <v>37137121</v>
      </c>
      <c r="G4121">
        <v>-9391959</v>
      </c>
      <c r="H4121">
        <v>81088079</v>
      </c>
      <c r="I4121">
        <v>20542810</v>
      </c>
      <c r="J4121">
        <v>698720</v>
      </c>
      <c r="K4121">
        <v>74698948</v>
      </c>
      <c r="L4121">
        <v>65478392</v>
      </c>
      <c r="M4121">
        <v>66870177</v>
      </c>
      <c r="N4121">
        <v>-28971124</v>
      </c>
      <c r="O4121">
        <v>-29081732</v>
      </c>
      <c r="P4121">
        <v>45</v>
      </c>
      <c r="Q4121" t="s">
        <v>8286</v>
      </c>
    </row>
    <row r="4122" spans="1:17" x14ac:dyDescent="0.3">
      <c r="A4122" t="s">
        <v>4446</v>
      </c>
      <c r="B4122" t="str">
        <f>"300322"</f>
        <v>300322</v>
      </c>
      <c r="C4122" t="s">
        <v>8287</v>
      </c>
      <c r="D4122" t="s">
        <v>150</v>
      </c>
      <c r="F4122">
        <v>-289426818</v>
      </c>
      <c r="G4122">
        <v>-138572247</v>
      </c>
      <c r="H4122">
        <v>109985063</v>
      </c>
      <c r="I4122">
        <v>326170806</v>
      </c>
      <c r="J4122">
        <v>-90558617</v>
      </c>
      <c r="K4122">
        <v>-193934120</v>
      </c>
      <c r="L4122">
        <v>-159777823</v>
      </c>
      <c r="M4122">
        <v>-154069994</v>
      </c>
      <c r="N4122">
        <v>-107687752</v>
      </c>
      <c r="O4122">
        <v>-82797657</v>
      </c>
      <c r="P4122">
        <v>387</v>
      </c>
      <c r="Q4122" t="s">
        <v>8288</v>
      </c>
    </row>
    <row r="4123" spans="1:17" x14ac:dyDescent="0.3">
      <c r="A4123" t="s">
        <v>4446</v>
      </c>
      <c r="B4123" t="str">
        <f>"300323"</f>
        <v>300323</v>
      </c>
      <c r="C4123" t="s">
        <v>8289</v>
      </c>
      <c r="D4123" t="s">
        <v>150</v>
      </c>
      <c r="F4123">
        <v>-913942629</v>
      </c>
      <c r="G4123">
        <v>-480461637</v>
      </c>
      <c r="H4123">
        <v>183222754</v>
      </c>
      <c r="I4123">
        <v>-27388213</v>
      </c>
      <c r="J4123">
        <v>-1557505362</v>
      </c>
      <c r="K4123">
        <v>-129717460</v>
      </c>
      <c r="L4123">
        <v>-301738559</v>
      </c>
      <c r="M4123">
        <v>-789457056</v>
      </c>
      <c r="N4123">
        <v>-711645296</v>
      </c>
      <c r="O4123">
        <v>-133852405</v>
      </c>
      <c r="P4123">
        <v>293</v>
      </c>
      <c r="Q4123" t="s">
        <v>8290</v>
      </c>
    </row>
    <row r="4124" spans="1:17" x14ac:dyDescent="0.3">
      <c r="A4124" t="s">
        <v>4446</v>
      </c>
      <c r="B4124" t="str">
        <f>"300324"</f>
        <v>300324</v>
      </c>
      <c r="C4124" t="s">
        <v>8291</v>
      </c>
      <c r="D4124" t="s">
        <v>212</v>
      </c>
      <c r="F4124">
        <v>83593637</v>
      </c>
      <c r="G4124">
        <v>119998689</v>
      </c>
      <c r="H4124">
        <v>626651976</v>
      </c>
      <c r="I4124">
        <v>-148708432</v>
      </c>
      <c r="J4124">
        <v>574029277</v>
      </c>
      <c r="K4124">
        <v>569135644</v>
      </c>
      <c r="L4124">
        <v>326258015</v>
      </c>
      <c r="M4124">
        <v>-8497770</v>
      </c>
      <c r="N4124">
        <v>-41811014</v>
      </c>
      <c r="O4124">
        <v>1252632</v>
      </c>
      <c r="P4124">
        <v>235</v>
      </c>
      <c r="Q4124" t="s">
        <v>8292</v>
      </c>
    </row>
    <row r="4125" spans="1:17" x14ac:dyDescent="0.3">
      <c r="A4125" t="s">
        <v>4446</v>
      </c>
      <c r="B4125" t="str">
        <f>"300325"</f>
        <v>300325</v>
      </c>
      <c r="C4125" t="s">
        <v>8293</v>
      </c>
      <c r="D4125" t="s">
        <v>133</v>
      </c>
      <c r="F4125">
        <v>55352074</v>
      </c>
      <c r="G4125">
        <v>22361256</v>
      </c>
      <c r="H4125">
        <v>-632018118</v>
      </c>
      <c r="I4125">
        <v>-8952277</v>
      </c>
      <c r="J4125">
        <v>-310472092</v>
      </c>
      <c r="K4125">
        <v>-404428058</v>
      </c>
      <c r="L4125">
        <v>-54952886</v>
      </c>
      <c r="M4125">
        <v>-147481821</v>
      </c>
      <c r="N4125">
        <v>-22121763</v>
      </c>
      <c r="O4125">
        <v>7248604</v>
      </c>
      <c r="P4125">
        <v>81</v>
      </c>
      <c r="Q4125" t="s">
        <v>8294</v>
      </c>
    </row>
    <row r="4126" spans="1:17" x14ac:dyDescent="0.3">
      <c r="A4126" t="s">
        <v>4446</v>
      </c>
      <c r="B4126" t="str">
        <f>"300326"</f>
        <v>300326</v>
      </c>
      <c r="C4126" t="s">
        <v>8295</v>
      </c>
      <c r="D4126" t="s">
        <v>113</v>
      </c>
      <c r="F4126">
        <v>333813754</v>
      </c>
      <c r="G4126">
        <v>255967782</v>
      </c>
      <c r="H4126">
        <v>215348411</v>
      </c>
      <c r="I4126">
        <v>57918001</v>
      </c>
      <c r="J4126">
        <v>108682267</v>
      </c>
      <c r="K4126">
        <v>91508115</v>
      </c>
      <c r="L4126">
        <v>11404905</v>
      </c>
      <c r="M4126">
        <v>7611119</v>
      </c>
      <c r="N4126">
        <v>-5293518</v>
      </c>
      <c r="O4126">
        <v>42874578</v>
      </c>
      <c r="P4126">
        <v>853</v>
      </c>
      <c r="Q4126" t="s">
        <v>8296</v>
      </c>
    </row>
    <row r="4127" spans="1:17" x14ac:dyDescent="0.3">
      <c r="A4127" t="s">
        <v>4446</v>
      </c>
      <c r="B4127" t="str">
        <f>"300327"</f>
        <v>300327</v>
      </c>
      <c r="C4127" t="s">
        <v>8297</v>
      </c>
      <c r="D4127" t="s">
        <v>150</v>
      </c>
      <c r="F4127">
        <v>-124935140</v>
      </c>
      <c r="G4127">
        <v>107902897</v>
      </c>
      <c r="H4127">
        <v>187851607</v>
      </c>
      <c r="I4127">
        <v>90892706</v>
      </c>
      <c r="J4127">
        <v>131825388</v>
      </c>
      <c r="K4127">
        <v>81225988</v>
      </c>
      <c r="L4127">
        <v>34704724</v>
      </c>
      <c r="M4127">
        <v>37177473</v>
      </c>
      <c r="N4127">
        <v>7433106</v>
      </c>
      <c r="O4127">
        <v>7812002</v>
      </c>
      <c r="P4127">
        <v>4066</v>
      </c>
      <c r="Q4127" t="s">
        <v>8298</v>
      </c>
    </row>
    <row r="4128" spans="1:17" x14ac:dyDescent="0.3">
      <c r="A4128" t="s">
        <v>4446</v>
      </c>
      <c r="B4128" t="str">
        <f>"300328"</f>
        <v>300328</v>
      </c>
      <c r="C4128" t="s">
        <v>8299</v>
      </c>
      <c r="D4128" t="s">
        <v>234</v>
      </c>
      <c r="F4128">
        <v>-293759793</v>
      </c>
      <c r="G4128">
        <v>88448617</v>
      </c>
      <c r="H4128">
        <v>-75864087</v>
      </c>
      <c r="I4128">
        <v>-188125922</v>
      </c>
      <c r="J4128">
        <v>18875872</v>
      </c>
      <c r="K4128">
        <v>-38239409</v>
      </c>
      <c r="L4128">
        <v>52637083</v>
      </c>
      <c r="M4128">
        <v>-43866881</v>
      </c>
      <c r="N4128">
        <v>-120558497</v>
      </c>
      <c r="O4128">
        <v>-52406416</v>
      </c>
      <c r="P4128">
        <v>232</v>
      </c>
      <c r="Q4128" t="s">
        <v>8300</v>
      </c>
    </row>
    <row r="4129" spans="1:17" x14ac:dyDescent="0.3">
      <c r="A4129" t="s">
        <v>4446</v>
      </c>
      <c r="B4129" t="str">
        <f>"300329"</f>
        <v>300329</v>
      </c>
      <c r="C4129" t="s">
        <v>8301</v>
      </c>
      <c r="D4129" t="s">
        <v>161</v>
      </c>
      <c r="F4129">
        <v>-139300020</v>
      </c>
      <c r="G4129">
        <v>-70299456</v>
      </c>
      <c r="H4129">
        <v>-106125641</v>
      </c>
      <c r="I4129">
        <v>15129519</v>
      </c>
      <c r="J4129">
        <v>10999554</v>
      </c>
      <c r="K4129">
        <v>24583292</v>
      </c>
      <c r="L4129">
        <v>19012812</v>
      </c>
      <c r="M4129">
        <v>-20054478</v>
      </c>
      <c r="N4129">
        <v>-22337091</v>
      </c>
      <c r="O4129">
        <v>-61436836</v>
      </c>
      <c r="P4129">
        <v>96</v>
      </c>
      <c r="Q4129" t="s">
        <v>8302</v>
      </c>
    </row>
    <row r="4130" spans="1:17" x14ac:dyDescent="0.3">
      <c r="A4130" t="s">
        <v>4446</v>
      </c>
      <c r="B4130" t="str">
        <f>"300330"</f>
        <v>300330</v>
      </c>
      <c r="C4130" t="s">
        <v>8303</v>
      </c>
      <c r="D4130" t="s">
        <v>212</v>
      </c>
      <c r="F4130">
        <v>33448859</v>
      </c>
      <c r="G4130">
        <v>-59969508</v>
      </c>
      <c r="H4130">
        <v>75089784</v>
      </c>
      <c r="I4130">
        <v>-36879989</v>
      </c>
      <c r="J4130">
        <v>-15886339</v>
      </c>
      <c r="K4130">
        <v>9810300</v>
      </c>
      <c r="L4130">
        <v>-13507247</v>
      </c>
      <c r="M4130">
        <v>-96328534</v>
      </c>
      <c r="N4130">
        <v>-98465052</v>
      </c>
      <c r="O4130">
        <v>-71154324</v>
      </c>
      <c r="P4130">
        <v>82</v>
      </c>
      <c r="Q4130" t="s">
        <v>8304</v>
      </c>
    </row>
    <row r="4131" spans="1:17" x14ac:dyDescent="0.3">
      <c r="A4131" t="s">
        <v>4446</v>
      </c>
      <c r="B4131" t="str">
        <f>"300331"</f>
        <v>300331</v>
      </c>
      <c r="C4131" t="s">
        <v>8305</v>
      </c>
      <c r="D4131" t="s">
        <v>150</v>
      </c>
      <c r="F4131">
        <v>-256391785</v>
      </c>
      <c r="G4131">
        <v>-270882191</v>
      </c>
      <c r="H4131">
        <v>-202603389</v>
      </c>
      <c r="I4131">
        <v>-78748333</v>
      </c>
      <c r="J4131">
        <v>-42115359</v>
      </c>
      <c r="K4131">
        <v>-20724890</v>
      </c>
      <c r="L4131">
        <v>-9178467</v>
      </c>
      <c r="M4131">
        <v>-35418010</v>
      </c>
      <c r="N4131">
        <v>-75086156</v>
      </c>
      <c r="O4131">
        <v>-56790422</v>
      </c>
      <c r="P4131">
        <v>164</v>
      </c>
      <c r="Q4131" t="s">
        <v>8306</v>
      </c>
    </row>
    <row r="4132" spans="1:17" x14ac:dyDescent="0.3">
      <c r="A4132" t="s">
        <v>4446</v>
      </c>
      <c r="B4132" t="str">
        <f>"300332"</f>
        <v>300332</v>
      </c>
      <c r="C4132" t="s">
        <v>8307</v>
      </c>
      <c r="D4132" t="s">
        <v>41</v>
      </c>
      <c r="F4132">
        <v>511441618</v>
      </c>
      <c r="G4132">
        <v>1096064883</v>
      </c>
      <c r="H4132">
        <v>318449149</v>
      </c>
      <c r="I4132">
        <v>-15911720</v>
      </c>
      <c r="J4132">
        <v>-437044745</v>
      </c>
      <c r="K4132">
        <v>-160794603</v>
      </c>
      <c r="L4132">
        <v>-108981410</v>
      </c>
      <c r="M4132">
        <v>-22171096</v>
      </c>
      <c r="N4132">
        <v>-85048389</v>
      </c>
      <c r="O4132">
        <v>-88070547</v>
      </c>
      <c r="P4132">
        <v>117</v>
      </c>
      <c r="Q4132" t="s">
        <v>8308</v>
      </c>
    </row>
    <row r="4133" spans="1:17" x14ac:dyDescent="0.3">
      <c r="A4133" t="s">
        <v>4446</v>
      </c>
      <c r="B4133" t="str">
        <f>"300333"</f>
        <v>300333</v>
      </c>
      <c r="C4133" t="s">
        <v>8309</v>
      </c>
      <c r="D4133" t="s">
        <v>212</v>
      </c>
      <c r="F4133">
        <v>-30815419</v>
      </c>
      <c r="G4133">
        <v>14621452</v>
      </c>
      <c r="H4133">
        <v>-13343424</v>
      </c>
      <c r="I4133">
        <v>22914614</v>
      </c>
      <c r="J4133">
        <v>663998</v>
      </c>
      <c r="K4133">
        <v>-6810353</v>
      </c>
      <c r="L4133">
        <v>-92622954</v>
      </c>
      <c r="M4133">
        <v>16291572</v>
      </c>
      <c r="N4133">
        <v>-22411881</v>
      </c>
      <c r="O4133">
        <v>97605490</v>
      </c>
      <c r="P4133">
        <v>94</v>
      </c>
      <c r="Q4133" t="s">
        <v>8310</v>
      </c>
    </row>
    <row r="4134" spans="1:17" x14ac:dyDescent="0.3">
      <c r="A4134" t="s">
        <v>4446</v>
      </c>
      <c r="B4134" t="str">
        <f>"300334"</f>
        <v>300334</v>
      </c>
      <c r="C4134" t="s">
        <v>8311</v>
      </c>
      <c r="D4134" t="s">
        <v>33</v>
      </c>
      <c r="F4134">
        <v>48593649</v>
      </c>
      <c r="G4134">
        <v>127635667</v>
      </c>
      <c r="H4134">
        <v>7958214</v>
      </c>
      <c r="I4134">
        <v>-90812262</v>
      </c>
      <c r="J4134">
        <v>-152343689</v>
      </c>
      <c r="K4134">
        <v>-234324184</v>
      </c>
      <c r="L4134">
        <v>-324507634</v>
      </c>
      <c r="M4134">
        <v>-198575951</v>
      </c>
      <c r="N4134">
        <v>-137873857</v>
      </c>
      <c r="O4134">
        <v>-48181819</v>
      </c>
      <c r="P4134">
        <v>80</v>
      </c>
      <c r="Q4134" t="s">
        <v>8312</v>
      </c>
    </row>
    <row r="4135" spans="1:17" x14ac:dyDescent="0.3">
      <c r="A4135" t="s">
        <v>4446</v>
      </c>
      <c r="B4135" t="str">
        <f>"300335"</f>
        <v>300335</v>
      </c>
      <c r="C4135" t="s">
        <v>8313</v>
      </c>
      <c r="D4135" t="s">
        <v>41</v>
      </c>
      <c r="F4135">
        <v>-62525993</v>
      </c>
      <c r="G4135">
        <v>241482007</v>
      </c>
      <c r="H4135">
        <v>327947398</v>
      </c>
      <c r="I4135">
        <v>31124125</v>
      </c>
      <c r="J4135">
        <v>-74006924</v>
      </c>
      <c r="K4135">
        <v>-24968665</v>
      </c>
      <c r="L4135">
        <v>-34859549</v>
      </c>
      <c r="M4135">
        <v>-71222972</v>
      </c>
      <c r="N4135">
        <v>1250173</v>
      </c>
      <c r="O4135">
        <v>-35411558</v>
      </c>
      <c r="P4135">
        <v>231</v>
      </c>
      <c r="Q4135" t="s">
        <v>8314</v>
      </c>
    </row>
    <row r="4136" spans="1:17" x14ac:dyDescent="0.3">
      <c r="A4136" t="s">
        <v>4446</v>
      </c>
      <c r="B4136" t="str">
        <f>"300336"</f>
        <v>300336</v>
      </c>
      <c r="C4136" t="s">
        <v>8315</v>
      </c>
      <c r="D4136" t="s">
        <v>89</v>
      </c>
      <c r="F4136">
        <v>170908055</v>
      </c>
      <c r="G4136">
        <v>90434156</v>
      </c>
      <c r="H4136">
        <v>55196186</v>
      </c>
      <c r="I4136">
        <v>-172777687</v>
      </c>
      <c r="J4136">
        <v>285700996</v>
      </c>
      <c r="K4136">
        <v>414170485</v>
      </c>
      <c r="L4136">
        <v>-85345554</v>
      </c>
      <c r="M4136">
        <v>-139805140</v>
      </c>
      <c r="N4136">
        <v>-81120947</v>
      </c>
      <c r="O4136">
        <v>-69317861</v>
      </c>
      <c r="P4136">
        <v>98</v>
      </c>
      <c r="Q4136" t="s">
        <v>8316</v>
      </c>
    </row>
    <row r="4137" spans="1:17" x14ac:dyDescent="0.3">
      <c r="A4137" t="s">
        <v>4446</v>
      </c>
      <c r="B4137" t="str">
        <f>"300337"</f>
        <v>300337</v>
      </c>
      <c r="C4137" t="s">
        <v>8317</v>
      </c>
      <c r="D4137" t="s">
        <v>234</v>
      </c>
      <c r="F4137">
        <v>41128180</v>
      </c>
      <c r="G4137">
        <v>76972325</v>
      </c>
      <c r="H4137">
        <v>-216345994</v>
      </c>
      <c r="I4137">
        <v>93974966</v>
      </c>
      <c r="J4137">
        <v>-91606290</v>
      </c>
      <c r="K4137">
        <v>-264588444</v>
      </c>
      <c r="L4137">
        <v>-373918590</v>
      </c>
      <c r="M4137">
        <v>-321210259</v>
      </c>
      <c r="N4137">
        <v>-222681965</v>
      </c>
      <c r="O4137">
        <v>-137809696</v>
      </c>
      <c r="P4137">
        <v>142</v>
      </c>
      <c r="Q4137" t="s">
        <v>8318</v>
      </c>
    </row>
    <row r="4138" spans="1:17" x14ac:dyDescent="0.3">
      <c r="A4138" t="s">
        <v>4446</v>
      </c>
      <c r="B4138" t="str">
        <f>"300338"</f>
        <v>300338</v>
      </c>
      <c r="C4138" t="s">
        <v>8319</v>
      </c>
      <c r="D4138" t="s">
        <v>110</v>
      </c>
      <c r="F4138">
        <v>50314304</v>
      </c>
      <c r="G4138">
        <v>-123462488</v>
      </c>
      <c r="H4138">
        <v>48658840</v>
      </c>
      <c r="I4138">
        <v>152840551</v>
      </c>
      <c r="J4138">
        <v>230187350</v>
      </c>
      <c r="K4138">
        <v>-352332</v>
      </c>
      <c r="L4138">
        <v>-67666508</v>
      </c>
      <c r="M4138">
        <v>-15584760</v>
      </c>
      <c r="N4138">
        <v>-45428647</v>
      </c>
      <c r="O4138">
        <v>-37839293</v>
      </c>
      <c r="P4138">
        <v>118</v>
      </c>
      <c r="Q4138" t="s">
        <v>8320</v>
      </c>
    </row>
    <row r="4139" spans="1:17" x14ac:dyDescent="0.3">
      <c r="A4139" t="s">
        <v>4446</v>
      </c>
      <c r="B4139" t="str">
        <f>"300339"</f>
        <v>300339</v>
      </c>
      <c r="C4139" t="s">
        <v>8321</v>
      </c>
      <c r="D4139" t="s">
        <v>212</v>
      </c>
      <c r="F4139">
        <v>22701476</v>
      </c>
      <c r="G4139">
        <v>59720669</v>
      </c>
      <c r="H4139">
        <v>15234603</v>
      </c>
      <c r="I4139">
        <v>181455863</v>
      </c>
      <c r="J4139">
        <v>30334180</v>
      </c>
      <c r="K4139">
        <v>214623666</v>
      </c>
      <c r="L4139">
        <v>-24013617</v>
      </c>
      <c r="M4139">
        <v>-240395925</v>
      </c>
      <c r="N4139">
        <v>-162723404</v>
      </c>
      <c r="O4139">
        <v>37825847</v>
      </c>
      <c r="P4139">
        <v>332</v>
      </c>
      <c r="Q4139" t="s">
        <v>8322</v>
      </c>
    </row>
    <row r="4140" spans="1:17" x14ac:dyDescent="0.3">
      <c r="A4140" t="s">
        <v>4446</v>
      </c>
      <c r="B4140" t="str">
        <f>"300340"</f>
        <v>300340</v>
      </c>
      <c r="C4140" t="s">
        <v>8323</v>
      </c>
      <c r="D4140" t="s">
        <v>188</v>
      </c>
      <c r="F4140">
        <v>49886534</v>
      </c>
      <c r="G4140">
        <v>-176535435</v>
      </c>
      <c r="H4140">
        <v>253195735</v>
      </c>
      <c r="I4140">
        <v>-144845848</v>
      </c>
      <c r="J4140">
        <v>-262435429</v>
      </c>
      <c r="K4140">
        <v>-28046200</v>
      </c>
      <c r="L4140">
        <v>-83726842</v>
      </c>
      <c r="M4140">
        <v>-35336578</v>
      </c>
      <c r="N4140">
        <v>-51952434</v>
      </c>
      <c r="O4140">
        <v>-66816446</v>
      </c>
      <c r="P4140">
        <v>96</v>
      </c>
      <c r="Q4140" t="s">
        <v>8324</v>
      </c>
    </row>
    <row r="4141" spans="1:17" x14ac:dyDescent="0.3">
      <c r="A4141" t="s">
        <v>4446</v>
      </c>
      <c r="B4141" t="str">
        <f>"300341"</f>
        <v>300341</v>
      </c>
      <c r="C4141" t="s">
        <v>8325</v>
      </c>
      <c r="D4141" t="s">
        <v>188</v>
      </c>
      <c r="F4141">
        <v>183004503</v>
      </c>
      <c r="G4141">
        <v>104354481</v>
      </c>
      <c r="H4141">
        <v>71189668</v>
      </c>
      <c r="I4141">
        <v>85735279</v>
      </c>
      <c r="J4141">
        <v>123335362</v>
      </c>
      <c r="K4141">
        <v>90214814</v>
      </c>
      <c r="L4141">
        <v>87009109</v>
      </c>
      <c r="M4141">
        <v>23030462</v>
      </c>
      <c r="N4141">
        <v>11676892</v>
      </c>
      <c r="O4141">
        <v>22900463</v>
      </c>
      <c r="P4141">
        <v>142</v>
      </c>
      <c r="Q4141" t="s">
        <v>8326</v>
      </c>
    </row>
    <row r="4142" spans="1:17" x14ac:dyDescent="0.3">
      <c r="A4142" t="s">
        <v>4446</v>
      </c>
      <c r="B4142" t="str">
        <f>"300342"</f>
        <v>300342</v>
      </c>
      <c r="C4142" t="s">
        <v>8327</v>
      </c>
      <c r="D4142" t="s">
        <v>126</v>
      </c>
      <c r="F4142">
        <v>-17095998</v>
      </c>
      <c r="G4142">
        <v>136527076</v>
      </c>
      <c r="H4142">
        <v>-14564416</v>
      </c>
      <c r="I4142">
        <v>138840437</v>
      </c>
      <c r="J4142">
        <v>-23488458</v>
      </c>
      <c r="K4142">
        <v>78109552</v>
      </c>
      <c r="L4142">
        <v>40621264</v>
      </c>
      <c r="M4142">
        <v>44753038</v>
      </c>
      <c r="N4142">
        <v>-3829186</v>
      </c>
      <c r="O4142">
        <v>56833801</v>
      </c>
      <c r="P4142">
        <v>181</v>
      </c>
      <c r="Q4142" t="s">
        <v>8328</v>
      </c>
    </row>
    <row r="4143" spans="1:17" x14ac:dyDescent="0.3">
      <c r="A4143" t="s">
        <v>4446</v>
      </c>
      <c r="B4143" t="str">
        <f>"300343"</f>
        <v>300343</v>
      </c>
      <c r="C4143" t="s">
        <v>8329</v>
      </c>
      <c r="D4143" t="s">
        <v>89</v>
      </c>
      <c r="F4143">
        <v>339633861</v>
      </c>
      <c r="G4143">
        <v>21479978</v>
      </c>
      <c r="H4143">
        <v>80039242</v>
      </c>
      <c r="I4143">
        <v>-87128102</v>
      </c>
      <c r="J4143">
        <v>448226905</v>
      </c>
      <c r="K4143">
        <v>-61020846</v>
      </c>
      <c r="L4143">
        <v>19254921</v>
      </c>
      <c r="M4143">
        <v>-274171056</v>
      </c>
      <c r="N4143">
        <v>-92562385</v>
      </c>
      <c r="O4143">
        <v>-117660877</v>
      </c>
      <c r="P4143">
        <v>155</v>
      </c>
      <c r="Q4143" t="s">
        <v>8330</v>
      </c>
    </row>
    <row r="4144" spans="1:17" x14ac:dyDescent="0.3">
      <c r="A4144" t="s">
        <v>4446</v>
      </c>
      <c r="B4144" t="str">
        <f>"300344"</f>
        <v>300344</v>
      </c>
      <c r="C4144" t="s">
        <v>8331</v>
      </c>
      <c r="D4144" t="s">
        <v>212</v>
      </c>
      <c r="F4144">
        <v>-333062083</v>
      </c>
      <c r="G4144">
        <v>-52537274</v>
      </c>
      <c r="H4144">
        <v>50402033</v>
      </c>
      <c r="I4144">
        <v>74577273</v>
      </c>
      <c r="J4144">
        <v>17016376</v>
      </c>
      <c r="K4144">
        <v>-61742664</v>
      </c>
      <c r="L4144">
        <v>-14532347</v>
      </c>
      <c r="M4144">
        <v>-87426301</v>
      </c>
      <c r="N4144">
        <v>-119387577</v>
      </c>
      <c r="O4144">
        <v>-175512576</v>
      </c>
      <c r="P4144">
        <v>64</v>
      </c>
      <c r="Q4144" t="s">
        <v>8332</v>
      </c>
    </row>
    <row r="4145" spans="1:17" x14ac:dyDescent="0.3">
      <c r="A4145" t="s">
        <v>4446</v>
      </c>
      <c r="B4145" t="str">
        <f>"300345"</f>
        <v>300345</v>
      </c>
      <c r="C4145" t="s">
        <v>8333</v>
      </c>
      <c r="D4145" t="s">
        <v>78</v>
      </c>
      <c r="F4145">
        <v>18187490</v>
      </c>
      <c r="G4145">
        <v>30124574</v>
      </c>
      <c r="H4145">
        <v>50170313</v>
      </c>
      <c r="I4145">
        <v>26403035</v>
      </c>
      <c r="J4145">
        <v>-23909682</v>
      </c>
      <c r="K4145">
        <v>-125535681</v>
      </c>
      <c r="L4145">
        <v>-40907224</v>
      </c>
      <c r="M4145">
        <v>39675308</v>
      </c>
      <c r="N4145">
        <v>-73263618</v>
      </c>
      <c r="O4145">
        <v>-89323804</v>
      </c>
      <c r="P4145">
        <v>53</v>
      </c>
      <c r="Q4145" t="s">
        <v>8334</v>
      </c>
    </row>
    <row r="4146" spans="1:17" x14ac:dyDescent="0.3">
      <c r="A4146" t="s">
        <v>4446</v>
      </c>
      <c r="B4146" t="str">
        <f>"300346"</f>
        <v>300346</v>
      </c>
      <c r="C4146" t="s">
        <v>8335</v>
      </c>
      <c r="D4146" t="s">
        <v>150</v>
      </c>
      <c r="F4146">
        <v>-399644090</v>
      </c>
      <c r="G4146">
        <v>-396857062</v>
      </c>
      <c r="H4146">
        <v>4608994</v>
      </c>
      <c r="I4146">
        <v>82405536</v>
      </c>
      <c r="J4146">
        <v>-4997445</v>
      </c>
      <c r="K4146">
        <v>-2556008</v>
      </c>
      <c r="L4146">
        <v>-12236654</v>
      </c>
      <c r="M4146">
        <v>-11653788</v>
      </c>
      <c r="N4146">
        <v>-27151002</v>
      </c>
      <c r="O4146">
        <v>-22083113</v>
      </c>
      <c r="P4146">
        <v>448</v>
      </c>
      <c r="Q4146" t="s">
        <v>8336</v>
      </c>
    </row>
    <row r="4147" spans="1:17" x14ac:dyDescent="0.3">
      <c r="A4147" t="s">
        <v>4446</v>
      </c>
      <c r="B4147" t="str">
        <f>"300347"</f>
        <v>300347</v>
      </c>
      <c r="C4147" t="s">
        <v>8337</v>
      </c>
      <c r="D4147" t="s">
        <v>113</v>
      </c>
      <c r="F4147">
        <v>1056609219</v>
      </c>
      <c r="G4147">
        <v>842872047</v>
      </c>
      <c r="H4147">
        <v>428010641</v>
      </c>
      <c r="I4147">
        <v>431016718</v>
      </c>
      <c r="J4147">
        <v>276854792</v>
      </c>
      <c r="K4147">
        <v>143274833</v>
      </c>
      <c r="L4147">
        <v>101379954</v>
      </c>
      <c r="M4147">
        <v>5562611</v>
      </c>
      <c r="N4147">
        <v>39660021</v>
      </c>
      <c r="O4147">
        <v>-6706610</v>
      </c>
      <c r="P4147">
        <v>3110</v>
      </c>
      <c r="Q4147" t="s">
        <v>8338</v>
      </c>
    </row>
    <row r="4148" spans="1:17" x14ac:dyDescent="0.3">
      <c r="A4148" t="s">
        <v>4446</v>
      </c>
      <c r="B4148" t="str">
        <f>"300348"</f>
        <v>300348</v>
      </c>
      <c r="C4148" t="s">
        <v>8339</v>
      </c>
      <c r="D4148" t="s">
        <v>212</v>
      </c>
      <c r="F4148">
        <v>-22782587</v>
      </c>
      <c r="G4148">
        <v>84652531</v>
      </c>
      <c r="H4148">
        <v>36693390</v>
      </c>
      <c r="I4148">
        <v>-38340434</v>
      </c>
      <c r="J4148">
        <v>-90192254</v>
      </c>
      <c r="K4148">
        <v>-65050199</v>
      </c>
      <c r="L4148">
        <v>-207858196</v>
      </c>
      <c r="M4148">
        <v>-1698496</v>
      </c>
      <c r="N4148">
        <v>-14959345</v>
      </c>
      <c r="O4148">
        <v>569139</v>
      </c>
      <c r="P4148">
        <v>365</v>
      </c>
      <c r="Q4148" t="s">
        <v>8340</v>
      </c>
    </row>
    <row r="4149" spans="1:17" x14ac:dyDescent="0.3">
      <c r="A4149" t="s">
        <v>4446</v>
      </c>
      <c r="B4149" t="str">
        <f>"300349"</f>
        <v>300349</v>
      </c>
      <c r="C4149" t="s">
        <v>8341</v>
      </c>
      <c r="D4149" t="s">
        <v>78</v>
      </c>
      <c r="F4149">
        <v>-119927109</v>
      </c>
      <c r="G4149">
        <v>319267097</v>
      </c>
      <c r="H4149">
        <v>294826961</v>
      </c>
      <c r="I4149">
        <v>324526494</v>
      </c>
      <c r="J4149">
        <v>379675444</v>
      </c>
      <c r="K4149">
        <v>219202258</v>
      </c>
      <c r="L4149">
        <v>59222479</v>
      </c>
      <c r="M4149">
        <v>33841330</v>
      </c>
      <c r="N4149">
        <v>37819931</v>
      </c>
      <c r="O4149">
        <v>11990797</v>
      </c>
      <c r="P4149">
        <v>395</v>
      </c>
      <c r="Q4149" t="s">
        <v>8342</v>
      </c>
    </row>
    <row r="4150" spans="1:17" x14ac:dyDescent="0.3">
      <c r="A4150" t="s">
        <v>4446</v>
      </c>
      <c r="B4150" t="str">
        <f>"300350"</f>
        <v>300350</v>
      </c>
      <c r="C4150" t="s">
        <v>8343</v>
      </c>
      <c r="D4150" t="s">
        <v>22</v>
      </c>
      <c r="F4150">
        <v>87734580</v>
      </c>
      <c r="G4150">
        <v>26835048</v>
      </c>
      <c r="H4150">
        <v>98660704</v>
      </c>
      <c r="I4150">
        <v>72140901</v>
      </c>
      <c r="J4150">
        <v>-82842409</v>
      </c>
      <c r="K4150">
        <v>244790699</v>
      </c>
      <c r="L4150">
        <v>111338356</v>
      </c>
      <c r="M4150">
        <v>-53693439</v>
      </c>
      <c r="N4150">
        <v>-80195214</v>
      </c>
      <c r="O4150">
        <v>-31770831</v>
      </c>
      <c r="P4150">
        <v>106</v>
      </c>
      <c r="Q4150" t="s">
        <v>8344</v>
      </c>
    </row>
    <row r="4151" spans="1:17" x14ac:dyDescent="0.3">
      <c r="A4151" t="s">
        <v>4446</v>
      </c>
      <c r="B4151" t="str">
        <f>"300351"</f>
        <v>300351</v>
      </c>
      <c r="C4151" t="s">
        <v>8345</v>
      </c>
      <c r="D4151" t="s">
        <v>78</v>
      </c>
      <c r="F4151">
        <v>43886588</v>
      </c>
      <c r="G4151">
        <v>71232016</v>
      </c>
      <c r="H4151">
        <v>-59469388</v>
      </c>
      <c r="I4151">
        <v>63100923</v>
      </c>
      <c r="J4151">
        <v>-82783778</v>
      </c>
      <c r="K4151">
        <v>-112007923</v>
      </c>
      <c r="L4151">
        <v>-210733211</v>
      </c>
      <c r="M4151">
        <v>-11336919</v>
      </c>
      <c r="N4151">
        <v>-6028096</v>
      </c>
      <c r="O4151">
        <v>-767852</v>
      </c>
      <c r="P4151">
        <v>235</v>
      </c>
      <c r="Q4151" t="s">
        <v>8346</v>
      </c>
    </row>
    <row r="4152" spans="1:17" x14ac:dyDescent="0.3">
      <c r="A4152" t="s">
        <v>4446</v>
      </c>
      <c r="B4152" t="str">
        <f>"300352"</f>
        <v>300352</v>
      </c>
      <c r="C4152" t="s">
        <v>8347</v>
      </c>
      <c r="D4152" t="s">
        <v>212</v>
      </c>
      <c r="F4152">
        <v>-171773071</v>
      </c>
      <c r="G4152">
        <v>-97046406</v>
      </c>
      <c r="H4152">
        <v>-176456788</v>
      </c>
      <c r="I4152">
        <v>-365982995</v>
      </c>
      <c r="J4152">
        <v>-179932161</v>
      </c>
      <c r="K4152">
        <v>-73401125</v>
      </c>
      <c r="L4152">
        <v>-46986327</v>
      </c>
      <c r="M4152">
        <v>-62715733</v>
      </c>
      <c r="N4152">
        <v>-29642232</v>
      </c>
      <c r="O4152">
        <v>-25964601</v>
      </c>
      <c r="P4152">
        <v>255</v>
      </c>
      <c r="Q4152" t="s">
        <v>8348</v>
      </c>
    </row>
    <row r="4153" spans="1:17" x14ac:dyDescent="0.3">
      <c r="A4153" t="s">
        <v>4446</v>
      </c>
      <c r="B4153" t="str">
        <f>"300353"</f>
        <v>300353</v>
      </c>
      <c r="C4153" t="s">
        <v>8349</v>
      </c>
      <c r="D4153" t="s">
        <v>100</v>
      </c>
      <c r="F4153">
        <v>37960684</v>
      </c>
      <c r="G4153">
        <v>-117085695</v>
      </c>
      <c r="H4153">
        <v>-99409965</v>
      </c>
      <c r="I4153">
        <v>-211644239</v>
      </c>
      <c r="J4153">
        <v>-95242403</v>
      </c>
      <c r="K4153">
        <v>-41239002</v>
      </c>
      <c r="L4153">
        <v>30673390</v>
      </c>
      <c r="M4153">
        <v>41986092</v>
      </c>
      <c r="N4153">
        <v>-45153593</v>
      </c>
      <c r="O4153">
        <v>17378170</v>
      </c>
      <c r="P4153">
        <v>3033</v>
      </c>
      <c r="Q4153" t="s">
        <v>8350</v>
      </c>
    </row>
    <row r="4154" spans="1:17" x14ac:dyDescent="0.3">
      <c r="A4154" t="s">
        <v>4446</v>
      </c>
      <c r="B4154" t="str">
        <f>"300354"</f>
        <v>300354</v>
      </c>
      <c r="C4154" t="s">
        <v>8351</v>
      </c>
      <c r="D4154" t="s">
        <v>78</v>
      </c>
      <c r="F4154">
        <v>15526887</v>
      </c>
      <c r="G4154">
        <v>12124219</v>
      </c>
      <c r="H4154">
        <v>12226504</v>
      </c>
      <c r="I4154">
        <v>-752012</v>
      </c>
      <c r="J4154">
        <v>11902195</v>
      </c>
      <c r="K4154">
        <v>-17231210</v>
      </c>
      <c r="L4154">
        <v>-10014763</v>
      </c>
      <c r="M4154">
        <v>-15011954</v>
      </c>
      <c r="N4154">
        <v>-10237445</v>
      </c>
      <c r="O4154">
        <v>-6623383</v>
      </c>
      <c r="P4154">
        <v>140</v>
      </c>
      <c r="Q4154" t="s">
        <v>8352</v>
      </c>
    </row>
    <row r="4155" spans="1:17" x14ac:dyDescent="0.3">
      <c r="A4155" t="s">
        <v>4446</v>
      </c>
      <c r="B4155" t="str">
        <f>"300355"</f>
        <v>300355</v>
      </c>
      <c r="C4155" t="s">
        <v>8353</v>
      </c>
      <c r="D4155" t="s">
        <v>95</v>
      </c>
      <c r="F4155">
        <v>512124156</v>
      </c>
      <c r="G4155">
        <v>-488508292</v>
      </c>
      <c r="H4155">
        <v>-523553877</v>
      </c>
      <c r="I4155">
        <v>-1923017371</v>
      </c>
      <c r="J4155">
        <v>346360343</v>
      </c>
      <c r="K4155">
        <v>-7893967</v>
      </c>
      <c r="L4155">
        <v>-139655050</v>
      </c>
      <c r="M4155">
        <v>-232933884</v>
      </c>
      <c r="N4155">
        <v>-279649110</v>
      </c>
      <c r="O4155">
        <v>-141430849</v>
      </c>
      <c r="P4155">
        <v>406</v>
      </c>
      <c r="Q4155" t="s">
        <v>8354</v>
      </c>
    </row>
    <row r="4156" spans="1:17" x14ac:dyDescent="0.3">
      <c r="A4156" t="s">
        <v>4446</v>
      </c>
      <c r="B4156" t="str">
        <f>"300356"</f>
        <v>300356</v>
      </c>
      <c r="C4156" t="s">
        <v>8355</v>
      </c>
      <c r="D4156" t="s">
        <v>188</v>
      </c>
      <c r="F4156">
        <v>4489994</v>
      </c>
      <c r="G4156">
        <v>-34043271</v>
      </c>
      <c r="H4156">
        <v>177044769</v>
      </c>
      <c r="I4156">
        <v>8956592</v>
      </c>
      <c r="J4156">
        <v>-11783533</v>
      </c>
      <c r="K4156">
        <v>96127368</v>
      </c>
      <c r="L4156">
        <v>-78800678</v>
      </c>
      <c r="M4156">
        <v>-108874952</v>
      </c>
      <c r="N4156">
        <v>-31101629</v>
      </c>
      <c r="O4156">
        <v>19153250</v>
      </c>
      <c r="P4156">
        <v>67</v>
      </c>
      <c r="Q4156" t="s">
        <v>8356</v>
      </c>
    </row>
    <row r="4157" spans="1:17" x14ac:dyDescent="0.3">
      <c r="A4157" t="s">
        <v>4446</v>
      </c>
      <c r="B4157" t="str">
        <f>"300357"</f>
        <v>300357</v>
      </c>
      <c r="C4157" t="s">
        <v>8357</v>
      </c>
      <c r="D4157" t="s">
        <v>113</v>
      </c>
      <c r="F4157">
        <v>238418433</v>
      </c>
      <c r="G4157">
        <v>186064769</v>
      </c>
      <c r="H4157">
        <v>133096564</v>
      </c>
      <c r="I4157">
        <v>148703603</v>
      </c>
      <c r="J4157">
        <v>124422117</v>
      </c>
      <c r="K4157">
        <v>86861311</v>
      </c>
      <c r="L4157">
        <v>83314698</v>
      </c>
      <c r="M4157">
        <v>61062383</v>
      </c>
      <c r="N4157">
        <v>40792887</v>
      </c>
      <c r="O4157">
        <v>33920844</v>
      </c>
      <c r="P4157">
        <v>31282</v>
      </c>
      <c r="Q4157" t="s">
        <v>8358</v>
      </c>
    </row>
    <row r="4158" spans="1:17" x14ac:dyDescent="0.3">
      <c r="A4158" t="s">
        <v>4446</v>
      </c>
      <c r="B4158" t="str">
        <f>"300358"</f>
        <v>300358</v>
      </c>
      <c r="C4158" t="s">
        <v>8359</v>
      </c>
      <c r="D4158" t="s">
        <v>113</v>
      </c>
      <c r="F4158">
        <v>1088893649</v>
      </c>
      <c r="G4158">
        <v>600430290</v>
      </c>
      <c r="H4158">
        <v>136776068</v>
      </c>
      <c r="I4158">
        <v>75483651</v>
      </c>
      <c r="J4158">
        <v>62161171</v>
      </c>
      <c r="K4158">
        <v>-182803991</v>
      </c>
      <c r="L4158">
        <v>-121952111</v>
      </c>
      <c r="M4158">
        <v>-135852894</v>
      </c>
      <c r="N4158">
        <v>18766981</v>
      </c>
      <c r="O4158">
        <v>71729034</v>
      </c>
      <c r="P4158">
        <v>186</v>
      </c>
      <c r="Q4158" t="s">
        <v>8360</v>
      </c>
    </row>
    <row r="4159" spans="1:17" x14ac:dyDescent="0.3">
      <c r="A4159" t="s">
        <v>4446</v>
      </c>
      <c r="B4159" t="str">
        <f>"300359"</f>
        <v>300359</v>
      </c>
      <c r="C4159" t="s">
        <v>8361</v>
      </c>
      <c r="D4159" t="s">
        <v>110</v>
      </c>
      <c r="F4159">
        <v>96124452</v>
      </c>
      <c r="G4159">
        <v>176948465</v>
      </c>
      <c r="H4159">
        <v>136089785</v>
      </c>
      <c r="I4159">
        <v>152723195</v>
      </c>
      <c r="J4159">
        <v>13402098</v>
      </c>
      <c r="K4159">
        <v>-79329278</v>
      </c>
      <c r="L4159">
        <v>61800283</v>
      </c>
      <c r="M4159">
        <v>18543608</v>
      </c>
      <c r="N4159">
        <v>39934620</v>
      </c>
      <c r="O4159">
        <v>38349018</v>
      </c>
      <c r="P4159">
        <v>166</v>
      </c>
      <c r="Q4159" t="s">
        <v>8362</v>
      </c>
    </row>
    <row r="4160" spans="1:17" x14ac:dyDescent="0.3">
      <c r="A4160" t="s">
        <v>4446</v>
      </c>
      <c r="B4160" t="str">
        <f>"300360"</f>
        <v>300360</v>
      </c>
      <c r="C4160" t="s">
        <v>8363</v>
      </c>
      <c r="D4160" t="s">
        <v>188</v>
      </c>
      <c r="F4160">
        <v>-67086056</v>
      </c>
      <c r="G4160">
        <v>70894617</v>
      </c>
      <c r="H4160">
        <v>121465974</v>
      </c>
      <c r="I4160">
        <v>186091670</v>
      </c>
      <c r="J4160">
        <v>229581660</v>
      </c>
      <c r="K4160">
        <v>204164852</v>
      </c>
      <c r="L4160">
        <v>145810405</v>
      </c>
      <c r="M4160">
        <v>156461086</v>
      </c>
      <c r="N4160">
        <v>150597543</v>
      </c>
      <c r="O4160">
        <v>60606800</v>
      </c>
      <c r="P4160">
        <v>959</v>
      </c>
      <c r="Q4160" t="s">
        <v>8364</v>
      </c>
    </row>
    <row r="4161" spans="1:17" x14ac:dyDescent="0.3">
      <c r="A4161" t="s">
        <v>4446</v>
      </c>
      <c r="B4161" t="str">
        <f>"300361"</f>
        <v>300361</v>
      </c>
      <c r="C4161" t="s">
        <v>6997</v>
      </c>
      <c r="D4161" t="s">
        <v>113</v>
      </c>
      <c r="P4161">
        <v>8</v>
      </c>
      <c r="Q4161" t="s">
        <v>8365</v>
      </c>
    </row>
    <row r="4162" spans="1:17" x14ac:dyDescent="0.3">
      <c r="A4162" t="s">
        <v>4446</v>
      </c>
      <c r="B4162" t="str">
        <f>"300362"</f>
        <v>300362</v>
      </c>
      <c r="C4162" t="s">
        <v>8366</v>
      </c>
      <c r="G4162">
        <v>19093242</v>
      </c>
      <c r="H4162">
        <v>-20293473</v>
      </c>
      <c r="I4162">
        <v>-92373667</v>
      </c>
      <c r="J4162">
        <v>-169394826</v>
      </c>
      <c r="K4162">
        <v>-21661240</v>
      </c>
      <c r="L4162">
        <v>-85394236</v>
      </c>
      <c r="M4162">
        <v>-144418992</v>
      </c>
      <c r="N4162">
        <v>-46209378</v>
      </c>
      <c r="O4162">
        <v>-143071147</v>
      </c>
      <c r="P4162">
        <v>87</v>
      </c>
      <c r="Q4162" t="s">
        <v>8367</v>
      </c>
    </row>
    <row r="4163" spans="1:17" x14ac:dyDescent="0.3">
      <c r="A4163" t="s">
        <v>4446</v>
      </c>
      <c r="B4163" t="str">
        <f>"300363"</f>
        <v>300363</v>
      </c>
      <c r="C4163" t="s">
        <v>8368</v>
      </c>
      <c r="D4163" t="s">
        <v>113</v>
      </c>
      <c r="F4163">
        <v>-289807304</v>
      </c>
      <c r="G4163">
        <v>111243738</v>
      </c>
      <c r="H4163">
        <v>180991272</v>
      </c>
      <c r="I4163">
        <v>40067727</v>
      </c>
      <c r="J4163">
        <v>130871911</v>
      </c>
      <c r="K4163">
        <v>99051528</v>
      </c>
      <c r="L4163">
        <v>-308760582</v>
      </c>
      <c r="M4163">
        <v>-215012300</v>
      </c>
      <c r="N4163">
        <v>-71619744</v>
      </c>
      <c r="O4163">
        <v>-16285663</v>
      </c>
      <c r="P4163">
        <v>542</v>
      </c>
      <c r="Q4163" t="s">
        <v>8369</v>
      </c>
    </row>
    <row r="4164" spans="1:17" x14ac:dyDescent="0.3">
      <c r="A4164" t="s">
        <v>4446</v>
      </c>
      <c r="B4164" t="str">
        <f>"300364"</f>
        <v>300364</v>
      </c>
      <c r="C4164" t="s">
        <v>8370</v>
      </c>
      <c r="D4164" t="s">
        <v>89</v>
      </c>
      <c r="F4164">
        <v>-59063449</v>
      </c>
      <c r="G4164">
        <v>147857110</v>
      </c>
      <c r="H4164">
        <v>-59210513</v>
      </c>
      <c r="I4164">
        <v>-271679363</v>
      </c>
      <c r="J4164">
        <v>-369378217</v>
      </c>
      <c r="K4164">
        <v>-13509594</v>
      </c>
      <c r="L4164">
        <v>-29823098</v>
      </c>
      <c r="M4164">
        <v>-6735900</v>
      </c>
      <c r="N4164">
        <v>23386510</v>
      </c>
      <c r="O4164">
        <v>39118708</v>
      </c>
      <c r="P4164">
        <v>153</v>
      </c>
      <c r="Q4164" t="s">
        <v>8371</v>
      </c>
    </row>
    <row r="4165" spans="1:17" x14ac:dyDescent="0.3">
      <c r="A4165" t="s">
        <v>4446</v>
      </c>
      <c r="B4165" t="str">
        <f>"300365"</f>
        <v>300365</v>
      </c>
      <c r="C4165" t="s">
        <v>8372</v>
      </c>
      <c r="D4165" t="s">
        <v>212</v>
      </c>
      <c r="F4165">
        <v>-386605609</v>
      </c>
      <c r="G4165">
        <v>270120832</v>
      </c>
      <c r="H4165">
        <v>-83212108</v>
      </c>
      <c r="I4165">
        <v>-62671532</v>
      </c>
      <c r="J4165">
        <v>-67880439</v>
      </c>
      <c r="K4165">
        <v>-6311433</v>
      </c>
      <c r="L4165">
        <v>-37400738</v>
      </c>
      <c r="M4165">
        <v>8042148</v>
      </c>
      <c r="N4165">
        <v>-9158998</v>
      </c>
      <c r="O4165">
        <v>18105186</v>
      </c>
      <c r="P4165">
        <v>334</v>
      </c>
      <c r="Q4165" t="s">
        <v>8373</v>
      </c>
    </row>
    <row r="4166" spans="1:17" x14ac:dyDescent="0.3">
      <c r="A4166" t="s">
        <v>4446</v>
      </c>
      <c r="B4166" t="str">
        <f>"300366"</f>
        <v>300366</v>
      </c>
      <c r="C4166" t="s">
        <v>8374</v>
      </c>
      <c r="D4166" t="s">
        <v>212</v>
      </c>
      <c r="F4166">
        <v>-51440080</v>
      </c>
      <c r="G4166">
        <v>56879850</v>
      </c>
      <c r="H4166">
        <v>-130700494</v>
      </c>
      <c r="I4166">
        <v>-209754122</v>
      </c>
      <c r="J4166">
        <v>-92467503</v>
      </c>
      <c r="K4166">
        <v>-21452742</v>
      </c>
      <c r="L4166">
        <v>-75652828</v>
      </c>
      <c r="M4166">
        <v>-47600478</v>
      </c>
      <c r="N4166">
        <v>6867129</v>
      </c>
      <c r="O4166">
        <v>1400061</v>
      </c>
      <c r="P4166">
        <v>222</v>
      </c>
      <c r="Q4166" t="s">
        <v>8375</v>
      </c>
    </row>
    <row r="4167" spans="1:17" x14ac:dyDescent="0.3">
      <c r="A4167" t="s">
        <v>4446</v>
      </c>
      <c r="B4167" t="str">
        <f>"300367"</f>
        <v>300367</v>
      </c>
      <c r="C4167" t="s">
        <v>8376</v>
      </c>
      <c r="D4167" t="s">
        <v>212</v>
      </c>
      <c r="F4167">
        <v>-5427838</v>
      </c>
      <c r="G4167">
        <v>-102478607</v>
      </c>
      <c r="H4167">
        <v>-604213264</v>
      </c>
      <c r="I4167">
        <v>-275709518</v>
      </c>
      <c r="J4167">
        <v>16230894</v>
      </c>
      <c r="K4167">
        <v>52013785</v>
      </c>
      <c r="L4167">
        <v>112115915</v>
      </c>
      <c r="M4167">
        <v>-26907059</v>
      </c>
      <c r="N4167">
        <v>-56431236</v>
      </c>
      <c r="O4167">
        <v>-35965482</v>
      </c>
      <c r="P4167">
        <v>196</v>
      </c>
      <c r="Q4167" t="s">
        <v>8377</v>
      </c>
    </row>
    <row r="4168" spans="1:17" x14ac:dyDescent="0.3">
      <c r="A4168" t="s">
        <v>4446</v>
      </c>
      <c r="B4168" t="str">
        <f>"300368"</f>
        <v>300368</v>
      </c>
      <c r="C4168" t="s">
        <v>8378</v>
      </c>
      <c r="D4168" t="s">
        <v>212</v>
      </c>
      <c r="F4168">
        <v>-148934472</v>
      </c>
      <c r="G4168">
        <v>-591180538</v>
      </c>
      <c r="H4168">
        <v>-182638678</v>
      </c>
      <c r="I4168">
        <v>-55463443</v>
      </c>
      <c r="J4168">
        <v>-150193436</v>
      </c>
      <c r="K4168">
        <v>-1383822</v>
      </c>
      <c r="L4168">
        <v>84828687</v>
      </c>
      <c r="M4168">
        <v>-39540735</v>
      </c>
      <c r="N4168">
        <v>-47172648</v>
      </c>
      <c r="O4168">
        <v>29448531</v>
      </c>
      <c r="P4168">
        <v>119</v>
      </c>
      <c r="Q4168" t="s">
        <v>8379</v>
      </c>
    </row>
    <row r="4169" spans="1:17" x14ac:dyDescent="0.3">
      <c r="A4169" t="s">
        <v>4446</v>
      </c>
      <c r="B4169" t="str">
        <f>"300369"</f>
        <v>300369</v>
      </c>
      <c r="C4169" t="s">
        <v>8380</v>
      </c>
      <c r="D4169" t="s">
        <v>212</v>
      </c>
      <c r="F4169">
        <v>-100365270</v>
      </c>
      <c r="G4169">
        <v>275614358</v>
      </c>
      <c r="H4169">
        <v>171173521</v>
      </c>
      <c r="I4169">
        <v>-30537028</v>
      </c>
      <c r="J4169">
        <v>-45762395</v>
      </c>
      <c r="K4169">
        <v>-5073745</v>
      </c>
      <c r="L4169">
        <v>76462859</v>
      </c>
      <c r="M4169">
        <v>50539335</v>
      </c>
      <c r="N4169">
        <v>-7442362</v>
      </c>
      <c r="O4169">
        <v>10988363</v>
      </c>
      <c r="P4169">
        <v>419</v>
      </c>
      <c r="Q4169" t="s">
        <v>8381</v>
      </c>
    </row>
    <row r="4170" spans="1:17" x14ac:dyDescent="0.3">
      <c r="A4170" t="s">
        <v>4446</v>
      </c>
      <c r="B4170" t="str">
        <f>"300370"</f>
        <v>300370</v>
      </c>
      <c r="C4170" t="s">
        <v>8382</v>
      </c>
      <c r="D4170" t="s">
        <v>78</v>
      </c>
      <c r="F4170">
        <v>-35725090</v>
      </c>
      <c r="G4170">
        <v>-31072825</v>
      </c>
      <c r="H4170">
        <v>210526822</v>
      </c>
      <c r="I4170">
        <v>-369778829</v>
      </c>
      <c r="J4170">
        <v>-634144384</v>
      </c>
      <c r="K4170">
        <v>-209851560</v>
      </c>
      <c r="L4170">
        <v>-89369582</v>
      </c>
      <c r="M4170">
        <v>-101113278</v>
      </c>
      <c r="N4170">
        <v>-72689077</v>
      </c>
      <c r="O4170">
        <v>9574015</v>
      </c>
      <c r="P4170">
        <v>103</v>
      </c>
      <c r="Q4170" t="s">
        <v>8383</v>
      </c>
    </row>
    <row r="4171" spans="1:17" x14ac:dyDescent="0.3">
      <c r="A4171" t="s">
        <v>4446</v>
      </c>
      <c r="B4171" t="str">
        <f>"300371"</f>
        <v>300371</v>
      </c>
      <c r="C4171" t="s">
        <v>8384</v>
      </c>
      <c r="D4171" t="s">
        <v>78</v>
      </c>
      <c r="F4171">
        <v>-26231986</v>
      </c>
      <c r="G4171">
        <v>66780557</v>
      </c>
      <c r="H4171">
        <v>30979907</v>
      </c>
      <c r="I4171">
        <v>-18545478</v>
      </c>
      <c r="J4171">
        <v>70554694</v>
      </c>
      <c r="K4171">
        <v>43031534</v>
      </c>
      <c r="L4171">
        <v>-6910974</v>
      </c>
      <c r="M4171">
        <v>-36851586</v>
      </c>
      <c r="N4171">
        <v>54331245</v>
      </c>
      <c r="O4171">
        <v>40817552</v>
      </c>
      <c r="P4171">
        <v>288</v>
      </c>
      <c r="Q4171" t="s">
        <v>8385</v>
      </c>
    </row>
    <row r="4172" spans="1:17" x14ac:dyDescent="0.3">
      <c r="A4172" t="s">
        <v>4446</v>
      </c>
      <c r="B4172" t="str">
        <f>"300372"</f>
        <v>300372</v>
      </c>
      <c r="C4172" t="s">
        <v>8386</v>
      </c>
      <c r="K4172">
        <v>-105639900</v>
      </c>
      <c r="L4172">
        <v>18619620.73</v>
      </c>
      <c r="M4172">
        <v>-32090031.359999999</v>
      </c>
      <c r="N4172">
        <v>34643061.479999997</v>
      </c>
      <c r="O4172">
        <v>43344407.280000001</v>
      </c>
      <c r="P4172">
        <v>5</v>
      </c>
      <c r="Q4172" t="s">
        <v>8387</v>
      </c>
    </row>
    <row r="4173" spans="1:17" x14ac:dyDescent="0.3">
      <c r="A4173" t="s">
        <v>4446</v>
      </c>
      <c r="B4173" t="str">
        <f>"300373"</f>
        <v>300373</v>
      </c>
      <c r="C4173" t="s">
        <v>8388</v>
      </c>
      <c r="D4173" t="s">
        <v>150</v>
      </c>
      <c r="F4173">
        <v>-451018912</v>
      </c>
      <c r="G4173">
        <v>179651093</v>
      </c>
      <c r="H4173">
        <v>118254515</v>
      </c>
      <c r="I4173">
        <v>-320334676</v>
      </c>
      <c r="J4173">
        <v>-83570023</v>
      </c>
      <c r="K4173">
        <v>27973248</v>
      </c>
      <c r="L4173">
        <v>-116631514</v>
      </c>
      <c r="M4173">
        <v>-28064330</v>
      </c>
      <c r="N4173">
        <v>5543983</v>
      </c>
      <c r="O4173">
        <v>-90580</v>
      </c>
      <c r="P4173">
        <v>4305</v>
      </c>
      <c r="Q4173" t="s">
        <v>8389</v>
      </c>
    </row>
    <row r="4174" spans="1:17" x14ac:dyDescent="0.3">
      <c r="A4174" t="s">
        <v>4446</v>
      </c>
      <c r="B4174" t="str">
        <f>"300374"</f>
        <v>300374</v>
      </c>
      <c r="C4174" t="s">
        <v>8390</v>
      </c>
      <c r="D4174" t="s">
        <v>350</v>
      </c>
      <c r="F4174">
        <v>-89554711</v>
      </c>
      <c r="G4174">
        <v>-113653792</v>
      </c>
      <c r="H4174">
        <v>-878967</v>
      </c>
      <c r="I4174">
        <v>-738082754</v>
      </c>
      <c r="J4174">
        <v>-322465056</v>
      </c>
      <c r="K4174">
        <v>-93717825</v>
      </c>
      <c r="L4174">
        <v>-182032490</v>
      </c>
      <c r="M4174">
        <v>-32043773</v>
      </c>
      <c r="N4174">
        <v>81983529</v>
      </c>
      <c r="O4174">
        <v>-115204685</v>
      </c>
      <c r="P4174">
        <v>61</v>
      </c>
      <c r="Q4174" t="s">
        <v>8391</v>
      </c>
    </row>
    <row r="4175" spans="1:17" x14ac:dyDescent="0.3">
      <c r="A4175" t="s">
        <v>4446</v>
      </c>
      <c r="B4175" t="str">
        <f>"300375"</f>
        <v>300375</v>
      </c>
      <c r="C4175" t="s">
        <v>8392</v>
      </c>
      <c r="D4175" t="s">
        <v>27</v>
      </c>
      <c r="F4175">
        <v>194522230</v>
      </c>
      <c r="G4175">
        <v>173055994</v>
      </c>
      <c r="H4175">
        <v>111047368</v>
      </c>
      <c r="I4175">
        <v>-35340966</v>
      </c>
      <c r="J4175">
        <v>44068092</v>
      </c>
      <c r="K4175">
        <v>58030091</v>
      </c>
      <c r="L4175">
        <v>-52747418</v>
      </c>
      <c r="M4175">
        <v>-38323738</v>
      </c>
      <c r="N4175">
        <v>-26600853</v>
      </c>
      <c r="O4175">
        <v>17592236</v>
      </c>
      <c r="P4175">
        <v>99</v>
      </c>
      <c r="Q4175" t="s">
        <v>8393</v>
      </c>
    </row>
    <row r="4176" spans="1:17" x14ac:dyDescent="0.3">
      <c r="A4176" t="s">
        <v>4446</v>
      </c>
      <c r="B4176" t="str">
        <f>"300376"</f>
        <v>300376</v>
      </c>
      <c r="C4176" t="s">
        <v>8394</v>
      </c>
      <c r="D4176" t="s">
        <v>188</v>
      </c>
      <c r="F4176">
        <v>642828488</v>
      </c>
      <c r="G4176">
        <v>621843519</v>
      </c>
      <c r="H4176">
        <v>-728544915</v>
      </c>
      <c r="I4176">
        <v>530219050</v>
      </c>
      <c r="J4176">
        <v>-2260448796</v>
      </c>
      <c r="K4176">
        <v>-517465036</v>
      </c>
      <c r="L4176">
        <v>-220325409</v>
      </c>
      <c r="M4176">
        <v>-53934970</v>
      </c>
      <c r="N4176">
        <v>-39976145</v>
      </c>
      <c r="O4176">
        <v>100757807</v>
      </c>
      <c r="P4176">
        <v>849</v>
      </c>
      <c r="Q4176" t="s">
        <v>8395</v>
      </c>
    </row>
    <row r="4177" spans="1:17" x14ac:dyDescent="0.3">
      <c r="A4177" t="s">
        <v>4446</v>
      </c>
      <c r="B4177" t="str">
        <f>"300377"</f>
        <v>300377</v>
      </c>
      <c r="C4177" t="s">
        <v>8396</v>
      </c>
      <c r="D4177" t="s">
        <v>212</v>
      </c>
      <c r="F4177">
        <v>39137636</v>
      </c>
      <c r="G4177">
        <v>149298814</v>
      </c>
      <c r="H4177">
        <v>98929625</v>
      </c>
      <c r="I4177">
        <v>-163981905</v>
      </c>
      <c r="J4177">
        <v>-336329598</v>
      </c>
      <c r="K4177">
        <v>-488340056</v>
      </c>
      <c r="L4177">
        <v>34424924</v>
      </c>
      <c r="M4177">
        <v>-28190363</v>
      </c>
      <c r="N4177">
        <v>16484216</v>
      </c>
      <c r="O4177">
        <v>20615248</v>
      </c>
      <c r="P4177">
        <v>3125</v>
      </c>
      <c r="Q4177" t="s">
        <v>8397</v>
      </c>
    </row>
    <row r="4178" spans="1:17" x14ac:dyDescent="0.3">
      <c r="A4178" t="s">
        <v>4446</v>
      </c>
      <c r="B4178" t="str">
        <f>"300378"</f>
        <v>300378</v>
      </c>
      <c r="C4178" t="s">
        <v>8398</v>
      </c>
      <c r="D4178" t="s">
        <v>212</v>
      </c>
      <c r="F4178">
        <v>256002479</v>
      </c>
      <c r="G4178">
        <v>218891995</v>
      </c>
      <c r="H4178">
        <v>194094767</v>
      </c>
      <c r="I4178">
        <v>14086021</v>
      </c>
      <c r="J4178">
        <v>102472542</v>
      </c>
      <c r="K4178">
        <v>-144904134</v>
      </c>
      <c r="L4178">
        <v>-179628111</v>
      </c>
      <c r="M4178">
        <v>-11704884</v>
      </c>
      <c r="N4178">
        <v>32050424</v>
      </c>
      <c r="O4178">
        <v>34713939</v>
      </c>
      <c r="P4178">
        <v>197</v>
      </c>
      <c r="Q4178" t="s">
        <v>8399</v>
      </c>
    </row>
    <row r="4179" spans="1:17" x14ac:dyDescent="0.3">
      <c r="A4179" t="s">
        <v>4446</v>
      </c>
      <c r="B4179" t="str">
        <f>"300379"</f>
        <v>300379</v>
      </c>
      <c r="C4179" t="s">
        <v>8400</v>
      </c>
      <c r="D4179" t="s">
        <v>212</v>
      </c>
      <c r="F4179">
        <v>134331962</v>
      </c>
      <c r="G4179">
        <v>69859662</v>
      </c>
      <c r="H4179">
        <v>69350344</v>
      </c>
      <c r="I4179">
        <v>44101318</v>
      </c>
      <c r="J4179">
        <v>105966656</v>
      </c>
      <c r="K4179">
        <v>141425753</v>
      </c>
      <c r="L4179">
        <v>57967215</v>
      </c>
      <c r="M4179">
        <v>52743306</v>
      </c>
      <c r="N4179">
        <v>9047531</v>
      </c>
      <c r="O4179">
        <v>-29924825</v>
      </c>
      <c r="P4179">
        <v>396</v>
      </c>
      <c r="Q4179" t="s">
        <v>8401</v>
      </c>
    </row>
    <row r="4180" spans="1:17" x14ac:dyDescent="0.3">
      <c r="A4180" t="s">
        <v>4446</v>
      </c>
      <c r="B4180" t="str">
        <f>"300380"</f>
        <v>300380</v>
      </c>
      <c r="C4180" t="s">
        <v>8402</v>
      </c>
      <c r="D4180" t="s">
        <v>212</v>
      </c>
      <c r="F4180">
        <v>-108962443</v>
      </c>
      <c r="G4180">
        <v>64878437</v>
      </c>
      <c r="H4180">
        <v>37057899</v>
      </c>
      <c r="I4180">
        <v>34716645</v>
      </c>
      <c r="J4180">
        <v>10292253</v>
      </c>
      <c r="K4180">
        <v>-17440566</v>
      </c>
      <c r="L4180">
        <v>16493962</v>
      </c>
      <c r="M4180">
        <v>23467000</v>
      </c>
      <c r="N4180">
        <v>25511715</v>
      </c>
      <c r="O4180">
        <v>18798077</v>
      </c>
      <c r="P4180">
        <v>85</v>
      </c>
      <c r="Q4180" t="s">
        <v>8403</v>
      </c>
    </row>
    <row r="4181" spans="1:17" x14ac:dyDescent="0.3">
      <c r="A4181" t="s">
        <v>4446</v>
      </c>
      <c r="B4181" t="str">
        <f>"300381"</f>
        <v>300381</v>
      </c>
      <c r="C4181" t="s">
        <v>8404</v>
      </c>
      <c r="D4181" t="s">
        <v>113</v>
      </c>
      <c r="F4181">
        <v>53972601</v>
      </c>
      <c r="G4181">
        <v>120720751</v>
      </c>
      <c r="H4181">
        <v>53674689</v>
      </c>
      <c r="I4181">
        <v>69835581</v>
      </c>
      <c r="J4181">
        <v>-353844489</v>
      </c>
      <c r="K4181">
        <v>-382478515</v>
      </c>
      <c r="L4181">
        <v>-43198690</v>
      </c>
      <c r="M4181">
        <v>-34523477</v>
      </c>
      <c r="N4181">
        <v>9176827</v>
      </c>
      <c r="O4181">
        <v>24859486</v>
      </c>
      <c r="P4181">
        <v>160</v>
      </c>
      <c r="Q4181" t="s">
        <v>8405</v>
      </c>
    </row>
    <row r="4182" spans="1:17" x14ac:dyDescent="0.3">
      <c r="A4182" t="s">
        <v>4446</v>
      </c>
      <c r="B4182" t="str">
        <f>"300382"</f>
        <v>300382</v>
      </c>
      <c r="C4182" t="s">
        <v>8406</v>
      </c>
      <c r="D4182" t="s">
        <v>78</v>
      </c>
      <c r="F4182">
        <v>-125049568</v>
      </c>
      <c r="G4182">
        <v>27722061</v>
      </c>
      <c r="H4182">
        <v>76282266</v>
      </c>
      <c r="I4182">
        <v>-161970560</v>
      </c>
      <c r="J4182">
        <v>-3902526</v>
      </c>
      <c r="K4182">
        <v>-21723702</v>
      </c>
      <c r="L4182">
        <v>-179912287</v>
      </c>
      <c r="M4182">
        <v>76043524</v>
      </c>
      <c r="N4182">
        <v>8497118</v>
      </c>
      <c r="O4182">
        <v>28507819</v>
      </c>
      <c r="P4182">
        <v>183</v>
      </c>
      <c r="Q4182" t="s">
        <v>8407</v>
      </c>
    </row>
    <row r="4183" spans="1:17" x14ac:dyDescent="0.3">
      <c r="A4183" t="s">
        <v>4446</v>
      </c>
      <c r="B4183" t="str">
        <f>"300383"</f>
        <v>300383</v>
      </c>
      <c r="C4183" t="s">
        <v>8408</v>
      </c>
      <c r="D4183" t="s">
        <v>212</v>
      </c>
      <c r="F4183">
        <v>-1013499545</v>
      </c>
      <c r="G4183">
        <v>329967729</v>
      </c>
      <c r="H4183">
        <v>-86894375</v>
      </c>
      <c r="I4183">
        <v>-359011216</v>
      </c>
      <c r="J4183">
        <v>-410624165</v>
      </c>
      <c r="K4183">
        <v>-198248150</v>
      </c>
      <c r="L4183">
        <v>-4077746</v>
      </c>
      <c r="M4183">
        <v>8110693</v>
      </c>
      <c r="N4183">
        <v>-32462663</v>
      </c>
      <c r="O4183">
        <v>-23265931</v>
      </c>
      <c r="P4183">
        <v>2115</v>
      </c>
      <c r="Q4183" t="s">
        <v>8409</v>
      </c>
    </row>
    <row r="4184" spans="1:17" x14ac:dyDescent="0.3">
      <c r="A4184" t="s">
        <v>4446</v>
      </c>
      <c r="B4184" t="str">
        <f>"300384"</f>
        <v>300384</v>
      </c>
      <c r="C4184" t="s">
        <v>8410</v>
      </c>
      <c r="D4184" t="s">
        <v>95</v>
      </c>
      <c r="F4184">
        <v>115887919</v>
      </c>
      <c r="G4184">
        <v>311140669</v>
      </c>
      <c r="H4184">
        <v>86886177</v>
      </c>
      <c r="I4184">
        <v>263389184</v>
      </c>
      <c r="J4184">
        <v>-80262371</v>
      </c>
      <c r="K4184">
        <v>-78492649</v>
      </c>
      <c r="L4184">
        <v>-124203509</v>
      </c>
      <c r="M4184">
        <v>124043250</v>
      </c>
      <c r="N4184">
        <v>54592484</v>
      </c>
      <c r="O4184">
        <v>57328379</v>
      </c>
      <c r="P4184">
        <v>165</v>
      </c>
      <c r="Q4184" t="s">
        <v>8411</v>
      </c>
    </row>
    <row r="4185" spans="1:17" x14ac:dyDescent="0.3">
      <c r="A4185" t="s">
        <v>4446</v>
      </c>
      <c r="B4185" t="str">
        <f>"300385"</f>
        <v>300385</v>
      </c>
      <c r="C4185" t="s">
        <v>8412</v>
      </c>
      <c r="D4185" t="s">
        <v>33</v>
      </c>
      <c r="F4185">
        <v>161867735</v>
      </c>
      <c r="G4185">
        <v>75113168</v>
      </c>
      <c r="H4185">
        <v>77279276</v>
      </c>
      <c r="I4185">
        <v>88483834</v>
      </c>
      <c r="J4185">
        <v>-21129204</v>
      </c>
      <c r="K4185">
        <v>-75449267</v>
      </c>
      <c r="L4185">
        <v>-19148792</v>
      </c>
      <c r="M4185">
        <v>-70357186</v>
      </c>
      <c r="N4185">
        <v>22085085</v>
      </c>
      <c r="O4185">
        <v>-47603096</v>
      </c>
      <c r="P4185">
        <v>92</v>
      </c>
      <c r="Q4185" t="s">
        <v>8413</v>
      </c>
    </row>
    <row r="4186" spans="1:17" x14ac:dyDescent="0.3">
      <c r="A4186" t="s">
        <v>4446</v>
      </c>
      <c r="B4186" t="str">
        <f>"300386"</f>
        <v>300386</v>
      </c>
      <c r="C4186" t="s">
        <v>8414</v>
      </c>
      <c r="D4186" t="s">
        <v>212</v>
      </c>
      <c r="F4186">
        <v>2449859</v>
      </c>
      <c r="G4186">
        <v>40567710</v>
      </c>
      <c r="H4186">
        <v>122891854</v>
      </c>
      <c r="I4186">
        <v>871297</v>
      </c>
      <c r="J4186">
        <v>98458362</v>
      </c>
      <c r="K4186">
        <v>82942288</v>
      </c>
      <c r="L4186">
        <v>76280369</v>
      </c>
      <c r="M4186">
        <v>271989296</v>
      </c>
      <c r="N4186">
        <v>154551698</v>
      </c>
      <c r="O4186">
        <v>133765679</v>
      </c>
      <c r="P4186">
        <v>188</v>
      </c>
      <c r="Q4186" t="s">
        <v>8415</v>
      </c>
    </row>
    <row r="4187" spans="1:17" x14ac:dyDescent="0.3">
      <c r="A4187" t="s">
        <v>4446</v>
      </c>
      <c r="B4187" t="str">
        <f>"300387"</f>
        <v>300387</v>
      </c>
      <c r="C4187" t="s">
        <v>8416</v>
      </c>
      <c r="D4187" t="s">
        <v>133</v>
      </c>
      <c r="F4187">
        <v>73491503</v>
      </c>
      <c r="G4187">
        <v>40256545</v>
      </c>
      <c r="H4187">
        <v>37563312</v>
      </c>
      <c r="I4187">
        <v>-7470417</v>
      </c>
      <c r="J4187">
        <v>-3282327</v>
      </c>
      <c r="K4187">
        <v>42057625</v>
      </c>
      <c r="L4187">
        <v>42141913</v>
      </c>
      <c r="M4187">
        <v>-30366632</v>
      </c>
      <c r="N4187">
        <v>-6260233</v>
      </c>
      <c r="O4187">
        <v>15649524</v>
      </c>
      <c r="P4187">
        <v>89</v>
      </c>
      <c r="Q4187" t="s">
        <v>8417</v>
      </c>
    </row>
    <row r="4188" spans="1:17" x14ac:dyDescent="0.3">
      <c r="A4188" t="s">
        <v>4446</v>
      </c>
      <c r="B4188" t="str">
        <f>"300388"</f>
        <v>300388</v>
      </c>
      <c r="C4188" t="s">
        <v>8418</v>
      </c>
      <c r="D4188" t="s">
        <v>33</v>
      </c>
      <c r="F4188">
        <v>432319890</v>
      </c>
      <c r="G4188">
        <v>-190938224</v>
      </c>
      <c r="H4188">
        <v>-2308727636</v>
      </c>
      <c r="I4188">
        <v>-693888793</v>
      </c>
      <c r="J4188">
        <v>-765504979</v>
      </c>
      <c r="K4188">
        <v>-692600365</v>
      </c>
      <c r="L4188">
        <v>-333610362</v>
      </c>
      <c r="M4188">
        <v>18280500</v>
      </c>
      <c r="N4188">
        <v>-116066850</v>
      </c>
      <c r="O4188">
        <v>-74152367</v>
      </c>
      <c r="P4188">
        <v>225</v>
      </c>
      <c r="Q4188" t="s">
        <v>8419</v>
      </c>
    </row>
    <row r="4189" spans="1:17" x14ac:dyDescent="0.3">
      <c r="A4189" t="s">
        <v>4446</v>
      </c>
      <c r="B4189" t="str">
        <f>"300389"</f>
        <v>300389</v>
      </c>
      <c r="C4189" t="s">
        <v>8420</v>
      </c>
      <c r="D4189" t="s">
        <v>150</v>
      </c>
      <c r="F4189">
        <v>174453543</v>
      </c>
      <c r="G4189">
        <v>-85404181</v>
      </c>
      <c r="H4189">
        <v>254843935</v>
      </c>
      <c r="I4189">
        <v>161549691</v>
      </c>
      <c r="J4189">
        <v>80634602</v>
      </c>
      <c r="K4189">
        <v>-89175751</v>
      </c>
      <c r="L4189">
        <v>-76755522</v>
      </c>
      <c r="M4189">
        <v>22477548</v>
      </c>
      <c r="N4189">
        <v>105863487</v>
      </c>
      <c r="O4189">
        <v>99108285</v>
      </c>
      <c r="P4189">
        <v>198</v>
      </c>
      <c r="Q4189" t="s">
        <v>8421</v>
      </c>
    </row>
    <row r="4190" spans="1:17" x14ac:dyDescent="0.3">
      <c r="A4190" t="s">
        <v>4446</v>
      </c>
      <c r="B4190" t="str">
        <f>"300390"</f>
        <v>300390</v>
      </c>
      <c r="C4190" t="s">
        <v>8422</v>
      </c>
      <c r="D4190" t="s">
        <v>150</v>
      </c>
      <c r="F4190">
        <v>-612940540</v>
      </c>
      <c r="G4190">
        <v>265228673</v>
      </c>
      <c r="H4190">
        <v>88355730</v>
      </c>
      <c r="I4190">
        <v>81466207</v>
      </c>
      <c r="J4190">
        <v>38886049</v>
      </c>
      <c r="K4190">
        <v>-37932562</v>
      </c>
      <c r="L4190">
        <v>-29585469</v>
      </c>
      <c r="M4190">
        <v>1432220</v>
      </c>
      <c r="N4190">
        <v>-164446</v>
      </c>
      <c r="O4190">
        <v>17003933</v>
      </c>
      <c r="P4190">
        <v>460</v>
      </c>
      <c r="Q4190" t="s">
        <v>8423</v>
      </c>
    </row>
    <row r="4191" spans="1:17" x14ac:dyDescent="0.3">
      <c r="A4191" t="s">
        <v>4446</v>
      </c>
      <c r="B4191" t="str">
        <f>"300391"</f>
        <v>300391</v>
      </c>
      <c r="C4191" t="s">
        <v>8424</v>
      </c>
      <c r="D4191" t="s">
        <v>27</v>
      </c>
      <c r="F4191">
        <v>101737951</v>
      </c>
      <c r="G4191">
        <v>15892319</v>
      </c>
      <c r="H4191">
        <v>17889983</v>
      </c>
      <c r="I4191">
        <v>128857905</v>
      </c>
      <c r="J4191">
        <v>35115856</v>
      </c>
      <c r="K4191">
        <v>-27083244</v>
      </c>
      <c r="L4191">
        <v>17606041</v>
      </c>
      <c r="M4191">
        <v>-71205237</v>
      </c>
      <c r="N4191">
        <v>-36903404</v>
      </c>
      <c r="O4191">
        <v>-13186792</v>
      </c>
      <c r="P4191">
        <v>80</v>
      </c>
      <c r="Q4191" t="s">
        <v>8425</v>
      </c>
    </row>
    <row r="4192" spans="1:17" x14ac:dyDescent="0.3">
      <c r="A4192" t="s">
        <v>4446</v>
      </c>
      <c r="B4192" t="str">
        <f>"300392"</f>
        <v>300392</v>
      </c>
      <c r="C4192" t="s">
        <v>8426</v>
      </c>
      <c r="D4192" t="s">
        <v>89</v>
      </c>
      <c r="F4192">
        <v>-370210929</v>
      </c>
      <c r="G4192">
        <v>20228977</v>
      </c>
      <c r="H4192">
        <v>-196893600</v>
      </c>
      <c r="I4192">
        <v>186931531</v>
      </c>
      <c r="J4192">
        <v>-61384318</v>
      </c>
      <c r="K4192">
        <v>-106399989</v>
      </c>
      <c r="L4192">
        <v>-324209970</v>
      </c>
      <c r="M4192">
        <v>-33499847</v>
      </c>
      <c r="N4192">
        <v>46795728</v>
      </c>
      <c r="O4192">
        <v>8906331</v>
      </c>
      <c r="P4192">
        <v>66</v>
      </c>
      <c r="Q4192" t="s">
        <v>8427</v>
      </c>
    </row>
    <row r="4193" spans="1:17" x14ac:dyDescent="0.3">
      <c r="A4193" t="s">
        <v>4446</v>
      </c>
      <c r="B4193" t="str">
        <f>"300393"</f>
        <v>300393</v>
      </c>
      <c r="C4193" t="s">
        <v>8428</v>
      </c>
      <c r="D4193" t="s">
        <v>188</v>
      </c>
      <c r="F4193">
        <v>-36853831</v>
      </c>
      <c r="G4193">
        <v>-477919262</v>
      </c>
      <c r="H4193">
        <v>-471263085</v>
      </c>
      <c r="I4193">
        <v>-184137745</v>
      </c>
      <c r="J4193">
        <v>-1046992635</v>
      </c>
      <c r="K4193">
        <v>-652133069</v>
      </c>
      <c r="L4193">
        <v>-241724737</v>
      </c>
      <c r="M4193">
        <v>-110554065</v>
      </c>
      <c r="N4193">
        <v>34731910</v>
      </c>
      <c r="O4193">
        <v>-11613802</v>
      </c>
      <c r="P4193">
        <v>304</v>
      </c>
      <c r="Q4193" t="s">
        <v>8429</v>
      </c>
    </row>
    <row r="4194" spans="1:17" x14ac:dyDescent="0.3">
      <c r="A4194" t="s">
        <v>4446</v>
      </c>
      <c r="B4194" t="str">
        <f>"300394"</f>
        <v>300394</v>
      </c>
      <c r="C4194" t="s">
        <v>8430</v>
      </c>
      <c r="D4194" t="s">
        <v>100</v>
      </c>
      <c r="F4194">
        <v>246004036</v>
      </c>
      <c r="G4194">
        <v>106620667</v>
      </c>
      <c r="H4194">
        <v>28116459</v>
      </c>
      <c r="I4194">
        <v>83749272</v>
      </c>
      <c r="J4194">
        <v>31947255</v>
      </c>
      <c r="K4194">
        <v>55247581</v>
      </c>
      <c r="L4194">
        <v>33162464</v>
      </c>
      <c r="M4194">
        <v>25286509</v>
      </c>
      <c r="N4194">
        <v>38580726</v>
      </c>
      <c r="O4194">
        <v>28569863</v>
      </c>
      <c r="P4194">
        <v>804</v>
      </c>
      <c r="Q4194" t="s">
        <v>8431</v>
      </c>
    </row>
    <row r="4195" spans="1:17" x14ac:dyDescent="0.3">
      <c r="A4195" t="s">
        <v>4446</v>
      </c>
      <c r="B4195" t="str">
        <f>"300395"</f>
        <v>300395</v>
      </c>
      <c r="C4195" t="s">
        <v>8432</v>
      </c>
      <c r="D4195" t="s">
        <v>92</v>
      </c>
      <c r="F4195">
        <v>-14560274</v>
      </c>
      <c r="G4195">
        <v>-14336629</v>
      </c>
      <c r="H4195">
        <v>82155142</v>
      </c>
      <c r="I4195">
        <v>-47697421</v>
      </c>
      <c r="J4195">
        <v>36341536</v>
      </c>
      <c r="K4195">
        <v>-51054536</v>
      </c>
      <c r="L4195">
        <v>61476850</v>
      </c>
      <c r="M4195">
        <v>17453288</v>
      </c>
      <c r="N4195">
        <v>42216313</v>
      </c>
      <c r="O4195">
        <v>39761315</v>
      </c>
      <c r="P4195">
        <v>553</v>
      </c>
      <c r="Q4195" t="s">
        <v>8433</v>
      </c>
    </row>
    <row r="4196" spans="1:17" x14ac:dyDescent="0.3">
      <c r="A4196" t="s">
        <v>4446</v>
      </c>
      <c r="B4196" t="str">
        <f>"300396"</f>
        <v>300396</v>
      </c>
      <c r="C4196" t="s">
        <v>8434</v>
      </c>
      <c r="D4196" t="s">
        <v>113</v>
      </c>
      <c r="F4196">
        <v>153105521</v>
      </c>
      <c r="G4196">
        <v>229208890</v>
      </c>
      <c r="H4196">
        <v>277621585</v>
      </c>
      <c r="I4196">
        <v>216838610</v>
      </c>
      <c r="J4196">
        <v>182482446</v>
      </c>
      <c r="K4196">
        <v>158031750</v>
      </c>
      <c r="L4196">
        <v>57250894</v>
      </c>
      <c r="M4196">
        <v>70787399</v>
      </c>
      <c r="N4196">
        <v>62793321</v>
      </c>
      <c r="O4196">
        <v>28594972</v>
      </c>
      <c r="P4196">
        <v>360</v>
      </c>
      <c r="Q4196" t="s">
        <v>8435</v>
      </c>
    </row>
    <row r="4197" spans="1:17" x14ac:dyDescent="0.3">
      <c r="A4197" t="s">
        <v>4446</v>
      </c>
      <c r="B4197" t="str">
        <f>"300397"</f>
        <v>300397</v>
      </c>
      <c r="C4197" t="s">
        <v>8436</v>
      </c>
      <c r="D4197" t="s">
        <v>92</v>
      </c>
      <c r="F4197">
        <v>-235358068</v>
      </c>
      <c r="G4197">
        <v>256328567</v>
      </c>
      <c r="H4197">
        <v>-77111883</v>
      </c>
      <c r="I4197">
        <v>-310790831</v>
      </c>
      <c r="J4197">
        <v>32643779</v>
      </c>
      <c r="K4197">
        <v>-147960691</v>
      </c>
      <c r="L4197">
        <v>-185013232</v>
      </c>
      <c r="M4197">
        <v>-111047180</v>
      </c>
      <c r="N4197">
        <v>-25653064</v>
      </c>
      <c r="O4197">
        <v>-25766923</v>
      </c>
      <c r="P4197">
        <v>232</v>
      </c>
      <c r="Q4197" t="s">
        <v>8437</v>
      </c>
    </row>
    <row r="4198" spans="1:17" x14ac:dyDescent="0.3">
      <c r="A4198" t="s">
        <v>4446</v>
      </c>
      <c r="B4198" t="str">
        <f>"300398"</f>
        <v>300398</v>
      </c>
      <c r="C4198" t="s">
        <v>8438</v>
      </c>
      <c r="D4198" t="s">
        <v>150</v>
      </c>
      <c r="F4198">
        <v>-10568119</v>
      </c>
      <c r="G4198">
        <v>-90142631</v>
      </c>
      <c r="H4198">
        <v>-80198167</v>
      </c>
      <c r="I4198">
        <v>-114039775</v>
      </c>
      <c r="J4198">
        <v>-120259268</v>
      </c>
      <c r="K4198">
        <v>-99683062</v>
      </c>
      <c r="L4198">
        <v>-65207929</v>
      </c>
      <c r="M4198">
        <v>-26875407</v>
      </c>
      <c r="N4198">
        <v>18647498</v>
      </c>
      <c r="O4198">
        <v>13299080</v>
      </c>
      <c r="P4198">
        <v>244</v>
      </c>
      <c r="Q4198" t="s">
        <v>8439</v>
      </c>
    </row>
    <row r="4199" spans="1:17" x14ac:dyDescent="0.3">
      <c r="A4199" t="s">
        <v>4446</v>
      </c>
      <c r="B4199" t="str">
        <f>"300399"</f>
        <v>300399</v>
      </c>
      <c r="C4199" t="s">
        <v>8440</v>
      </c>
      <c r="D4199" t="s">
        <v>212</v>
      </c>
      <c r="F4199">
        <v>-64701020</v>
      </c>
      <c r="G4199">
        <v>4456009</v>
      </c>
      <c r="H4199">
        <v>-29894002</v>
      </c>
      <c r="I4199">
        <v>-20098552</v>
      </c>
      <c r="J4199">
        <v>835344</v>
      </c>
      <c r="K4199">
        <v>30684521</v>
      </c>
      <c r="L4199">
        <v>6615479</v>
      </c>
      <c r="M4199">
        <v>71377755</v>
      </c>
      <c r="N4199">
        <v>12656523</v>
      </c>
      <c r="O4199">
        <v>29244116</v>
      </c>
      <c r="P4199">
        <v>80</v>
      </c>
      <c r="Q4199" t="s">
        <v>8441</v>
      </c>
    </row>
    <row r="4200" spans="1:17" x14ac:dyDescent="0.3">
      <c r="A4200" t="s">
        <v>4446</v>
      </c>
      <c r="B4200" t="str">
        <f>"300400"</f>
        <v>300400</v>
      </c>
      <c r="C4200" t="s">
        <v>8442</v>
      </c>
      <c r="D4200" t="s">
        <v>78</v>
      </c>
      <c r="F4200">
        <v>4968939</v>
      </c>
      <c r="G4200">
        <v>224415100</v>
      </c>
      <c r="H4200">
        <v>-102676413</v>
      </c>
      <c r="I4200">
        <v>-5334589</v>
      </c>
      <c r="J4200">
        <v>-23601094</v>
      </c>
      <c r="K4200">
        <v>6398054</v>
      </c>
      <c r="L4200">
        <v>39643868</v>
      </c>
      <c r="M4200">
        <v>19340646</v>
      </c>
      <c r="N4200">
        <v>29518185</v>
      </c>
      <c r="O4200">
        <v>5369484</v>
      </c>
      <c r="P4200">
        <v>273</v>
      </c>
      <c r="Q4200" t="s">
        <v>8443</v>
      </c>
    </row>
    <row r="4201" spans="1:17" x14ac:dyDescent="0.3">
      <c r="A4201" t="s">
        <v>4446</v>
      </c>
      <c r="B4201" t="str">
        <f>"300401"</f>
        <v>300401</v>
      </c>
      <c r="C4201" t="s">
        <v>8444</v>
      </c>
      <c r="D4201" t="s">
        <v>113</v>
      </c>
      <c r="F4201">
        <v>-88890947</v>
      </c>
      <c r="G4201">
        <v>-81885957</v>
      </c>
      <c r="H4201">
        <v>-76167391</v>
      </c>
      <c r="I4201">
        <v>63155009</v>
      </c>
      <c r="J4201">
        <v>75431746</v>
      </c>
      <c r="K4201">
        <v>-10818625</v>
      </c>
      <c r="L4201">
        <v>-89836854</v>
      </c>
      <c r="M4201">
        <v>-111790599</v>
      </c>
      <c r="N4201">
        <v>43539013</v>
      </c>
      <c r="O4201">
        <v>36722494</v>
      </c>
      <c r="P4201">
        <v>476</v>
      </c>
      <c r="Q4201" t="s">
        <v>8445</v>
      </c>
    </row>
    <row r="4202" spans="1:17" x14ac:dyDescent="0.3">
      <c r="A4202" t="s">
        <v>4446</v>
      </c>
      <c r="B4202" t="str">
        <f>"300402"</f>
        <v>300402</v>
      </c>
      <c r="C4202" t="s">
        <v>8446</v>
      </c>
      <c r="D4202" t="s">
        <v>78</v>
      </c>
      <c r="F4202">
        <v>24844640</v>
      </c>
      <c r="G4202">
        <v>47211251</v>
      </c>
      <c r="H4202">
        <v>1051445</v>
      </c>
      <c r="I4202">
        <v>-53021690</v>
      </c>
      <c r="J4202">
        <v>54973231</v>
      </c>
      <c r="K4202">
        <v>-86385852</v>
      </c>
      <c r="L4202">
        <v>-84712755</v>
      </c>
      <c r="M4202">
        <v>39133572</v>
      </c>
      <c r="N4202">
        <v>3402270</v>
      </c>
      <c r="O4202">
        <v>-14326226</v>
      </c>
      <c r="P4202">
        <v>101</v>
      </c>
      <c r="Q4202" t="s">
        <v>8447</v>
      </c>
    </row>
    <row r="4203" spans="1:17" x14ac:dyDescent="0.3">
      <c r="A4203" t="s">
        <v>4446</v>
      </c>
      <c r="B4203" t="str">
        <f>"300403"</f>
        <v>300403</v>
      </c>
      <c r="C4203" t="s">
        <v>8448</v>
      </c>
      <c r="D4203" t="s">
        <v>126</v>
      </c>
      <c r="F4203">
        <v>25501099</v>
      </c>
      <c r="G4203">
        <v>88504484</v>
      </c>
      <c r="H4203">
        <v>48951370</v>
      </c>
      <c r="I4203">
        <v>-105820807</v>
      </c>
      <c r="J4203">
        <v>16201091</v>
      </c>
      <c r="K4203">
        <v>82534830</v>
      </c>
      <c r="L4203">
        <v>56689610</v>
      </c>
      <c r="M4203">
        <v>40398877</v>
      </c>
      <c r="N4203">
        <v>-1618563</v>
      </c>
      <c r="O4203">
        <v>43708031</v>
      </c>
      <c r="P4203">
        <v>253</v>
      </c>
      <c r="Q4203" t="s">
        <v>8449</v>
      </c>
    </row>
    <row r="4204" spans="1:17" x14ac:dyDescent="0.3">
      <c r="A4204" t="s">
        <v>4446</v>
      </c>
      <c r="B4204" t="str">
        <f>"300404"</f>
        <v>300404</v>
      </c>
      <c r="C4204" t="s">
        <v>8450</v>
      </c>
      <c r="D4204" t="s">
        <v>113</v>
      </c>
      <c r="F4204">
        <v>-23777213</v>
      </c>
      <c r="G4204">
        <v>65642884</v>
      </c>
      <c r="H4204">
        <v>-28917725</v>
      </c>
      <c r="I4204">
        <v>-10974521</v>
      </c>
      <c r="J4204">
        <v>-36253790</v>
      </c>
      <c r="K4204">
        <v>-112410158</v>
      </c>
      <c r="L4204">
        <v>-11959957</v>
      </c>
      <c r="M4204">
        <v>3091431</v>
      </c>
      <c r="N4204">
        <v>40551541</v>
      </c>
      <c r="O4204">
        <v>27369983</v>
      </c>
      <c r="P4204">
        <v>150</v>
      </c>
      <c r="Q4204" t="s">
        <v>8451</v>
      </c>
    </row>
    <row r="4205" spans="1:17" x14ac:dyDescent="0.3">
      <c r="A4205" t="s">
        <v>4446</v>
      </c>
      <c r="B4205" t="str">
        <f>"300405"</f>
        <v>300405</v>
      </c>
      <c r="C4205" t="s">
        <v>8452</v>
      </c>
      <c r="D4205" t="s">
        <v>133</v>
      </c>
      <c r="F4205">
        <v>-2680296</v>
      </c>
      <c r="G4205">
        <v>-29651183</v>
      </c>
      <c r="H4205">
        <v>90678764</v>
      </c>
      <c r="I4205">
        <v>224201828</v>
      </c>
      <c r="J4205">
        <v>-91043377</v>
      </c>
      <c r="K4205">
        <v>-27456589</v>
      </c>
      <c r="L4205">
        <v>-35796056</v>
      </c>
      <c r="M4205">
        <v>-93110762</v>
      </c>
      <c r="N4205">
        <v>-172048887</v>
      </c>
      <c r="O4205">
        <v>59114986</v>
      </c>
      <c r="P4205">
        <v>59</v>
      </c>
      <c r="Q4205" t="s">
        <v>8453</v>
      </c>
    </row>
    <row r="4206" spans="1:17" x14ac:dyDescent="0.3">
      <c r="A4206" t="s">
        <v>4446</v>
      </c>
      <c r="B4206" t="str">
        <f>"300406"</f>
        <v>300406</v>
      </c>
      <c r="C4206" t="s">
        <v>8454</v>
      </c>
      <c r="D4206" t="s">
        <v>113</v>
      </c>
      <c r="F4206">
        <v>276120262</v>
      </c>
      <c r="G4206">
        <v>106154516</v>
      </c>
      <c r="H4206">
        <v>127190816</v>
      </c>
      <c r="I4206">
        <v>183048893</v>
      </c>
      <c r="J4206">
        <v>182661415</v>
      </c>
      <c r="K4206">
        <v>166582889</v>
      </c>
      <c r="L4206">
        <v>89554834</v>
      </c>
      <c r="M4206">
        <v>150246877</v>
      </c>
      <c r="N4206">
        <v>137482614</v>
      </c>
      <c r="O4206">
        <v>105047330</v>
      </c>
      <c r="P4206">
        <v>14631</v>
      </c>
      <c r="Q4206" t="s">
        <v>8455</v>
      </c>
    </row>
    <row r="4207" spans="1:17" x14ac:dyDescent="0.3">
      <c r="A4207" t="s">
        <v>4446</v>
      </c>
      <c r="B4207" t="str">
        <f>"300407"</f>
        <v>300407</v>
      </c>
      <c r="C4207" t="s">
        <v>8456</v>
      </c>
      <c r="D4207" t="s">
        <v>188</v>
      </c>
      <c r="F4207">
        <v>56664004</v>
      </c>
      <c r="G4207">
        <v>95912402</v>
      </c>
      <c r="H4207">
        <v>133473260</v>
      </c>
      <c r="I4207">
        <v>-59893071</v>
      </c>
      <c r="J4207">
        <v>-102543369</v>
      </c>
      <c r="K4207">
        <v>-141897677</v>
      </c>
      <c r="L4207">
        <v>-68717345</v>
      </c>
      <c r="M4207">
        <v>12862888</v>
      </c>
      <c r="N4207">
        <v>-23142195</v>
      </c>
      <c r="O4207">
        <v>-16603270</v>
      </c>
      <c r="P4207">
        <v>132</v>
      </c>
      <c r="Q4207" t="s">
        <v>8457</v>
      </c>
    </row>
    <row r="4208" spans="1:17" x14ac:dyDescent="0.3">
      <c r="A4208" t="s">
        <v>4446</v>
      </c>
      <c r="B4208" t="str">
        <f>"300408"</f>
        <v>300408</v>
      </c>
      <c r="C4208" t="s">
        <v>8458</v>
      </c>
      <c r="D4208" t="s">
        <v>150</v>
      </c>
      <c r="F4208">
        <v>-751355936</v>
      </c>
      <c r="G4208">
        <v>27998109</v>
      </c>
      <c r="H4208">
        <v>1136087251</v>
      </c>
      <c r="I4208">
        <v>826396146</v>
      </c>
      <c r="J4208">
        <v>157179139</v>
      </c>
      <c r="K4208">
        <v>511701645</v>
      </c>
      <c r="L4208">
        <v>389189102</v>
      </c>
      <c r="M4208">
        <v>614483074</v>
      </c>
      <c r="N4208">
        <v>390529315</v>
      </c>
      <c r="O4208">
        <v>119602570</v>
      </c>
      <c r="P4208">
        <v>1510</v>
      </c>
      <c r="Q4208" t="s">
        <v>8459</v>
      </c>
    </row>
    <row r="4209" spans="1:17" x14ac:dyDescent="0.3">
      <c r="A4209" t="s">
        <v>4446</v>
      </c>
      <c r="B4209" t="str">
        <f>"300409"</f>
        <v>300409</v>
      </c>
      <c r="C4209" t="s">
        <v>8460</v>
      </c>
      <c r="D4209" t="s">
        <v>188</v>
      </c>
      <c r="F4209">
        <v>-326380916</v>
      </c>
      <c r="G4209">
        <v>342975559</v>
      </c>
      <c r="H4209">
        <v>668474507</v>
      </c>
      <c r="I4209">
        <v>270649712</v>
      </c>
      <c r="J4209">
        <v>-297248577</v>
      </c>
      <c r="K4209">
        <v>-155981578</v>
      </c>
      <c r="L4209">
        <v>-148395379</v>
      </c>
      <c r="M4209">
        <v>18055777</v>
      </c>
      <c r="N4209">
        <v>-49350940</v>
      </c>
      <c r="O4209">
        <v>-7913567</v>
      </c>
      <c r="P4209">
        <v>241</v>
      </c>
      <c r="Q4209" t="s">
        <v>8461</v>
      </c>
    </row>
    <row r="4210" spans="1:17" x14ac:dyDescent="0.3">
      <c r="A4210" t="s">
        <v>4446</v>
      </c>
      <c r="B4210" t="str">
        <f>"300410"</f>
        <v>300410</v>
      </c>
      <c r="C4210" t="s">
        <v>8462</v>
      </c>
      <c r="D4210" t="s">
        <v>78</v>
      </c>
      <c r="F4210">
        <v>133499687</v>
      </c>
      <c r="G4210">
        <v>190421147</v>
      </c>
      <c r="H4210">
        <v>-219603956</v>
      </c>
      <c r="I4210">
        <v>50656562</v>
      </c>
      <c r="J4210">
        <v>-113129005</v>
      </c>
      <c r="K4210">
        <v>32503224</v>
      </c>
      <c r="L4210">
        <v>-110000130</v>
      </c>
      <c r="M4210">
        <v>-9805202</v>
      </c>
      <c r="N4210">
        <v>5597402</v>
      </c>
      <c r="O4210">
        <v>12122346</v>
      </c>
      <c r="P4210">
        <v>215</v>
      </c>
      <c r="Q4210" t="s">
        <v>8463</v>
      </c>
    </row>
    <row r="4211" spans="1:17" x14ac:dyDescent="0.3">
      <c r="A4211" t="s">
        <v>4446</v>
      </c>
      <c r="B4211" t="str">
        <f>"300411"</f>
        <v>300411</v>
      </c>
      <c r="C4211" t="s">
        <v>8464</v>
      </c>
      <c r="D4211" t="s">
        <v>78</v>
      </c>
      <c r="F4211">
        <v>-66005726</v>
      </c>
      <c r="G4211">
        <v>80610475</v>
      </c>
      <c r="H4211">
        <v>-143860341</v>
      </c>
      <c r="I4211">
        <v>-239805498</v>
      </c>
      <c r="J4211">
        <v>11050370</v>
      </c>
      <c r="K4211">
        <v>9189361</v>
      </c>
      <c r="L4211">
        <v>-95937665</v>
      </c>
      <c r="M4211">
        <v>-66132041</v>
      </c>
      <c r="N4211">
        <v>-68006373</v>
      </c>
      <c r="O4211">
        <v>16682094</v>
      </c>
      <c r="P4211">
        <v>73</v>
      </c>
      <c r="Q4211" t="s">
        <v>8465</v>
      </c>
    </row>
    <row r="4212" spans="1:17" x14ac:dyDescent="0.3">
      <c r="A4212" t="s">
        <v>4446</v>
      </c>
      <c r="B4212" t="str">
        <f>"300412"</f>
        <v>300412</v>
      </c>
      <c r="C4212" t="s">
        <v>8466</v>
      </c>
      <c r="D4212" t="s">
        <v>78</v>
      </c>
      <c r="F4212">
        <v>-79143810</v>
      </c>
      <c r="G4212">
        <v>-25548537</v>
      </c>
      <c r="H4212">
        <v>25350117</v>
      </c>
      <c r="I4212">
        <v>-73759900</v>
      </c>
      <c r="J4212">
        <v>-107063650</v>
      </c>
      <c r="K4212">
        <v>5608914</v>
      </c>
      <c r="L4212">
        <v>14201608</v>
      </c>
      <c r="M4212">
        <v>29954304</v>
      </c>
      <c r="N4212">
        <v>-1699424</v>
      </c>
      <c r="O4212">
        <v>-985019</v>
      </c>
      <c r="P4212">
        <v>96</v>
      </c>
      <c r="Q4212" t="s">
        <v>8467</v>
      </c>
    </row>
    <row r="4213" spans="1:17" x14ac:dyDescent="0.3">
      <c r="A4213" t="s">
        <v>4446</v>
      </c>
      <c r="B4213" t="str">
        <f>"300413"</f>
        <v>300413</v>
      </c>
      <c r="C4213" t="s">
        <v>8468</v>
      </c>
      <c r="D4213" t="s">
        <v>89</v>
      </c>
      <c r="F4213">
        <v>369184819</v>
      </c>
      <c r="G4213">
        <v>511415017</v>
      </c>
      <c r="H4213">
        <v>137223034</v>
      </c>
      <c r="I4213">
        <v>-408789933</v>
      </c>
      <c r="J4213">
        <v>-88491297</v>
      </c>
      <c r="K4213">
        <v>-80749911</v>
      </c>
      <c r="L4213">
        <v>-122752190</v>
      </c>
      <c r="M4213">
        <v>28078055</v>
      </c>
      <c r="N4213">
        <v>212552844</v>
      </c>
      <c r="O4213">
        <v>193154685</v>
      </c>
      <c r="P4213">
        <v>1145</v>
      </c>
      <c r="Q4213" t="s">
        <v>8469</v>
      </c>
    </row>
    <row r="4214" spans="1:17" x14ac:dyDescent="0.3">
      <c r="A4214" t="s">
        <v>4446</v>
      </c>
      <c r="B4214" t="str">
        <f>"300414"</f>
        <v>300414</v>
      </c>
      <c r="C4214" t="s">
        <v>8470</v>
      </c>
      <c r="D4214" t="s">
        <v>100</v>
      </c>
      <c r="F4214">
        <v>-88138181</v>
      </c>
      <c r="G4214">
        <v>-26845004</v>
      </c>
      <c r="H4214">
        <v>4255939</v>
      </c>
      <c r="I4214">
        <v>6763501</v>
      </c>
      <c r="J4214">
        <v>-36211428</v>
      </c>
      <c r="K4214">
        <v>38452738</v>
      </c>
      <c r="L4214">
        <v>57341984</v>
      </c>
      <c r="M4214">
        <v>97129791</v>
      </c>
      <c r="N4214">
        <v>43792735</v>
      </c>
      <c r="O4214">
        <v>42324035</v>
      </c>
      <c r="P4214">
        <v>219</v>
      </c>
      <c r="Q4214" t="s">
        <v>8471</v>
      </c>
    </row>
    <row r="4215" spans="1:17" x14ac:dyDescent="0.3">
      <c r="A4215" t="s">
        <v>4446</v>
      </c>
      <c r="B4215" t="str">
        <f>"300415"</f>
        <v>300415</v>
      </c>
      <c r="C4215" t="s">
        <v>8472</v>
      </c>
      <c r="D4215" t="s">
        <v>78</v>
      </c>
      <c r="F4215">
        <v>23820234</v>
      </c>
      <c r="G4215">
        <v>207468774</v>
      </c>
      <c r="H4215">
        <v>187521621</v>
      </c>
      <c r="I4215">
        <v>-40159495</v>
      </c>
      <c r="J4215">
        <v>-875326</v>
      </c>
      <c r="K4215">
        <v>136567440</v>
      </c>
      <c r="L4215">
        <v>-46152574</v>
      </c>
      <c r="M4215">
        <v>-161716496</v>
      </c>
      <c r="N4215">
        <v>-88305748</v>
      </c>
      <c r="O4215">
        <v>-21608779</v>
      </c>
      <c r="P4215">
        <v>549</v>
      </c>
      <c r="Q4215" t="s">
        <v>8473</v>
      </c>
    </row>
    <row r="4216" spans="1:17" x14ac:dyDescent="0.3">
      <c r="A4216" t="s">
        <v>4446</v>
      </c>
      <c r="B4216" t="str">
        <f>"300416"</f>
        <v>300416</v>
      </c>
      <c r="C4216" t="s">
        <v>8474</v>
      </c>
      <c r="D4216" t="s">
        <v>78</v>
      </c>
      <c r="F4216">
        <v>-131750462</v>
      </c>
      <c r="G4216">
        <v>-16321549</v>
      </c>
      <c r="H4216">
        <v>-111894522</v>
      </c>
      <c r="I4216">
        <v>-35799363</v>
      </c>
      <c r="J4216">
        <v>-27024571</v>
      </c>
      <c r="K4216">
        <v>-31071975</v>
      </c>
      <c r="L4216">
        <v>-56072603</v>
      </c>
      <c r="M4216">
        <v>-6879547</v>
      </c>
      <c r="N4216">
        <v>21544276</v>
      </c>
      <c r="O4216">
        <v>-37356975</v>
      </c>
      <c r="P4216">
        <v>306</v>
      </c>
      <c r="Q4216" t="s">
        <v>8475</v>
      </c>
    </row>
    <row r="4217" spans="1:17" x14ac:dyDescent="0.3">
      <c r="A4217" t="s">
        <v>4446</v>
      </c>
      <c r="B4217" t="str">
        <f>"300417"</f>
        <v>300417</v>
      </c>
      <c r="C4217" t="s">
        <v>8476</v>
      </c>
      <c r="D4217" t="s">
        <v>78</v>
      </c>
      <c r="F4217">
        <v>-7363977</v>
      </c>
      <c r="G4217">
        <v>11414600</v>
      </c>
      <c r="H4217">
        <v>201337789</v>
      </c>
      <c r="I4217">
        <v>-6775131</v>
      </c>
      <c r="J4217">
        <v>-26625888</v>
      </c>
      <c r="K4217">
        <v>2583205</v>
      </c>
      <c r="L4217">
        <v>13286248</v>
      </c>
      <c r="M4217">
        <v>7094277</v>
      </c>
      <c r="N4217">
        <v>20658613</v>
      </c>
      <c r="O4217">
        <v>399749</v>
      </c>
      <c r="P4217">
        <v>196</v>
      </c>
      <c r="Q4217" t="s">
        <v>8477</v>
      </c>
    </row>
    <row r="4218" spans="1:17" x14ac:dyDescent="0.3">
      <c r="A4218" t="s">
        <v>4446</v>
      </c>
      <c r="B4218" t="str">
        <f>"300418"</f>
        <v>300418</v>
      </c>
      <c r="C4218" t="s">
        <v>8478</v>
      </c>
      <c r="D4218" t="s">
        <v>89</v>
      </c>
      <c r="F4218">
        <v>1118802359</v>
      </c>
      <c r="G4218">
        <v>714321065</v>
      </c>
      <c r="H4218">
        <v>1166158773</v>
      </c>
      <c r="I4218">
        <v>1463535675</v>
      </c>
      <c r="J4218">
        <v>1028885357</v>
      </c>
      <c r="K4218">
        <v>345525510</v>
      </c>
      <c r="L4218">
        <v>183968360</v>
      </c>
      <c r="M4218">
        <v>365795726</v>
      </c>
      <c r="N4218">
        <v>354389681</v>
      </c>
      <c r="O4218">
        <v>89837937</v>
      </c>
      <c r="P4218">
        <v>17523</v>
      </c>
      <c r="Q4218" t="s">
        <v>8479</v>
      </c>
    </row>
    <row r="4219" spans="1:17" x14ac:dyDescent="0.3">
      <c r="A4219" t="s">
        <v>4446</v>
      </c>
      <c r="B4219" t="str">
        <f>"300419"</f>
        <v>300419</v>
      </c>
      <c r="C4219" t="s">
        <v>8480</v>
      </c>
      <c r="D4219" t="s">
        <v>212</v>
      </c>
      <c r="F4219">
        <v>-163617691</v>
      </c>
      <c r="G4219">
        <v>119140396</v>
      </c>
      <c r="H4219">
        <v>-9832193</v>
      </c>
      <c r="I4219">
        <v>8570062</v>
      </c>
      <c r="J4219">
        <v>82254842</v>
      </c>
      <c r="K4219">
        <v>-63546612</v>
      </c>
      <c r="L4219">
        <v>-14268360</v>
      </c>
      <c r="M4219">
        <v>6244343</v>
      </c>
      <c r="N4219">
        <v>25808340</v>
      </c>
      <c r="O4219">
        <v>4811817</v>
      </c>
      <c r="P4219">
        <v>89</v>
      </c>
      <c r="Q4219" t="s">
        <v>8481</v>
      </c>
    </row>
    <row r="4220" spans="1:17" x14ac:dyDescent="0.3">
      <c r="A4220" t="s">
        <v>4446</v>
      </c>
      <c r="B4220" t="str">
        <f>"300420"</f>
        <v>300420</v>
      </c>
      <c r="C4220" t="s">
        <v>8482</v>
      </c>
      <c r="D4220" t="s">
        <v>78</v>
      </c>
      <c r="F4220">
        <v>-141637340</v>
      </c>
      <c r="G4220">
        <v>-87507086</v>
      </c>
      <c r="H4220">
        <v>-589393</v>
      </c>
      <c r="I4220">
        <v>-141568914</v>
      </c>
      <c r="J4220">
        <v>-79921173</v>
      </c>
      <c r="K4220">
        <v>12243525</v>
      </c>
      <c r="L4220">
        <v>36265206</v>
      </c>
      <c r="M4220">
        <v>-9124850</v>
      </c>
      <c r="N4220">
        <v>20156818</v>
      </c>
      <c r="O4220">
        <v>12721796</v>
      </c>
      <c r="P4220">
        <v>146</v>
      </c>
      <c r="Q4220" t="s">
        <v>8483</v>
      </c>
    </row>
    <row r="4221" spans="1:17" x14ac:dyDescent="0.3">
      <c r="A4221" t="s">
        <v>4446</v>
      </c>
      <c r="B4221" t="str">
        <f>"300421"</f>
        <v>300421</v>
      </c>
      <c r="C4221" t="s">
        <v>8484</v>
      </c>
      <c r="D4221" t="s">
        <v>78</v>
      </c>
      <c r="F4221">
        <v>-56334761</v>
      </c>
      <c r="G4221">
        <v>61423421</v>
      </c>
      <c r="H4221">
        <v>-33377788</v>
      </c>
      <c r="I4221">
        <v>23343432</v>
      </c>
      <c r="J4221">
        <v>7150172</v>
      </c>
      <c r="K4221">
        <v>-42441582</v>
      </c>
      <c r="L4221">
        <v>-9087451</v>
      </c>
      <c r="M4221">
        <v>-13377986</v>
      </c>
      <c r="N4221">
        <v>-17909779</v>
      </c>
      <c r="O4221">
        <v>18111636</v>
      </c>
      <c r="P4221">
        <v>108</v>
      </c>
      <c r="Q4221" t="s">
        <v>8485</v>
      </c>
    </row>
    <row r="4222" spans="1:17" x14ac:dyDescent="0.3">
      <c r="A4222" t="s">
        <v>4446</v>
      </c>
      <c r="B4222" t="str">
        <f>"300422"</f>
        <v>300422</v>
      </c>
      <c r="C4222" t="s">
        <v>8486</v>
      </c>
      <c r="D4222" t="s">
        <v>33</v>
      </c>
      <c r="F4222">
        <v>-922872403</v>
      </c>
      <c r="G4222">
        <v>-1003832107</v>
      </c>
      <c r="H4222">
        <v>-1241706868</v>
      </c>
      <c r="I4222">
        <v>-949340365</v>
      </c>
      <c r="J4222">
        <v>-844788546</v>
      </c>
      <c r="K4222">
        <v>-426911589</v>
      </c>
      <c r="L4222">
        <v>-207197441</v>
      </c>
      <c r="M4222">
        <v>-38273371</v>
      </c>
      <c r="N4222">
        <v>-19700009</v>
      </c>
      <c r="O4222">
        <v>-39866316</v>
      </c>
      <c r="P4222">
        <v>331</v>
      </c>
      <c r="Q4222" t="s">
        <v>8487</v>
      </c>
    </row>
    <row r="4223" spans="1:17" x14ac:dyDescent="0.3">
      <c r="A4223" t="s">
        <v>4446</v>
      </c>
      <c r="B4223" t="str">
        <f>"300423"</f>
        <v>300423</v>
      </c>
      <c r="C4223" t="s">
        <v>8488</v>
      </c>
      <c r="D4223" t="s">
        <v>188</v>
      </c>
      <c r="F4223">
        <v>637949361</v>
      </c>
      <c r="G4223">
        <v>666663612</v>
      </c>
      <c r="H4223">
        <v>-381286109</v>
      </c>
      <c r="I4223">
        <v>-592463378</v>
      </c>
      <c r="J4223">
        <v>-2781405</v>
      </c>
      <c r="K4223">
        <v>11334706</v>
      </c>
      <c r="L4223">
        <v>-21435957</v>
      </c>
      <c r="M4223">
        <v>-10017824</v>
      </c>
      <c r="N4223">
        <v>11950631</v>
      </c>
      <c r="O4223">
        <v>-14476880</v>
      </c>
      <c r="P4223">
        <v>156</v>
      </c>
      <c r="Q4223" t="s">
        <v>8489</v>
      </c>
    </row>
    <row r="4224" spans="1:17" x14ac:dyDescent="0.3">
      <c r="A4224" t="s">
        <v>4446</v>
      </c>
      <c r="B4224" t="str">
        <f>"300424"</f>
        <v>300424</v>
      </c>
      <c r="C4224" t="s">
        <v>8490</v>
      </c>
      <c r="D4224" t="s">
        <v>92</v>
      </c>
      <c r="F4224">
        <v>-5449810</v>
      </c>
      <c r="G4224">
        <v>-65216197</v>
      </c>
      <c r="H4224">
        <v>146850052</v>
      </c>
      <c r="I4224">
        <v>-109762546</v>
      </c>
      <c r="J4224">
        <v>-102777083</v>
      </c>
      <c r="K4224">
        <v>-80928984</v>
      </c>
      <c r="L4224">
        <v>-29818974</v>
      </c>
      <c r="M4224">
        <v>16710302</v>
      </c>
      <c r="N4224">
        <v>92928043</v>
      </c>
      <c r="O4224">
        <v>-135207894</v>
      </c>
      <c r="P4224">
        <v>133</v>
      </c>
      <c r="Q4224" t="s">
        <v>8491</v>
      </c>
    </row>
    <row r="4225" spans="1:17" x14ac:dyDescent="0.3">
      <c r="A4225" t="s">
        <v>4446</v>
      </c>
      <c r="B4225" t="str">
        <f>"300425"</f>
        <v>300425</v>
      </c>
      <c r="C4225" t="s">
        <v>8492</v>
      </c>
      <c r="D4225" t="s">
        <v>33</v>
      </c>
      <c r="F4225">
        <v>-65532421</v>
      </c>
      <c r="G4225">
        <v>42587913</v>
      </c>
      <c r="H4225">
        <v>126162570</v>
      </c>
      <c r="I4225">
        <v>-200902742</v>
      </c>
      <c r="J4225">
        <v>-40857690</v>
      </c>
      <c r="K4225">
        <v>-12156516</v>
      </c>
      <c r="L4225">
        <v>-35439811</v>
      </c>
      <c r="M4225">
        <v>-18464235</v>
      </c>
      <c r="N4225">
        <v>24266848</v>
      </c>
      <c r="O4225">
        <v>-10344341</v>
      </c>
      <c r="P4225">
        <v>121</v>
      </c>
      <c r="Q4225" t="s">
        <v>8493</v>
      </c>
    </row>
    <row r="4226" spans="1:17" x14ac:dyDescent="0.3">
      <c r="A4226" t="s">
        <v>4446</v>
      </c>
      <c r="B4226" t="str">
        <f>"300426"</f>
        <v>300426</v>
      </c>
      <c r="C4226" t="s">
        <v>8494</v>
      </c>
      <c r="D4226" t="s">
        <v>89</v>
      </c>
      <c r="F4226">
        <v>120574009</v>
      </c>
      <c r="G4226">
        <v>-213405208</v>
      </c>
      <c r="H4226">
        <v>194691086</v>
      </c>
      <c r="I4226">
        <v>-96776765</v>
      </c>
      <c r="J4226">
        <v>-226296538</v>
      </c>
      <c r="K4226">
        <v>-290307600</v>
      </c>
      <c r="L4226">
        <v>-130243844</v>
      </c>
      <c r="M4226">
        <v>-70212067</v>
      </c>
      <c r="N4226">
        <v>-47326213</v>
      </c>
      <c r="O4226">
        <v>-102471940</v>
      </c>
      <c r="P4226">
        <v>130</v>
      </c>
      <c r="Q4226" t="s">
        <v>8495</v>
      </c>
    </row>
    <row r="4227" spans="1:17" x14ac:dyDescent="0.3">
      <c r="A4227" t="s">
        <v>4446</v>
      </c>
      <c r="B4227" t="str">
        <f>"300427"</f>
        <v>300427</v>
      </c>
      <c r="C4227" t="s">
        <v>8496</v>
      </c>
      <c r="D4227" t="s">
        <v>188</v>
      </c>
      <c r="F4227">
        <v>103709110</v>
      </c>
      <c r="G4227">
        <v>173824201</v>
      </c>
      <c r="H4227">
        <v>-485663885</v>
      </c>
      <c r="I4227">
        <v>-301907832</v>
      </c>
      <c r="J4227">
        <v>266108814</v>
      </c>
      <c r="K4227">
        <v>105590552</v>
      </c>
      <c r="L4227">
        <v>32058991</v>
      </c>
      <c r="M4227">
        <v>16326669</v>
      </c>
      <c r="N4227">
        <v>20957370</v>
      </c>
      <c r="O4227">
        <v>58783018</v>
      </c>
      <c r="P4227">
        <v>249</v>
      </c>
      <c r="Q4227" t="s">
        <v>8497</v>
      </c>
    </row>
    <row r="4228" spans="1:17" x14ac:dyDescent="0.3">
      <c r="A4228" t="s">
        <v>4446</v>
      </c>
      <c r="B4228" t="str">
        <f>"300428"</f>
        <v>300428</v>
      </c>
      <c r="C4228" t="s">
        <v>8498</v>
      </c>
      <c r="D4228" t="s">
        <v>27</v>
      </c>
      <c r="F4228">
        <v>-1748886107</v>
      </c>
      <c r="G4228">
        <v>-108964004</v>
      </c>
      <c r="H4228">
        <v>307615885</v>
      </c>
      <c r="I4228">
        <v>294265802</v>
      </c>
      <c r="J4228">
        <v>-3204148</v>
      </c>
      <c r="K4228">
        <v>-4221719</v>
      </c>
      <c r="L4228">
        <v>-8818988</v>
      </c>
      <c r="M4228">
        <v>-31812761</v>
      </c>
      <c r="N4228">
        <v>-5237025</v>
      </c>
      <c r="O4228">
        <v>-28540977</v>
      </c>
      <c r="P4228">
        <v>172</v>
      </c>
      <c r="Q4228" t="s">
        <v>8499</v>
      </c>
    </row>
    <row r="4229" spans="1:17" x14ac:dyDescent="0.3">
      <c r="A4229" t="s">
        <v>4446</v>
      </c>
      <c r="B4229" t="str">
        <f>"300429"</f>
        <v>300429</v>
      </c>
      <c r="C4229" t="s">
        <v>8500</v>
      </c>
      <c r="D4229" t="s">
        <v>150</v>
      </c>
      <c r="F4229">
        <v>-272084586</v>
      </c>
      <c r="G4229">
        <v>6570915</v>
      </c>
      <c r="H4229">
        <v>-32129797</v>
      </c>
      <c r="I4229">
        <v>-75043645</v>
      </c>
      <c r="J4229">
        <v>6792019</v>
      </c>
      <c r="K4229">
        <v>17664655</v>
      </c>
      <c r="L4229">
        <v>-22533909</v>
      </c>
      <c r="M4229">
        <v>-1793661</v>
      </c>
      <c r="N4229">
        <v>24095878</v>
      </c>
      <c r="O4229">
        <v>14427868</v>
      </c>
      <c r="P4229">
        <v>261</v>
      </c>
      <c r="Q4229" t="s">
        <v>8501</v>
      </c>
    </row>
    <row r="4230" spans="1:17" x14ac:dyDescent="0.3">
      <c r="A4230" t="s">
        <v>4446</v>
      </c>
      <c r="B4230" t="str">
        <f>"300430"</f>
        <v>300430</v>
      </c>
      <c r="C4230" t="s">
        <v>8502</v>
      </c>
      <c r="D4230" t="s">
        <v>78</v>
      </c>
      <c r="F4230">
        <v>-107030712</v>
      </c>
      <c r="G4230">
        <v>-2502407</v>
      </c>
      <c r="H4230">
        <v>-53752877</v>
      </c>
      <c r="I4230">
        <v>-74782024</v>
      </c>
      <c r="J4230">
        <v>-46004639</v>
      </c>
      <c r="K4230">
        <v>-40755882</v>
      </c>
      <c r="L4230">
        <v>-117966761</v>
      </c>
      <c r="M4230">
        <v>9433438</v>
      </c>
      <c r="N4230">
        <v>-4170107</v>
      </c>
      <c r="O4230">
        <v>-37566883</v>
      </c>
      <c r="P4230">
        <v>95</v>
      </c>
      <c r="Q4230" t="s">
        <v>8503</v>
      </c>
    </row>
    <row r="4231" spans="1:17" x14ac:dyDescent="0.3">
      <c r="A4231" t="s">
        <v>4446</v>
      </c>
      <c r="B4231" t="str">
        <f>"300431"</f>
        <v>300431</v>
      </c>
      <c r="C4231" t="s">
        <v>8504</v>
      </c>
      <c r="I4231">
        <v>77075556</v>
      </c>
      <c r="J4231">
        <v>-682402607</v>
      </c>
      <c r="K4231">
        <v>-293870924</v>
      </c>
      <c r="L4231">
        <v>-4835740</v>
      </c>
      <c r="M4231">
        <v>12299287</v>
      </c>
      <c r="N4231">
        <v>-17807997</v>
      </c>
      <c r="O4231">
        <v>-3045775</v>
      </c>
      <c r="P4231">
        <v>145</v>
      </c>
      <c r="Q4231" t="s">
        <v>8505</v>
      </c>
    </row>
    <row r="4232" spans="1:17" x14ac:dyDescent="0.3">
      <c r="A4232" t="s">
        <v>4446</v>
      </c>
      <c r="B4232" t="str">
        <f>"300432"</f>
        <v>300432</v>
      </c>
      <c r="C4232" t="s">
        <v>8506</v>
      </c>
      <c r="D4232" t="s">
        <v>27</v>
      </c>
      <c r="F4232">
        <v>-881659841</v>
      </c>
      <c r="G4232">
        <v>335829327</v>
      </c>
      <c r="H4232">
        <v>79096661</v>
      </c>
      <c r="I4232">
        <v>-275529819</v>
      </c>
      <c r="J4232">
        <v>-442409986</v>
      </c>
      <c r="K4232">
        <v>94924479</v>
      </c>
      <c r="L4232">
        <v>-31893971</v>
      </c>
      <c r="M4232">
        <v>51925657</v>
      </c>
      <c r="N4232">
        <v>12173563</v>
      </c>
      <c r="O4232">
        <v>-1769160</v>
      </c>
      <c r="P4232">
        <v>305</v>
      </c>
      <c r="Q4232" t="s">
        <v>8507</v>
      </c>
    </row>
    <row r="4233" spans="1:17" x14ac:dyDescent="0.3">
      <c r="A4233" t="s">
        <v>4446</v>
      </c>
      <c r="B4233" t="str">
        <f>"300433"</f>
        <v>300433</v>
      </c>
      <c r="C4233" t="s">
        <v>8508</v>
      </c>
      <c r="D4233" t="s">
        <v>150</v>
      </c>
      <c r="F4233">
        <v>-770603929</v>
      </c>
      <c r="G4233">
        <v>1683645864</v>
      </c>
      <c r="H4233">
        <v>2784707472</v>
      </c>
      <c r="I4233">
        <v>-4211817844</v>
      </c>
      <c r="J4233">
        <v>-1860100978</v>
      </c>
      <c r="K4233">
        <v>468463691</v>
      </c>
      <c r="L4233">
        <v>75785783</v>
      </c>
      <c r="M4233">
        <v>-2734449452</v>
      </c>
      <c r="N4233">
        <v>1151703284</v>
      </c>
      <c r="O4233">
        <v>-682504933</v>
      </c>
      <c r="P4233">
        <v>1652</v>
      </c>
      <c r="Q4233" t="s">
        <v>8509</v>
      </c>
    </row>
    <row r="4234" spans="1:17" x14ac:dyDescent="0.3">
      <c r="A4234" t="s">
        <v>4446</v>
      </c>
      <c r="B4234" t="str">
        <f>"300434"</f>
        <v>300434</v>
      </c>
      <c r="C4234" t="s">
        <v>8510</v>
      </c>
      <c r="D4234" t="s">
        <v>113</v>
      </c>
      <c r="F4234">
        <v>51179133</v>
      </c>
      <c r="G4234">
        <v>97939518</v>
      </c>
      <c r="H4234">
        <v>159501132</v>
      </c>
      <c r="I4234">
        <v>173148969</v>
      </c>
      <c r="J4234">
        <v>140145102</v>
      </c>
      <c r="K4234">
        <v>-60546937</v>
      </c>
      <c r="L4234">
        <v>2990718</v>
      </c>
      <c r="M4234">
        <v>6041571</v>
      </c>
      <c r="N4234">
        <v>34546880</v>
      </c>
      <c r="O4234">
        <v>29993060</v>
      </c>
      <c r="P4234">
        <v>96</v>
      </c>
      <c r="Q4234" t="s">
        <v>8511</v>
      </c>
    </row>
    <row r="4235" spans="1:17" x14ac:dyDescent="0.3">
      <c r="A4235" t="s">
        <v>4446</v>
      </c>
      <c r="B4235" t="str">
        <f>"300435"</f>
        <v>300435</v>
      </c>
      <c r="C4235" t="s">
        <v>8512</v>
      </c>
      <c r="D4235" t="s">
        <v>41</v>
      </c>
      <c r="F4235">
        <v>101069120</v>
      </c>
      <c r="G4235">
        <v>143646405</v>
      </c>
      <c r="H4235">
        <v>121991220</v>
      </c>
      <c r="I4235">
        <v>89079322</v>
      </c>
      <c r="J4235">
        <v>16941950</v>
      </c>
      <c r="K4235">
        <v>43639650</v>
      </c>
      <c r="L4235">
        <v>-69516514</v>
      </c>
      <c r="M4235">
        <v>129156687</v>
      </c>
      <c r="N4235">
        <v>47528804</v>
      </c>
      <c r="O4235">
        <v>-22274226</v>
      </c>
      <c r="P4235">
        <v>111</v>
      </c>
      <c r="Q4235" t="s">
        <v>8513</v>
      </c>
    </row>
    <row r="4236" spans="1:17" x14ac:dyDescent="0.3">
      <c r="A4236" t="s">
        <v>4446</v>
      </c>
      <c r="B4236" t="str">
        <f>"300436"</f>
        <v>300436</v>
      </c>
      <c r="C4236" t="s">
        <v>8514</v>
      </c>
      <c r="D4236" t="s">
        <v>113</v>
      </c>
      <c r="F4236">
        <v>-192149436</v>
      </c>
      <c r="G4236">
        <v>-1810250</v>
      </c>
      <c r="H4236">
        <v>-33783535</v>
      </c>
      <c r="I4236">
        <v>-218283583</v>
      </c>
      <c r="J4236">
        <v>35893910</v>
      </c>
      <c r="K4236">
        <v>-8634297</v>
      </c>
      <c r="L4236">
        <v>79699438</v>
      </c>
      <c r="M4236">
        <v>75996213</v>
      </c>
      <c r="N4236">
        <v>41592242</v>
      </c>
      <c r="O4236">
        <v>15736170</v>
      </c>
      <c r="P4236">
        <v>135</v>
      </c>
      <c r="Q4236" t="s">
        <v>8515</v>
      </c>
    </row>
    <row r="4237" spans="1:17" x14ac:dyDescent="0.3">
      <c r="A4237" t="s">
        <v>4446</v>
      </c>
      <c r="B4237" t="str">
        <f>"300437"</f>
        <v>300437</v>
      </c>
      <c r="C4237" t="s">
        <v>8516</v>
      </c>
      <c r="D4237" t="s">
        <v>33</v>
      </c>
      <c r="F4237">
        <v>265007096</v>
      </c>
      <c r="G4237">
        <v>-89962346</v>
      </c>
      <c r="H4237">
        <v>-190126313</v>
      </c>
      <c r="I4237">
        <v>-251603594</v>
      </c>
      <c r="J4237">
        <v>-162982579</v>
      </c>
      <c r="K4237">
        <v>-72806636</v>
      </c>
      <c r="L4237">
        <v>-4488802</v>
      </c>
      <c r="M4237">
        <v>31072493</v>
      </c>
      <c r="N4237">
        <v>-2253534</v>
      </c>
      <c r="O4237">
        <v>9322217</v>
      </c>
      <c r="P4237">
        <v>143</v>
      </c>
      <c r="Q4237" t="s">
        <v>8517</v>
      </c>
    </row>
    <row r="4238" spans="1:17" x14ac:dyDescent="0.3">
      <c r="A4238" t="s">
        <v>4446</v>
      </c>
      <c r="B4238" t="str">
        <f>"300438"</f>
        <v>300438</v>
      </c>
      <c r="C4238" t="s">
        <v>8518</v>
      </c>
      <c r="D4238" t="s">
        <v>188</v>
      </c>
      <c r="F4238">
        <v>-415993808</v>
      </c>
      <c r="G4238">
        <v>98211925</v>
      </c>
      <c r="H4238">
        <v>-120716963</v>
      </c>
      <c r="I4238">
        <v>-327511371</v>
      </c>
      <c r="J4238">
        <v>-277822025</v>
      </c>
      <c r="K4238">
        <v>-281607144</v>
      </c>
      <c r="L4238">
        <v>-66846891</v>
      </c>
      <c r="M4238">
        <v>-8298970</v>
      </c>
      <c r="N4238">
        <v>202078</v>
      </c>
      <c r="O4238">
        <v>13374074</v>
      </c>
      <c r="P4238">
        <v>394</v>
      </c>
      <c r="Q4238" t="s">
        <v>8519</v>
      </c>
    </row>
    <row r="4239" spans="1:17" x14ac:dyDescent="0.3">
      <c r="A4239" t="s">
        <v>4446</v>
      </c>
      <c r="B4239" t="str">
        <f>"300439"</f>
        <v>300439</v>
      </c>
      <c r="C4239" t="s">
        <v>8520</v>
      </c>
      <c r="D4239" t="s">
        <v>113</v>
      </c>
      <c r="F4239">
        <v>340794503</v>
      </c>
      <c r="G4239">
        <v>555102907</v>
      </c>
      <c r="H4239">
        <v>249088775</v>
      </c>
      <c r="I4239">
        <v>-16308997</v>
      </c>
      <c r="J4239">
        <v>-515264992</v>
      </c>
      <c r="K4239">
        <v>-290033239</v>
      </c>
      <c r="L4239">
        <v>90726370</v>
      </c>
      <c r="M4239">
        <v>54912940</v>
      </c>
      <c r="N4239">
        <v>27468608</v>
      </c>
      <c r="O4239">
        <v>-9629162</v>
      </c>
      <c r="P4239">
        <v>209</v>
      </c>
      <c r="Q4239" t="s">
        <v>8521</v>
      </c>
    </row>
    <row r="4240" spans="1:17" x14ac:dyDescent="0.3">
      <c r="A4240" t="s">
        <v>4446</v>
      </c>
      <c r="B4240" t="str">
        <f>"300440"</f>
        <v>300440</v>
      </c>
      <c r="C4240" t="s">
        <v>8522</v>
      </c>
      <c r="D4240" t="s">
        <v>212</v>
      </c>
      <c r="F4240">
        <v>-44798930</v>
      </c>
      <c r="G4240">
        <v>94881874</v>
      </c>
      <c r="H4240">
        <v>131089952</v>
      </c>
      <c r="I4240">
        <v>-15938178</v>
      </c>
      <c r="J4240">
        <v>83877340</v>
      </c>
      <c r="K4240">
        <v>44596267</v>
      </c>
      <c r="L4240">
        <v>49942277</v>
      </c>
      <c r="M4240">
        <v>102160437</v>
      </c>
      <c r="N4240">
        <v>-9518801</v>
      </c>
      <c r="O4240">
        <v>18788528</v>
      </c>
      <c r="P4240">
        <v>151</v>
      </c>
      <c r="Q4240" t="s">
        <v>8523</v>
      </c>
    </row>
    <row r="4241" spans="1:17" x14ac:dyDescent="0.3">
      <c r="A4241" t="s">
        <v>4446</v>
      </c>
      <c r="B4241" t="str">
        <f>"300441"</f>
        <v>300441</v>
      </c>
      <c r="C4241" t="s">
        <v>8524</v>
      </c>
      <c r="D4241" t="s">
        <v>78</v>
      </c>
      <c r="F4241">
        <v>-28760018</v>
      </c>
      <c r="G4241">
        <v>205303864</v>
      </c>
      <c r="H4241">
        <v>62603075</v>
      </c>
      <c r="I4241">
        <v>34156794</v>
      </c>
      <c r="J4241">
        <v>-52793701</v>
      </c>
      <c r="K4241">
        <v>-15833875</v>
      </c>
      <c r="L4241">
        <v>-34168091</v>
      </c>
      <c r="M4241">
        <v>5105573</v>
      </c>
      <c r="N4241">
        <v>-9187642</v>
      </c>
      <c r="O4241">
        <v>-5099080</v>
      </c>
      <c r="P4241">
        <v>96</v>
      </c>
      <c r="Q4241" t="s">
        <v>8525</v>
      </c>
    </row>
    <row r="4242" spans="1:17" x14ac:dyDescent="0.3">
      <c r="A4242" t="s">
        <v>4446</v>
      </c>
      <c r="B4242" t="str">
        <f>"300442"</f>
        <v>300442</v>
      </c>
      <c r="C4242" t="s">
        <v>8526</v>
      </c>
      <c r="D4242" t="s">
        <v>78</v>
      </c>
      <c r="F4242">
        <v>28110007</v>
      </c>
      <c r="G4242">
        <v>-29196127</v>
      </c>
      <c r="H4242">
        <v>-370173</v>
      </c>
      <c r="I4242">
        <v>-78594266</v>
      </c>
      <c r="J4242">
        <v>9050745</v>
      </c>
      <c r="K4242">
        <v>-114044545</v>
      </c>
      <c r="L4242">
        <v>-225093611</v>
      </c>
      <c r="M4242">
        <v>-24916189</v>
      </c>
      <c r="N4242">
        <v>70251266</v>
      </c>
      <c r="O4242">
        <v>63978534</v>
      </c>
      <c r="P4242">
        <v>66</v>
      </c>
      <c r="Q4242" t="s">
        <v>8527</v>
      </c>
    </row>
    <row r="4243" spans="1:17" x14ac:dyDescent="0.3">
      <c r="A4243" t="s">
        <v>4446</v>
      </c>
      <c r="B4243" t="str">
        <f>"300443"</f>
        <v>300443</v>
      </c>
      <c r="C4243" t="s">
        <v>8528</v>
      </c>
      <c r="D4243" t="s">
        <v>188</v>
      </c>
      <c r="F4243">
        <v>-45969056</v>
      </c>
      <c r="G4243">
        <v>-85106648</v>
      </c>
      <c r="H4243">
        <v>39786186</v>
      </c>
      <c r="I4243">
        <v>-262183516</v>
      </c>
      <c r="J4243">
        <v>88884360</v>
      </c>
      <c r="K4243">
        <v>7403993</v>
      </c>
      <c r="L4243">
        <v>-114054158</v>
      </c>
      <c r="M4243">
        <v>34398365</v>
      </c>
      <c r="N4243">
        <v>-8410237</v>
      </c>
      <c r="O4243">
        <v>81027027</v>
      </c>
      <c r="P4243">
        <v>357</v>
      </c>
      <c r="Q4243" t="s">
        <v>8529</v>
      </c>
    </row>
    <row r="4244" spans="1:17" x14ac:dyDescent="0.3">
      <c r="A4244" t="s">
        <v>4446</v>
      </c>
      <c r="B4244" t="str">
        <f>"300444"</f>
        <v>300444</v>
      </c>
      <c r="C4244" t="s">
        <v>8530</v>
      </c>
      <c r="D4244" t="s">
        <v>188</v>
      </c>
      <c r="F4244">
        <v>-644958992</v>
      </c>
      <c r="G4244">
        <v>-73635898</v>
      </c>
      <c r="H4244">
        <v>69088015</v>
      </c>
      <c r="I4244">
        <v>-28153772</v>
      </c>
      <c r="J4244">
        <v>-43050073</v>
      </c>
      <c r="K4244">
        <v>25383984</v>
      </c>
      <c r="L4244">
        <v>-6644841</v>
      </c>
      <c r="M4244">
        <v>30883571</v>
      </c>
      <c r="N4244">
        <v>2849569</v>
      </c>
      <c r="O4244">
        <v>-71035676</v>
      </c>
      <c r="P4244">
        <v>101</v>
      </c>
      <c r="Q4244" t="s">
        <v>8531</v>
      </c>
    </row>
    <row r="4245" spans="1:17" x14ac:dyDescent="0.3">
      <c r="A4245" t="s">
        <v>4446</v>
      </c>
      <c r="B4245" t="str">
        <f>"300445"</f>
        <v>300445</v>
      </c>
      <c r="C4245" t="s">
        <v>8532</v>
      </c>
      <c r="D4245" t="s">
        <v>78</v>
      </c>
      <c r="F4245">
        <v>-78212024</v>
      </c>
      <c r="G4245">
        <v>-39584180</v>
      </c>
      <c r="H4245">
        <v>15224176</v>
      </c>
      <c r="I4245">
        <v>25398257</v>
      </c>
      <c r="J4245">
        <v>55624222</v>
      </c>
      <c r="K4245">
        <v>31894357</v>
      </c>
      <c r="L4245">
        <v>36807510</v>
      </c>
      <c r="M4245">
        <v>30264223</v>
      </c>
      <c r="N4245">
        <v>-7258980</v>
      </c>
      <c r="O4245">
        <v>19671794</v>
      </c>
      <c r="P4245">
        <v>169</v>
      </c>
      <c r="Q4245" t="s">
        <v>8533</v>
      </c>
    </row>
    <row r="4246" spans="1:17" x14ac:dyDescent="0.3">
      <c r="A4246" t="s">
        <v>4446</v>
      </c>
      <c r="B4246" t="str">
        <f>"300446"</f>
        <v>300446</v>
      </c>
      <c r="C4246" t="s">
        <v>8534</v>
      </c>
      <c r="D4246" t="s">
        <v>150</v>
      </c>
      <c r="F4246">
        <v>-72105871</v>
      </c>
      <c r="G4246">
        <v>-61191422</v>
      </c>
      <c r="H4246">
        <v>29071720</v>
      </c>
      <c r="I4246">
        <v>63324009</v>
      </c>
      <c r="J4246">
        <v>98804433</v>
      </c>
      <c r="K4246">
        <v>104506080</v>
      </c>
      <c r="L4246">
        <v>84035956</v>
      </c>
      <c r="M4246">
        <v>67146514</v>
      </c>
      <c r="N4246">
        <v>51303467</v>
      </c>
      <c r="O4246">
        <v>-29140166</v>
      </c>
      <c r="P4246">
        <v>980</v>
      </c>
      <c r="Q4246" t="s">
        <v>8535</v>
      </c>
    </row>
    <row r="4247" spans="1:17" x14ac:dyDescent="0.3">
      <c r="A4247" t="s">
        <v>4446</v>
      </c>
      <c r="B4247" t="str">
        <f>"300447"</f>
        <v>300447</v>
      </c>
      <c r="C4247" t="s">
        <v>8536</v>
      </c>
      <c r="D4247" t="s">
        <v>92</v>
      </c>
      <c r="F4247">
        <v>-141429807</v>
      </c>
      <c r="G4247">
        <v>-16026993</v>
      </c>
      <c r="H4247">
        <v>53919931</v>
      </c>
      <c r="I4247">
        <v>-24453956</v>
      </c>
      <c r="J4247">
        <v>29451947</v>
      </c>
      <c r="K4247">
        <v>-128709350</v>
      </c>
      <c r="L4247">
        <v>-18878816</v>
      </c>
      <c r="M4247">
        <v>28292367</v>
      </c>
      <c r="N4247">
        <v>30558253</v>
      </c>
      <c r="O4247">
        <v>15145293</v>
      </c>
      <c r="P4247">
        <v>120</v>
      </c>
      <c r="Q4247" t="s">
        <v>8537</v>
      </c>
    </row>
    <row r="4248" spans="1:17" x14ac:dyDescent="0.3">
      <c r="A4248" t="s">
        <v>4446</v>
      </c>
      <c r="B4248" t="str">
        <f>"300448"</f>
        <v>300448</v>
      </c>
      <c r="C4248" t="s">
        <v>8538</v>
      </c>
      <c r="D4248" t="s">
        <v>212</v>
      </c>
      <c r="F4248">
        <v>20363516</v>
      </c>
      <c r="G4248">
        <v>93669607</v>
      </c>
      <c r="H4248">
        <v>53232808</v>
      </c>
      <c r="I4248">
        <v>109287390</v>
      </c>
      <c r="J4248">
        <v>-78663209</v>
      </c>
      <c r="K4248">
        <v>-121248898</v>
      </c>
      <c r="L4248">
        <v>18937762</v>
      </c>
      <c r="M4248">
        <v>27606476</v>
      </c>
      <c r="N4248">
        <v>24030593</v>
      </c>
      <c r="O4248">
        <v>-12927282</v>
      </c>
      <c r="P4248">
        <v>157</v>
      </c>
      <c r="Q4248" t="s">
        <v>8539</v>
      </c>
    </row>
    <row r="4249" spans="1:17" x14ac:dyDescent="0.3">
      <c r="A4249" t="s">
        <v>4446</v>
      </c>
      <c r="B4249" t="str">
        <f>"300449"</f>
        <v>300449</v>
      </c>
      <c r="C4249" t="s">
        <v>8540</v>
      </c>
      <c r="D4249" t="s">
        <v>212</v>
      </c>
      <c r="F4249">
        <v>36124306</v>
      </c>
      <c r="G4249">
        <v>113231412</v>
      </c>
      <c r="H4249">
        <v>-34203533</v>
      </c>
      <c r="I4249">
        <v>56730520</v>
      </c>
      <c r="J4249">
        <v>-210732742</v>
      </c>
      <c r="K4249">
        <v>-156852470</v>
      </c>
      <c r="L4249">
        <v>-168379326</v>
      </c>
      <c r="M4249">
        <v>52975369</v>
      </c>
      <c r="N4249">
        <v>16822609</v>
      </c>
      <c r="O4249">
        <v>37811444</v>
      </c>
      <c r="P4249">
        <v>85</v>
      </c>
      <c r="Q4249" t="s">
        <v>8541</v>
      </c>
    </row>
    <row r="4250" spans="1:17" x14ac:dyDescent="0.3">
      <c r="A4250" t="s">
        <v>4446</v>
      </c>
      <c r="B4250" t="str">
        <f>"300450"</f>
        <v>300450</v>
      </c>
      <c r="C4250" t="s">
        <v>8542</v>
      </c>
      <c r="D4250" t="s">
        <v>188</v>
      </c>
      <c r="F4250">
        <v>837189062</v>
      </c>
      <c r="G4250">
        <v>927653831</v>
      </c>
      <c r="H4250">
        <v>328039618</v>
      </c>
      <c r="I4250">
        <v>-124239344</v>
      </c>
      <c r="J4250">
        <v>-13780877</v>
      </c>
      <c r="K4250">
        <v>-16210824</v>
      </c>
      <c r="L4250">
        <v>148957153</v>
      </c>
      <c r="M4250">
        <v>50880669</v>
      </c>
      <c r="N4250">
        <v>17083570</v>
      </c>
      <c r="O4250">
        <v>-57361531</v>
      </c>
      <c r="P4250">
        <v>9754</v>
      </c>
      <c r="Q4250" t="s">
        <v>8543</v>
      </c>
    </row>
    <row r="4251" spans="1:17" x14ac:dyDescent="0.3">
      <c r="A4251" t="s">
        <v>4446</v>
      </c>
      <c r="B4251" t="str">
        <f>"300451"</f>
        <v>300451</v>
      </c>
      <c r="C4251" t="s">
        <v>8544</v>
      </c>
      <c r="D4251" t="s">
        <v>212</v>
      </c>
      <c r="F4251">
        <v>-3182590</v>
      </c>
      <c r="G4251">
        <v>66321166</v>
      </c>
      <c r="H4251">
        <v>-39931592</v>
      </c>
      <c r="I4251">
        <v>63554899</v>
      </c>
      <c r="J4251">
        <v>125624339</v>
      </c>
      <c r="K4251">
        <v>4603015</v>
      </c>
      <c r="L4251">
        <v>-38442878</v>
      </c>
      <c r="M4251">
        <v>41284027</v>
      </c>
      <c r="N4251">
        <v>1224321</v>
      </c>
      <c r="O4251">
        <v>18951591</v>
      </c>
      <c r="P4251">
        <v>352</v>
      </c>
      <c r="Q4251" t="s">
        <v>8545</v>
      </c>
    </row>
    <row r="4252" spans="1:17" x14ac:dyDescent="0.3">
      <c r="A4252" t="s">
        <v>4446</v>
      </c>
      <c r="B4252" t="str">
        <f>"300452"</f>
        <v>300452</v>
      </c>
      <c r="C4252" t="s">
        <v>8546</v>
      </c>
      <c r="D4252" t="s">
        <v>113</v>
      </c>
      <c r="F4252">
        <v>72896297</v>
      </c>
      <c r="G4252">
        <v>64191351</v>
      </c>
      <c r="H4252">
        <v>19657893</v>
      </c>
      <c r="I4252">
        <v>-7017501</v>
      </c>
      <c r="J4252">
        <v>38451707</v>
      </c>
      <c r="K4252">
        <v>40179439</v>
      </c>
      <c r="L4252">
        <v>33827080</v>
      </c>
      <c r="M4252">
        <v>25346451</v>
      </c>
      <c r="N4252">
        <v>-11891804</v>
      </c>
      <c r="O4252">
        <v>-11200025</v>
      </c>
      <c r="P4252">
        <v>300</v>
      </c>
      <c r="Q4252" t="s">
        <v>8547</v>
      </c>
    </row>
    <row r="4253" spans="1:17" x14ac:dyDescent="0.3">
      <c r="A4253" t="s">
        <v>4446</v>
      </c>
      <c r="B4253" t="str">
        <f>"300453"</f>
        <v>300453</v>
      </c>
      <c r="C4253" t="s">
        <v>8548</v>
      </c>
      <c r="D4253" t="s">
        <v>113</v>
      </c>
      <c r="F4253">
        <v>154975062</v>
      </c>
      <c r="G4253">
        <v>174806870</v>
      </c>
      <c r="H4253">
        <v>44320563</v>
      </c>
      <c r="I4253">
        <v>-73382114</v>
      </c>
      <c r="J4253">
        <v>-26814000</v>
      </c>
      <c r="K4253">
        <v>-41950776</v>
      </c>
      <c r="L4253">
        <v>-4136833</v>
      </c>
      <c r="M4253">
        <v>20968565</v>
      </c>
      <c r="N4253">
        <v>-21251046</v>
      </c>
      <c r="O4253">
        <v>-3990749</v>
      </c>
      <c r="P4253">
        <v>228</v>
      </c>
      <c r="Q4253" t="s">
        <v>8549</v>
      </c>
    </row>
    <row r="4254" spans="1:17" x14ac:dyDescent="0.3">
      <c r="A4254" t="s">
        <v>4446</v>
      </c>
      <c r="B4254" t="str">
        <f>"300454"</f>
        <v>300454</v>
      </c>
      <c r="C4254" t="s">
        <v>8550</v>
      </c>
      <c r="D4254" t="s">
        <v>212</v>
      </c>
      <c r="F4254">
        <v>642140571</v>
      </c>
      <c r="G4254">
        <v>1089754342</v>
      </c>
      <c r="H4254">
        <v>824939261</v>
      </c>
      <c r="I4254">
        <v>629024230</v>
      </c>
      <c r="J4254">
        <v>728219411</v>
      </c>
      <c r="K4254">
        <v>423390256</v>
      </c>
      <c r="L4254">
        <v>393472897</v>
      </c>
      <c r="P4254">
        <v>799</v>
      </c>
      <c r="Q4254" t="s">
        <v>8551</v>
      </c>
    </row>
    <row r="4255" spans="1:17" x14ac:dyDescent="0.3">
      <c r="A4255" t="s">
        <v>4446</v>
      </c>
      <c r="B4255" t="str">
        <f>"300455"</f>
        <v>300455</v>
      </c>
      <c r="C4255" t="s">
        <v>8552</v>
      </c>
      <c r="D4255" t="s">
        <v>212</v>
      </c>
      <c r="F4255">
        <v>47692488</v>
      </c>
      <c r="G4255">
        <v>-263402339</v>
      </c>
      <c r="H4255">
        <v>3400722</v>
      </c>
      <c r="I4255">
        <v>-73610356</v>
      </c>
      <c r="J4255">
        <v>22056833</v>
      </c>
      <c r="K4255">
        <v>-28296922</v>
      </c>
      <c r="L4255">
        <v>-15895425</v>
      </c>
      <c r="M4255">
        <v>42191897</v>
      </c>
      <c r="N4255">
        <v>34598295</v>
      </c>
      <c r="O4255">
        <v>41341617</v>
      </c>
      <c r="P4255">
        <v>137</v>
      </c>
      <c r="Q4255" t="s">
        <v>8553</v>
      </c>
    </row>
    <row r="4256" spans="1:17" x14ac:dyDescent="0.3">
      <c r="A4256" t="s">
        <v>4446</v>
      </c>
      <c r="B4256" t="str">
        <f>"300456"</f>
        <v>300456</v>
      </c>
      <c r="C4256" t="s">
        <v>8554</v>
      </c>
      <c r="D4256" t="s">
        <v>150</v>
      </c>
      <c r="F4256">
        <v>-590402733</v>
      </c>
      <c r="G4256">
        <v>39430484</v>
      </c>
      <c r="H4256">
        <v>-471514570</v>
      </c>
      <c r="I4256">
        <v>-404348190</v>
      </c>
      <c r="J4256">
        <v>-80385302</v>
      </c>
      <c r="K4256">
        <v>-62502596</v>
      </c>
      <c r="L4256">
        <v>-26084578</v>
      </c>
      <c r="M4256">
        <v>-13184356</v>
      </c>
      <c r="N4256">
        <v>-11117019</v>
      </c>
      <c r="O4256">
        <v>-21135682</v>
      </c>
      <c r="P4256">
        <v>376</v>
      </c>
      <c r="Q4256" t="s">
        <v>8555</v>
      </c>
    </row>
    <row r="4257" spans="1:17" x14ac:dyDescent="0.3">
      <c r="A4257" t="s">
        <v>4446</v>
      </c>
      <c r="B4257" t="str">
        <f>"300457"</f>
        <v>300457</v>
      </c>
      <c r="C4257" t="s">
        <v>8556</v>
      </c>
      <c r="D4257" t="s">
        <v>188</v>
      </c>
      <c r="F4257">
        <v>-10895331</v>
      </c>
      <c r="G4257">
        <v>-56690482</v>
      </c>
      <c r="H4257">
        <v>-340629446</v>
      </c>
      <c r="I4257">
        <v>-500273472</v>
      </c>
      <c r="J4257">
        <v>-176802590</v>
      </c>
      <c r="K4257">
        <v>-9424044</v>
      </c>
      <c r="L4257">
        <v>-169209479</v>
      </c>
      <c r="M4257">
        <v>-80128868</v>
      </c>
      <c r="N4257">
        <v>-10298065</v>
      </c>
      <c r="O4257">
        <v>14861892</v>
      </c>
      <c r="P4257">
        <v>359</v>
      </c>
      <c r="Q4257" t="s">
        <v>8557</v>
      </c>
    </row>
    <row r="4258" spans="1:17" x14ac:dyDescent="0.3">
      <c r="A4258" t="s">
        <v>4446</v>
      </c>
      <c r="B4258" t="str">
        <f>"300458"</f>
        <v>300458</v>
      </c>
      <c r="C4258" t="s">
        <v>8558</v>
      </c>
      <c r="D4258" t="s">
        <v>150</v>
      </c>
      <c r="F4258">
        <v>174684017</v>
      </c>
      <c r="G4258">
        <v>361748912</v>
      </c>
      <c r="H4258">
        <v>303056791</v>
      </c>
      <c r="I4258">
        <v>-130357472</v>
      </c>
      <c r="J4258">
        <v>-3360960</v>
      </c>
      <c r="K4258">
        <v>-2412362</v>
      </c>
      <c r="L4258">
        <v>143340983</v>
      </c>
      <c r="M4258">
        <v>234558510</v>
      </c>
      <c r="N4258">
        <v>321690694</v>
      </c>
      <c r="O4258">
        <v>373566903</v>
      </c>
      <c r="P4258">
        <v>561</v>
      </c>
      <c r="Q4258" t="s">
        <v>8559</v>
      </c>
    </row>
    <row r="4259" spans="1:17" x14ac:dyDescent="0.3">
      <c r="A4259" t="s">
        <v>4446</v>
      </c>
      <c r="B4259" t="str">
        <f>"300459"</f>
        <v>300459</v>
      </c>
      <c r="C4259" t="s">
        <v>8560</v>
      </c>
      <c r="D4259" t="s">
        <v>89</v>
      </c>
      <c r="F4259">
        <v>996248513</v>
      </c>
      <c r="G4259">
        <v>905764425</v>
      </c>
      <c r="H4259">
        <v>880162447</v>
      </c>
      <c r="I4259">
        <v>286079976</v>
      </c>
      <c r="J4259">
        <v>-40568469</v>
      </c>
      <c r="K4259">
        <v>79302877</v>
      </c>
      <c r="L4259">
        <v>68988915</v>
      </c>
      <c r="M4259">
        <v>88023518</v>
      </c>
      <c r="N4259">
        <v>-4879824</v>
      </c>
      <c r="O4259">
        <v>67773946</v>
      </c>
      <c r="P4259">
        <v>288</v>
      </c>
      <c r="Q4259" t="s">
        <v>8561</v>
      </c>
    </row>
    <row r="4260" spans="1:17" x14ac:dyDescent="0.3">
      <c r="A4260" t="s">
        <v>4446</v>
      </c>
      <c r="B4260" t="str">
        <f>"300460"</f>
        <v>300460</v>
      </c>
      <c r="C4260" t="s">
        <v>8562</v>
      </c>
      <c r="D4260" t="s">
        <v>150</v>
      </c>
      <c r="F4260">
        <v>-582169405</v>
      </c>
      <c r="G4260">
        <v>-161932469</v>
      </c>
      <c r="H4260">
        <v>-23294350</v>
      </c>
      <c r="I4260">
        <v>30977594</v>
      </c>
      <c r="J4260">
        <v>21524376</v>
      </c>
      <c r="K4260">
        <v>-70290209</v>
      </c>
      <c r="L4260">
        <v>-20321094</v>
      </c>
      <c r="M4260">
        <v>73806638</v>
      </c>
      <c r="N4260">
        <v>-16055352</v>
      </c>
      <c r="O4260">
        <v>-31129246</v>
      </c>
      <c r="P4260">
        <v>154</v>
      </c>
      <c r="Q4260" t="s">
        <v>8563</v>
      </c>
    </row>
    <row r="4261" spans="1:17" x14ac:dyDescent="0.3">
      <c r="A4261" t="s">
        <v>4446</v>
      </c>
      <c r="B4261" t="str">
        <f>"300461"</f>
        <v>300461</v>
      </c>
      <c r="C4261" t="s">
        <v>8564</v>
      </c>
      <c r="D4261" t="s">
        <v>78</v>
      </c>
      <c r="F4261">
        <v>48195219</v>
      </c>
      <c r="G4261">
        <v>12143142</v>
      </c>
      <c r="H4261">
        <v>21492643</v>
      </c>
      <c r="I4261">
        <v>97708553</v>
      </c>
      <c r="J4261">
        <v>-90184645</v>
      </c>
      <c r="K4261">
        <v>-51521005</v>
      </c>
      <c r="L4261">
        <v>3768288</v>
      </c>
      <c r="M4261">
        <v>41894124</v>
      </c>
      <c r="N4261">
        <v>4580856</v>
      </c>
      <c r="O4261">
        <v>13476819</v>
      </c>
      <c r="P4261">
        <v>153</v>
      </c>
      <c r="Q4261" t="s">
        <v>8565</v>
      </c>
    </row>
    <row r="4262" spans="1:17" x14ac:dyDescent="0.3">
      <c r="A4262" t="s">
        <v>4446</v>
      </c>
      <c r="B4262" t="str">
        <f>"300462"</f>
        <v>300462</v>
      </c>
      <c r="C4262" t="s">
        <v>8566</v>
      </c>
      <c r="D4262" t="s">
        <v>212</v>
      </c>
      <c r="F4262">
        <v>157443437</v>
      </c>
      <c r="G4262">
        <v>-148037737</v>
      </c>
      <c r="H4262">
        <v>277141100</v>
      </c>
      <c r="I4262">
        <v>47081049</v>
      </c>
      <c r="J4262">
        <v>-42296067</v>
      </c>
      <c r="K4262">
        <v>1219935</v>
      </c>
      <c r="L4262">
        <v>-38480016</v>
      </c>
      <c r="M4262">
        <v>34853870</v>
      </c>
      <c r="N4262">
        <v>17159131</v>
      </c>
      <c r="O4262">
        <v>48232570</v>
      </c>
      <c r="P4262">
        <v>176</v>
      </c>
      <c r="Q4262" t="s">
        <v>8567</v>
      </c>
    </row>
    <row r="4263" spans="1:17" x14ac:dyDescent="0.3">
      <c r="A4263" t="s">
        <v>4446</v>
      </c>
      <c r="B4263" t="str">
        <f>"300463"</f>
        <v>300463</v>
      </c>
      <c r="C4263" t="s">
        <v>8568</v>
      </c>
      <c r="D4263" t="s">
        <v>113</v>
      </c>
      <c r="F4263">
        <v>1016851641</v>
      </c>
      <c r="G4263">
        <v>596525373</v>
      </c>
      <c r="H4263">
        <v>-43930467</v>
      </c>
      <c r="I4263">
        <v>-331906519</v>
      </c>
      <c r="J4263">
        <v>-376558765</v>
      </c>
      <c r="K4263">
        <v>-334990514</v>
      </c>
      <c r="L4263">
        <v>-182914981</v>
      </c>
      <c r="M4263">
        <v>-44292020</v>
      </c>
      <c r="N4263">
        <v>-7346220</v>
      </c>
      <c r="O4263">
        <v>43176460</v>
      </c>
      <c r="P4263">
        <v>1102</v>
      </c>
      <c r="Q4263" t="s">
        <v>8569</v>
      </c>
    </row>
    <row r="4264" spans="1:17" x14ac:dyDescent="0.3">
      <c r="A4264" t="s">
        <v>4446</v>
      </c>
      <c r="B4264" t="str">
        <f>"300464"</f>
        <v>300464</v>
      </c>
      <c r="C4264" t="s">
        <v>8570</v>
      </c>
      <c r="D4264" t="s">
        <v>120</v>
      </c>
      <c r="F4264">
        <v>142503749</v>
      </c>
      <c r="G4264">
        <v>-298219671</v>
      </c>
      <c r="H4264">
        <v>34532462</v>
      </c>
      <c r="I4264">
        <v>-6871745</v>
      </c>
      <c r="J4264">
        <v>-103948718</v>
      </c>
      <c r="K4264">
        <v>-96781566</v>
      </c>
      <c r="L4264">
        <v>-72709819</v>
      </c>
      <c r="M4264">
        <v>-1324597</v>
      </c>
      <c r="N4264">
        <v>-18975923</v>
      </c>
      <c r="O4264">
        <v>-11779039</v>
      </c>
      <c r="P4264">
        <v>121</v>
      </c>
      <c r="Q4264" t="s">
        <v>8571</v>
      </c>
    </row>
    <row r="4265" spans="1:17" x14ac:dyDescent="0.3">
      <c r="A4265" t="s">
        <v>4446</v>
      </c>
      <c r="B4265" t="str">
        <f>"300465"</f>
        <v>300465</v>
      </c>
      <c r="C4265" t="s">
        <v>8572</v>
      </c>
      <c r="D4265" t="s">
        <v>212</v>
      </c>
      <c r="F4265">
        <v>-27152531</v>
      </c>
      <c r="G4265">
        <v>226299876</v>
      </c>
      <c r="H4265">
        <v>165639676</v>
      </c>
      <c r="I4265">
        <v>326067710</v>
      </c>
      <c r="J4265">
        <v>-105875218</v>
      </c>
      <c r="K4265">
        <v>-55534069</v>
      </c>
      <c r="L4265">
        <v>-10913</v>
      </c>
      <c r="M4265">
        <v>32645390</v>
      </c>
      <c r="N4265">
        <v>-40635226</v>
      </c>
      <c r="O4265">
        <v>65899553</v>
      </c>
      <c r="P4265">
        <v>252</v>
      </c>
      <c r="Q4265" t="s">
        <v>8573</v>
      </c>
    </row>
    <row r="4266" spans="1:17" x14ac:dyDescent="0.3">
      <c r="A4266" t="s">
        <v>4446</v>
      </c>
      <c r="B4266" t="str">
        <f>"300466"</f>
        <v>300466</v>
      </c>
      <c r="C4266" t="s">
        <v>8574</v>
      </c>
      <c r="D4266" t="s">
        <v>188</v>
      </c>
      <c r="F4266">
        <v>-19067146</v>
      </c>
      <c r="G4266">
        <v>-1623713</v>
      </c>
      <c r="H4266">
        <v>45565506</v>
      </c>
      <c r="I4266">
        <v>-36367417</v>
      </c>
      <c r="J4266">
        <v>6125012</v>
      </c>
      <c r="K4266">
        <v>-91520551</v>
      </c>
      <c r="L4266">
        <v>-20726015</v>
      </c>
      <c r="M4266">
        <v>-944851</v>
      </c>
      <c r="N4266">
        <v>20355376</v>
      </c>
      <c r="O4266">
        <v>-32059274</v>
      </c>
      <c r="P4266">
        <v>121</v>
      </c>
      <c r="Q4266" t="s">
        <v>8575</v>
      </c>
    </row>
    <row r="4267" spans="1:17" x14ac:dyDescent="0.3">
      <c r="A4267" t="s">
        <v>4446</v>
      </c>
      <c r="B4267" t="str">
        <f>"300467"</f>
        <v>300467</v>
      </c>
      <c r="C4267" t="s">
        <v>8576</v>
      </c>
      <c r="D4267" t="s">
        <v>89</v>
      </c>
      <c r="F4267">
        <v>90461346</v>
      </c>
      <c r="G4267">
        <v>165033317</v>
      </c>
      <c r="H4267">
        <v>172019986</v>
      </c>
      <c r="I4267">
        <v>237837083</v>
      </c>
      <c r="J4267">
        <v>79171104</v>
      </c>
      <c r="K4267">
        <v>33338981</v>
      </c>
      <c r="L4267">
        <v>45671747</v>
      </c>
      <c r="M4267">
        <v>49617954</v>
      </c>
      <c r="N4267">
        <v>68844019</v>
      </c>
      <c r="O4267">
        <v>33095380</v>
      </c>
      <c r="P4267">
        <v>187</v>
      </c>
      <c r="Q4267" t="s">
        <v>8577</v>
      </c>
    </row>
    <row r="4268" spans="1:17" x14ac:dyDescent="0.3">
      <c r="A4268" t="s">
        <v>4446</v>
      </c>
      <c r="B4268" t="str">
        <f>"300468"</f>
        <v>300468</v>
      </c>
      <c r="C4268" t="s">
        <v>8578</v>
      </c>
      <c r="D4268" t="s">
        <v>212</v>
      </c>
      <c r="F4268">
        <v>-28588850</v>
      </c>
      <c r="G4268">
        <v>-15091071</v>
      </c>
      <c r="H4268">
        <v>91597233</v>
      </c>
      <c r="I4268">
        <v>38751095</v>
      </c>
      <c r="J4268">
        <v>-11124566</v>
      </c>
      <c r="K4268">
        <v>-55962315</v>
      </c>
      <c r="L4268">
        <v>-64087334</v>
      </c>
      <c r="M4268">
        <v>45271285</v>
      </c>
      <c r="N4268">
        <v>58078855</v>
      </c>
      <c r="O4268">
        <v>65284707</v>
      </c>
      <c r="P4268">
        <v>213</v>
      </c>
      <c r="Q4268" t="s">
        <v>8579</v>
      </c>
    </row>
    <row r="4269" spans="1:17" x14ac:dyDescent="0.3">
      <c r="A4269" t="s">
        <v>4446</v>
      </c>
      <c r="B4269" t="str">
        <f>"300469"</f>
        <v>300469</v>
      </c>
      <c r="C4269" t="s">
        <v>8580</v>
      </c>
      <c r="D4269" t="s">
        <v>212</v>
      </c>
      <c r="F4269">
        <v>30182282</v>
      </c>
      <c r="G4269">
        <v>-2710280</v>
      </c>
      <c r="H4269">
        <v>-51294114</v>
      </c>
      <c r="I4269">
        <v>-54717461</v>
      </c>
      <c r="J4269">
        <v>-101788634</v>
      </c>
      <c r="K4269">
        <v>-115889263</v>
      </c>
      <c r="L4269">
        <v>-47679969</v>
      </c>
      <c r="M4269">
        <v>-30165728</v>
      </c>
      <c r="N4269">
        <v>5318373</v>
      </c>
      <c r="O4269">
        <v>33023831</v>
      </c>
      <c r="P4269">
        <v>96</v>
      </c>
      <c r="Q4269" t="s">
        <v>8581</v>
      </c>
    </row>
    <row r="4270" spans="1:17" x14ac:dyDescent="0.3">
      <c r="A4270" t="s">
        <v>4446</v>
      </c>
      <c r="B4270" t="str">
        <f>"300470"</f>
        <v>300470</v>
      </c>
      <c r="C4270" t="s">
        <v>8582</v>
      </c>
      <c r="D4270" t="s">
        <v>78</v>
      </c>
      <c r="F4270">
        <v>230179869</v>
      </c>
      <c r="G4270">
        <v>171584131</v>
      </c>
      <c r="H4270">
        <v>124977902</v>
      </c>
      <c r="I4270">
        <v>37693967</v>
      </c>
      <c r="J4270">
        <v>63529132</v>
      </c>
      <c r="K4270">
        <v>64514135</v>
      </c>
      <c r="L4270">
        <v>20505424</v>
      </c>
      <c r="M4270">
        <v>29203603</v>
      </c>
      <c r="N4270">
        <v>17838507</v>
      </c>
      <c r="O4270">
        <v>-1758798</v>
      </c>
      <c r="P4270">
        <v>348</v>
      </c>
      <c r="Q4270" t="s">
        <v>8583</v>
      </c>
    </row>
    <row r="4271" spans="1:17" x14ac:dyDescent="0.3">
      <c r="A4271" t="s">
        <v>4446</v>
      </c>
      <c r="B4271" t="str">
        <f>"300471"</f>
        <v>300471</v>
      </c>
      <c r="C4271" t="s">
        <v>8584</v>
      </c>
      <c r="D4271" t="s">
        <v>78</v>
      </c>
      <c r="F4271">
        <v>-78964030</v>
      </c>
      <c r="G4271">
        <v>-84599103</v>
      </c>
      <c r="H4271">
        <v>149365583</v>
      </c>
      <c r="I4271">
        <v>-340483498</v>
      </c>
      <c r="J4271">
        <v>-297320484</v>
      </c>
      <c r="K4271">
        <v>-336929810</v>
      </c>
      <c r="L4271">
        <v>-102819873</v>
      </c>
      <c r="M4271">
        <v>69766137</v>
      </c>
      <c r="N4271">
        <v>43397332</v>
      </c>
      <c r="O4271">
        <v>143553781</v>
      </c>
      <c r="P4271">
        <v>166</v>
      </c>
      <c r="Q4271" t="s">
        <v>8585</v>
      </c>
    </row>
    <row r="4272" spans="1:17" x14ac:dyDescent="0.3">
      <c r="A4272" t="s">
        <v>4446</v>
      </c>
      <c r="B4272" t="str">
        <f>"300472"</f>
        <v>300472</v>
      </c>
      <c r="C4272" t="s">
        <v>8586</v>
      </c>
      <c r="D4272" t="s">
        <v>78</v>
      </c>
      <c r="F4272">
        <v>-269625669</v>
      </c>
      <c r="G4272">
        <v>-132031742</v>
      </c>
      <c r="H4272">
        <v>37354068</v>
      </c>
      <c r="I4272">
        <v>52168935</v>
      </c>
      <c r="J4272">
        <v>-7562072</v>
      </c>
      <c r="K4272">
        <v>-147278816</v>
      </c>
      <c r="L4272">
        <v>-60067776</v>
      </c>
      <c r="M4272">
        <v>23582707</v>
      </c>
      <c r="N4272">
        <v>5620762</v>
      </c>
      <c r="O4272">
        <v>-8776232</v>
      </c>
      <c r="P4272">
        <v>78</v>
      </c>
      <c r="Q4272" t="s">
        <v>8587</v>
      </c>
    </row>
    <row r="4273" spans="1:17" x14ac:dyDescent="0.3">
      <c r="A4273" t="s">
        <v>4446</v>
      </c>
      <c r="B4273" t="str">
        <f>"300473"</f>
        <v>300473</v>
      </c>
      <c r="C4273" t="s">
        <v>8588</v>
      </c>
      <c r="D4273" t="s">
        <v>27</v>
      </c>
      <c r="F4273">
        <v>-161855000</v>
      </c>
      <c r="G4273">
        <v>212742143</v>
      </c>
      <c r="H4273">
        <v>36117381</v>
      </c>
      <c r="I4273">
        <v>-232367135</v>
      </c>
      <c r="J4273">
        <v>-293592877</v>
      </c>
      <c r="K4273">
        <v>21806102</v>
      </c>
      <c r="L4273">
        <v>30726440</v>
      </c>
      <c r="M4273">
        <v>102457738</v>
      </c>
      <c r="N4273">
        <v>58687010</v>
      </c>
      <c r="O4273">
        <v>75822476</v>
      </c>
      <c r="P4273">
        <v>142</v>
      </c>
      <c r="Q4273" t="s">
        <v>8589</v>
      </c>
    </row>
    <row r="4274" spans="1:17" x14ac:dyDescent="0.3">
      <c r="A4274" t="s">
        <v>4446</v>
      </c>
      <c r="B4274" t="str">
        <f>"300474"</f>
        <v>300474</v>
      </c>
      <c r="C4274" t="s">
        <v>8590</v>
      </c>
      <c r="D4274" t="s">
        <v>92</v>
      </c>
      <c r="F4274">
        <v>33723857</v>
      </c>
      <c r="G4274">
        <v>-22484981</v>
      </c>
      <c r="H4274">
        <v>8139657</v>
      </c>
      <c r="I4274">
        <v>-14484123</v>
      </c>
      <c r="J4274">
        <v>-98088252</v>
      </c>
      <c r="K4274">
        <v>1230136</v>
      </c>
      <c r="L4274">
        <v>5448837</v>
      </c>
      <c r="M4274">
        <v>20902939</v>
      </c>
      <c r="N4274">
        <v>-30710690</v>
      </c>
      <c r="P4274">
        <v>513</v>
      </c>
      <c r="Q4274" t="s">
        <v>8591</v>
      </c>
    </row>
    <row r="4275" spans="1:17" x14ac:dyDescent="0.3">
      <c r="A4275" t="s">
        <v>4446</v>
      </c>
      <c r="B4275" t="str">
        <f>"300475"</f>
        <v>300475</v>
      </c>
      <c r="C4275" t="s">
        <v>8592</v>
      </c>
      <c r="D4275" t="s">
        <v>126</v>
      </c>
      <c r="F4275">
        <v>-79927162</v>
      </c>
      <c r="G4275">
        <v>38132364</v>
      </c>
      <c r="H4275">
        <v>41375392</v>
      </c>
      <c r="I4275">
        <v>-45964690</v>
      </c>
      <c r="J4275">
        <v>47138445</v>
      </c>
      <c r="K4275">
        <v>53913745</v>
      </c>
      <c r="L4275">
        <v>181997013</v>
      </c>
      <c r="M4275">
        <v>142195001</v>
      </c>
      <c r="N4275">
        <v>-9529996</v>
      </c>
      <c r="O4275">
        <v>211097084</v>
      </c>
      <c r="P4275">
        <v>92</v>
      </c>
      <c r="Q4275" t="s">
        <v>8593</v>
      </c>
    </row>
    <row r="4276" spans="1:17" x14ac:dyDescent="0.3">
      <c r="A4276" t="s">
        <v>4446</v>
      </c>
      <c r="B4276" t="str">
        <f>"300476"</f>
        <v>300476</v>
      </c>
      <c r="C4276" t="s">
        <v>8594</v>
      </c>
      <c r="D4276" t="s">
        <v>150</v>
      </c>
      <c r="F4276">
        <v>-731065967</v>
      </c>
      <c r="G4276">
        <v>-1131988799</v>
      </c>
      <c r="H4276">
        <v>-726524948</v>
      </c>
      <c r="I4276">
        <v>-659206101</v>
      </c>
      <c r="J4276">
        <v>-182232821</v>
      </c>
      <c r="K4276">
        <v>-96350272</v>
      </c>
      <c r="L4276">
        <v>-149710713</v>
      </c>
      <c r="M4276">
        <v>83782793</v>
      </c>
      <c r="N4276">
        <v>144756666</v>
      </c>
      <c r="O4276">
        <v>108801520</v>
      </c>
      <c r="P4276">
        <v>633</v>
      </c>
      <c r="Q4276" t="s">
        <v>8595</v>
      </c>
    </row>
    <row r="4277" spans="1:17" x14ac:dyDescent="0.3">
      <c r="A4277" t="s">
        <v>4446</v>
      </c>
      <c r="B4277" t="str">
        <f>"300477"</f>
        <v>300477</v>
      </c>
      <c r="C4277" t="s">
        <v>8596</v>
      </c>
      <c r="D4277" t="s">
        <v>188</v>
      </c>
      <c r="F4277">
        <v>-389859554</v>
      </c>
      <c r="G4277">
        <v>91801683</v>
      </c>
      <c r="H4277">
        <v>74957710</v>
      </c>
      <c r="I4277">
        <v>-386044684</v>
      </c>
      <c r="J4277">
        <v>-92217756</v>
      </c>
      <c r="K4277">
        <v>-99441103</v>
      </c>
      <c r="L4277">
        <v>-175530178</v>
      </c>
      <c r="M4277">
        <v>-10053569</v>
      </c>
      <c r="N4277">
        <v>40833910</v>
      </c>
      <c r="O4277">
        <v>112284936</v>
      </c>
      <c r="P4277">
        <v>100</v>
      </c>
      <c r="Q4277" t="s">
        <v>8597</v>
      </c>
    </row>
    <row r="4278" spans="1:17" x14ac:dyDescent="0.3">
      <c r="A4278" t="s">
        <v>4446</v>
      </c>
      <c r="B4278" t="str">
        <f>"300478"</f>
        <v>300478</v>
      </c>
      <c r="C4278" t="s">
        <v>8598</v>
      </c>
      <c r="D4278" t="s">
        <v>133</v>
      </c>
      <c r="F4278">
        <v>-73581333</v>
      </c>
      <c r="G4278">
        <v>41804062</v>
      </c>
      <c r="H4278">
        <v>-23704456</v>
      </c>
      <c r="I4278">
        <v>-65465393</v>
      </c>
      <c r="J4278">
        <v>-85618871</v>
      </c>
      <c r="K4278">
        <v>11125002</v>
      </c>
      <c r="L4278">
        <v>-33477282</v>
      </c>
      <c r="M4278">
        <v>-21826371</v>
      </c>
      <c r="N4278">
        <v>-3217389</v>
      </c>
      <c r="O4278">
        <v>8083450</v>
      </c>
      <c r="P4278">
        <v>58</v>
      </c>
      <c r="Q4278" t="s">
        <v>8599</v>
      </c>
    </row>
    <row r="4279" spans="1:17" x14ac:dyDescent="0.3">
      <c r="A4279" t="s">
        <v>4446</v>
      </c>
      <c r="B4279" t="str">
        <f>"300479"</f>
        <v>300479</v>
      </c>
      <c r="C4279" t="s">
        <v>8600</v>
      </c>
      <c r="D4279" t="s">
        <v>212</v>
      </c>
      <c r="F4279">
        <v>31456095</v>
      </c>
      <c r="G4279">
        <v>20180514</v>
      </c>
      <c r="H4279">
        <v>-9521035</v>
      </c>
      <c r="I4279">
        <v>-12521174</v>
      </c>
      <c r="J4279">
        <v>-56605712</v>
      </c>
      <c r="K4279">
        <v>-59369835</v>
      </c>
      <c r="L4279">
        <v>3245328</v>
      </c>
      <c r="M4279">
        <v>30653837</v>
      </c>
      <c r="N4279">
        <v>9535519</v>
      </c>
      <c r="O4279">
        <v>13591473</v>
      </c>
      <c r="P4279">
        <v>167</v>
      </c>
      <c r="Q4279" t="s">
        <v>8601</v>
      </c>
    </row>
    <row r="4280" spans="1:17" x14ac:dyDescent="0.3">
      <c r="A4280" t="s">
        <v>4446</v>
      </c>
      <c r="B4280" t="str">
        <f>"300480"</f>
        <v>300480</v>
      </c>
      <c r="C4280" t="s">
        <v>8602</v>
      </c>
      <c r="D4280" t="s">
        <v>78</v>
      </c>
      <c r="F4280">
        <v>44203360</v>
      </c>
      <c r="G4280">
        <v>10549664</v>
      </c>
      <c r="H4280">
        <v>47149036</v>
      </c>
      <c r="I4280">
        <v>-45450968</v>
      </c>
      <c r="J4280">
        <v>-6052779</v>
      </c>
      <c r="K4280">
        <v>8785850</v>
      </c>
      <c r="L4280">
        <v>23286637</v>
      </c>
      <c r="M4280">
        <v>42831245</v>
      </c>
      <c r="N4280">
        <v>40502458</v>
      </c>
      <c r="O4280">
        <v>3195342</v>
      </c>
      <c r="P4280">
        <v>85</v>
      </c>
      <c r="Q4280" t="s">
        <v>8603</v>
      </c>
    </row>
    <row r="4281" spans="1:17" x14ac:dyDescent="0.3">
      <c r="A4281" t="s">
        <v>4446</v>
      </c>
      <c r="B4281" t="str">
        <f>"300481"</f>
        <v>300481</v>
      </c>
      <c r="C4281" t="s">
        <v>8604</v>
      </c>
      <c r="D4281" t="s">
        <v>150</v>
      </c>
      <c r="F4281">
        <v>-102523083</v>
      </c>
      <c r="G4281">
        <v>-26909507</v>
      </c>
      <c r="H4281">
        <v>116838367</v>
      </c>
      <c r="I4281">
        <v>42100146</v>
      </c>
      <c r="J4281">
        <v>-27239018</v>
      </c>
      <c r="K4281">
        <v>36083693</v>
      </c>
      <c r="L4281">
        <v>31772896</v>
      </c>
      <c r="M4281">
        <v>-14160107</v>
      </c>
      <c r="N4281">
        <v>-20826339</v>
      </c>
      <c r="O4281">
        <v>15481906</v>
      </c>
      <c r="P4281">
        <v>354</v>
      </c>
      <c r="Q4281" t="s">
        <v>8605</v>
      </c>
    </row>
    <row r="4282" spans="1:17" x14ac:dyDescent="0.3">
      <c r="A4282" t="s">
        <v>4446</v>
      </c>
      <c r="B4282" t="str">
        <f>"300482"</f>
        <v>300482</v>
      </c>
      <c r="C4282" t="s">
        <v>8606</v>
      </c>
      <c r="D4282" t="s">
        <v>113</v>
      </c>
      <c r="F4282">
        <v>208494753</v>
      </c>
      <c r="G4282">
        <v>642531162</v>
      </c>
      <c r="H4282">
        <v>130659261</v>
      </c>
      <c r="I4282">
        <v>116751920</v>
      </c>
      <c r="J4282">
        <v>56281750</v>
      </c>
      <c r="K4282">
        <v>24045636</v>
      </c>
      <c r="L4282">
        <v>102921705</v>
      </c>
      <c r="M4282">
        <v>77458795</v>
      </c>
      <c r="N4282">
        <v>76667354</v>
      </c>
      <c r="O4282">
        <v>51035262</v>
      </c>
      <c r="P4282">
        <v>17075</v>
      </c>
      <c r="Q4282" t="s">
        <v>8607</v>
      </c>
    </row>
    <row r="4283" spans="1:17" x14ac:dyDescent="0.3">
      <c r="A4283" t="s">
        <v>4446</v>
      </c>
      <c r="B4283" t="str">
        <f>"300483"</f>
        <v>300483</v>
      </c>
      <c r="C4283" t="s">
        <v>8608</v>
      </c>
      <c r="D4283" t="s">
        <v>41</v>
      </c>
      <c r="F4283">
        <v>308338502</v>
      </c>
      <c r="G4283">
        <v>-167425168</v>
      </c>
      <c r="H4283">
        <v>24953688</v>
      </c>
      <c r="I4283">
        <v>-31379618</v>
      </c>
      <c r="J4283">
        <v>69972137</v>
      </c>
      <c r="K4283">
        <v>3119496</v>
      </c>
      <c r="L4283">
        <v>6487115</v>
      </c>
      <c r="M4283">
        <v>19265307</v>
      </c>
      <c r="N4283">
        <v>-9839221</v>
      </c>
      <c r="O4283">
        <v>1558272</v>
      </c>
      <c r="P4283">
        <v>140</v>
      </c>
      <c r="Q4283" t="s">
        <v>8609</v>
      </c>
    </row>
    <row r="4284" spans="1:17" x14ac:dyDescent="0.3">
      <c r="A4284" t="s">
        <v>4446</v>
      </c>
      <c r="B4284" t="str">
        <f>"300484"</f>
        <v>300484</v>
      </c>
      <c r="C4284" t="s">
        <v>8610</v>
      </c>
      <c r="D4284" t="s">
        <v>78</v>
      </c>
      <c r="F4284">
        <v>127609174</v>
      </c>
      <c r="G4284">
        <v>134394900</v>
      </c>
      <c r="H4284">
        <v>-51125096</v>
      </c>
      <c r="I4284">
        <v>-22829599</v>
      </c>
      <c r="J4284">
        <v>64467227</v>
      </c>
      <c r="K4284">
        <v>34496603</v>
      </c>
      <c r="L4284">
        <v>-46758808</v>
      </c>
      <c r="M4284">
        <v>37395397</v>
      </c>
      <c r="N4284">
        <v>27383277</v>
      </c>
      <c r="O4284">
        <v>22194105</v>
      </c>
      <c r="P4284">
        <v>219</v>
      </c>
      <c r="Q4284" t="s">
        <v>8611</v>
      </c>
    </row>
    <row r="4285" spans="1:17" x14ac:dyDescent="0.3">
      <c r="A4285" t="s">
        <v>4446</v>
      </c>
      <c r="B4285" t="str">
        <f>"300485"</f>
        <v>300485</v>
      </c>
      <c r="C4285" t="s">
        <v>8612</v>
      </c>
      <c r="D4285" t="s">
        <v>113</v>
      </c>
      <c r="F4285">
        <v>152631822</v>
      </c>
      <c r="G4285">
        <v>146090002</v>
      </c>
      <c r="H4285">
        <v>61158932</v>
      </c>
      <c r="I4285">
        <v>-51488524</v>
      </c>
      <c r="J4285">
        <v>-32869293</v>
      </c>
      <c r="K4285">
        <v>66206024</v>
      </c>
      <c r="L4285">
        <v>137717991</v>
      </c>
      <c r="M4285">
        <v>205178522</v>
      </c>
      <c r="N4285">
        <v>177401788</v>
      </c>
      <c r="O4285">
        <v>71177068</v>
      </c>
      <c r="P4285">
        <v>196</v>
      </c>
      <c r="Q4285" t="s">
        <v>8613</v>
      </c>
    </row>
    <row r="4286" spans="1:17" x14ac:dyDescent="0.3">
      <c r="A4286" t="s">
        <v>4446</v>
      </c>
      <c r="B4286" t="str">
        <f>"300486"</f>
        <v>300486</v>
      </c>
      <c r="C4286" t="s">
        <v>8614</v>
      </c>
      <c r="D4286" t="s">
        <v>78</v>
      </c>
      <c r="F4286">
        <v>15637108</v>
      </c>
      <c r="G4286">
        <v>-89002894</v>
      </c>
      <c r="H4286">
        <v>-104903038</v>
      </c>
      <c r="I4286">
        <v>-92011362</v>
      </c>
      <c r="J4286">
        <v>-49228077</v>
      </c>
      <c r="K4286">
        <v>-70094169</v>
      </c>
      <c r="L4286">
        <v>-167579201</v>
      </c>
      <c r="M4286">
        <v>-4828648</v>
      </c>
      <c r="N4286">
        <v>-9370377</v>
      </c>
      <c r="O4286">
        <v>-5902034</v>
      </c>
      <c r="P4286">
        <v>75</v>
      </c>
      <c r="Q4286" t="s">
        <v>8615</v>
      </c>
    </row>
    <row r="4287" spans="1:17" x14ac:dyDescent="0.3">
      <c r="A4287" t="s">
        <v>4446</v>
      </c>
      <c r="B4287" t="str">
        <f>"300487"</f>
        <v>300487</v>
      </c>
      <c r="C4287" t="s">
        <v>8616</v>
      </c>
      <c r="D4287" t="s">
        <v>133</v>
      </c>
      <c r="F4287">
        <v>210754411</v>
      </c>
      <c r="G4287">
        <v>207215086</v>
      </c>
      <c r="H4287">
        <v>-282556875</v>
      </c>
      <c r="I4287">
        <v>-120008396</v>
      </c>
      <c r="J4287">
        <v>30250089</v>
      </c>
      <c r="K4287">
        <v>-12891452</v>
      </c>
      <c r="L4287">
        <v>-46516225</v>
      </c>
      <c r="M4287">
        <v>13017188</v>
      </c>
      <c r="N4287">
        <v>47426668</v>
      </c>
      <c r="O4287">
        <v>21625856</v>
      </c>
      <c r="P4287">
        <v>374</v>
      </c>
      <c r="Q4287" t="s">
        <v>8617</v>
      </c>
    </row>
    <row r="4288" spans="1:17" x14ac:dyDescent="0.3">
      <c r="A4288" t="s">
        <v>4446</v>
      </c>
      <c r="B4288" t="str">
        <f>"300488"</f>
        <v>300488</v>
      </c>
      <c r="C4288" t="s">
        <v>8618</v>
      </c>
      <c r="D4288" t="s">
        <v>78</v>
      </c>
      <c r="F4288">
        <v>108045462</v>
      </c>
      <c r="G4288">
        <v>-23443125</v>
      </c>
      <c r="H4288">
        <v>6096988</v>
      </c>
      <c r="I4288">
        <v>-29100723</v>
      </c>
      <c r="J4288">
        <v>-54226018</v>
      </c>
      <c r="K4288">
        <v>21789296</v>
      </c>
      <c r="L4288">
        <v>29153606</v>
      </c>
      <c r="M4288">
        <v>40265898</v>
      </c>
      <c r="N4288">
        <v>12209657</v>
      </c>
      <c r="O4288">
        <v>60395405</v>
      </c>
      <c r="P4288">
        <v>120</v>
      </c>
      <c r="Q4288" t="s">
        <v>8619</v>
      </c>
    </row>
    <row r="4289" spans="1:17" x14ac:dyDescent="0.3">
      <c r="A4289" t="s">
        <v>4446</v>
      </c>
      <c r="B4289" t="str">
        <f>"300489"</f>
        <v>300489</v>
      </c>
      <c r="C4289" t="s">
        <v>8620</v>
      </c>
      <c r="D4289" t="s">
        <v>234</v>
      </c>
      <c r="F4289">
        <v>-1059034317</v>
      </c>
      <c r="G4289">
        <v>-435660744</v>
      </c>
      <c r="H4289">
        <v>36235201</v>
      </c>
      <c r="I4289">
        <v>11706427</v>
      </c>
      <c r="J4289">
        <v>-52397955</v>
      </c>
      <c r="K4289">
        <v>-45115405</v>
      </c>
      <c r="L4289">
        <v>-32711843</v>
      </c>
      <c r="M4289">
        <v>-26219807</v>
      </c>
      <c r="N4289">
        <v>-13088577</v>
      </c>
      <c r="O4289">
        <v>-62846674</v>
      </c>
      <c r="P4289">
        <v>71</v>
      </c>
      <c r="Q4289" t="s">
        <v>8621</v>
      </c>
    </row>
    <row r="4290" spans="1:17" x14ac:dyDescent="0.3">
      <c r="A4290" t="s">
        <v>4446</v>
      </c>
      <c r="B4290" t="str">
        <f>"300490"</f>
        <v>300490</v>
      </c>
      <c r="C4290" t="s">
        <v>8622</v>
      </c>
      <c r="D4290" t="s">
        <v>188</v>
      </c>
      <c r="F4290">
        <v>-501380143</v>
      </c>
      <c r="G4290">
        <v>7659346</v>
      </c>
      <c r="H4290">
        <v>-67231637</v>
      </c>
      <c r="I4290">
        <v>-202333875</v>
      </c>
      <c r="J4290">
        <v>-62694730</v>
      </c>
      <c r="K4290">
        <v>-167453355</v>
      </c>
      <c r="L4290">
        <v>12863955</v>
      </c>
      <c r="M4290">
        <v>80892860</v>
      </c>
      <c r="N4290">
        <v>4817223</v>
      </c>
      <c r="O4290">
        <v>14391401</v>
      </c>
      <c r="P4290">
        <v>161</v>
      </c>
      <c r="Q4290" t="s">
        <v>8623</v>
      </c>
    </row>
    <row r="4291" spans="1:17" x14ac:dyDescent="0.3">
      <c r="A4291" t="s">
        <v>4446</v>
      </c>
      <c r="B4291" t="str">
        <f>"300491"</f>
        <v>300491</v>
      </c>
      <c r="C4291" t="s">
        <v>8624</v>
      </c>
      <c r="D4291" t="s">
        <v>188</v>
      </c>
      <c r="F4291">
        <v>-18229025</v>
      </c>
      <c r="G4291">
        <v>-8785502</v>
      </c>
      <c r="H4291">
        <v>-16453182</v>
      </c>
      <c r="I4291">
        <v>-38604349</v>
      </c>
      <c r="J4291">
        <v>9010480</v>
      </c>
      <c r="K4291">
        <v>-31636627</v>
      </c>
      <c r="L4291">
        <v>-12578669</v>
      </c>
      <c r="M4291">
        <v>-15801821</v>
      </c>
      <c r="N4291">
        <v>879879</v>
      </c>
      <c r="O4291">
        <v>6864935</v>
      </c>
      <c r="P4291">
        <v>94</v>
      </c>
      <c r="Q4291" t="s">
        <v>8625</v>
      </c>
    </row>
    <row r="4292" spans="1:17" x14ac:dyDescent="0.3">
      <c r="A4292" t="s">
        <v>4446</v>
      </c>
      <c r="B4292" t="str">
        <f>"300492"</f>
        <v>300492</v>
      </c>
      <c r="C4292" t="s">
        <v>8626</v>
      </c>
      <c r="D4292" t="s">
        <v>95</v>
      </c>
      <c r="F4292">
        <v>8586795</v>
      </c>
      <c r="G4292">
        <v>11632466</v>
      </c>
      <c r="H4292">
        <v>36033070</v>
      </c>
      <c r="I4292">
        <v>85453336</v>
      </c>
      <c r="J4292">
        <v>5986251</v>
      </c>
      <c r="K4292">
        <v>-3854030</v>
      </c>
      <c r="L4292">
        <v>7082742</v>
      </c>
      <c r="M4292">
        <v>-27131327</v>
      </c>
      <c r="N4292">
        <v>-11654173</v>
      </c>
      <c r="O4292">
        <v>30770930</v>
      </c>
      <c r="P4292">
        <v>94</v>
      </c>
      <c r="Q4292" t="s">
        <v>8627</v>
      </c>
    </row>
    <row r="4293" spans="1:17" x14ac:dyDescent="0.3">
      <c r="A4293" t="s">
        <v>4446</v>
      </c>
      <c r="B4293" t="str">
        <f>"300493"</f>
        <v>300493</v>
      </c>
      <c r="C4293" t="s">
        <v>8628</v>
      </c>
      <c r="D4293" t="s">
        <v>150</v>
      </c>
      <c r="F4293">
        <v>-118549944</v>
      </c>
      <c r="G4293">
        <v>82631431</v>
      </c>
      <c r="H4293">
        <v>269002258</v>
      </c>
      <c r="I4293">
        <v>-39355453</v>
      </c>
      <c r="J4293">
        <v>48984167</v>
      </c>
      <c r="K4293">
        <v>-256539530</v>
      </c>
      <c r="L4293">
        <v>-38313738</v>
      </c>
      <c r="M4293">
        <v>-5638582</v>
      </c>
      <c r="N4293">
        <v>74913429</v>
      </c>
      <c r="O4293">
        <v>12352164</v>
      </c>
      <c r="P4293">
        <v>187</v>
      </c>
      <c r="Q4293" t="s">
        <v>8629</v>
      </c>
    </row>
    <row r="4294" spans="1:17" x14ac:dyDescent="0.3">
      <c r="A4294" t="s">
        <v>4446</v>
      </c>
      <c r="B4294" t="str">
        <f>"300494"</f>
        <v>300494</v>
      </c>
      <c r="C4294" t="s">
        <v>8630</v>
      </c>
      <c r="D4294" t="s">
        <v>89</v>
      </c>
      <c r="F4294">
        <v>176873948</v>
      </c>
      <c r="G4294">
        <v>62207524</v>
      </c>
      <c r="H4294">
        <v>73274868</v>
      </c>
      <c r="I4294">
        <v>-13416483</v>
      </c>
      <c r="J4294">
        <v>54128690</v>
      </c>
      <c r="K4294">
        <v>107906693</v>
      </c>
      <c r="L4294">
        <v>101165820</v>
      </c>
      <c r="M4294">
        <v>89104037</v>
      </c>
      <c r="N4294">
        <v>104381195</v>
      </c>
      <c r="O4294">
        <v>39451356</v>
      </c>
      <c r="P4294">
        <v>134</v>
      </c>
      <c r="Q4294" t="s">
        <v>8631</v>
      </c>
    </row>
    <row r="4295" spans="1:17" x14ac:dyDescent="0.3">
      <c r="A4295" t="s">
        <v>4446</v>
      </c>
      <c r="B4295" t="str">
        <f>"300495"</f>
        <v>300495</v>
      </c>
      <c r="C4295" t="s">
        <v>8632</v>
      </c>
      <c r="D4295" t="s">
        <v>95</v>
      </c>
      <c r="F4295">
        <v>-805426463</v>
      </c>
      <c r="G4295">
        <v>-129103806</v>
      </c>
      <c r="H4295">
        <v>-272901211</v>
      </c>
      <c r="I4295">
        <v>138958931</v>
      </c>
      <c r="J4295">
        <v>-225976768</v>
      </c>
      <c r="K4295">
        <v>-201367942</v>
      </c>
      <c r="L4295">
        <v>-147005455</v>
      </c>
      <c r="M4295">
        <v>-1203441</v>
      </c>
      <c r="N4295">
        <v>25998668</v>
      </c>
      <c r="O4295">
        <v>24265101</v>
      </c>
      <c r="P4295">
        <v>103</v>
      </c>
      <c r="Q4295" t="s">
        <v>8633</v>
      </c>
    </row>
    <row r="4296" spans="1:17" x14ac:dyDescent="0.3">
      <c r="A4296" t="s">
        <v>4446</v>
      </c>
      <c r="B4296" t="str">
        <f>"300496"</f>
        <v>300496</v>
      </c>
      <c r="C4296" t="s">
        <v>8634</v>
      </c>
      <c r="D4296" t="s">
        <v>212</v>
      </c>
      <c r="F4296">
        <v>-322480857</v>
      </c>
      <c r="G4296">
        <v>-64213609</v>
      </c>
      <c r="H4296">
        <v>54636264</v>
      </c>
      <c r="I4296">
        <v>215253918</v>
      </c>
      <c r="J4296">
        <v>163175655</v>
      </c>
      <c r="K4296">
        <v>46074521</v>
      </c>
      <c r="L4296">
        <v>-2879132</v>
      </c>
      <c r="M4296">
        <v>44557574</v>
      </c>
      <c r="N4296">
        <v>110068567</v>
      </c>
      <c r="O4296">
        <v>17795732</v>
      </c>
      <c r="P4296">
        <v>1141</v>
      </c>
      <c r="Q4296" t="s">
        <v>8635</v>
      </c>
    </row>
    <row r="4297" spans="1:17" x14ac:dyDescent="0.3">
      <c r="A4297" t="s">
        <v>4446</v>
      </c>
      <c r="B4297" t="str">
        <f>"300497"</f>
        <v>300497</v>
      </c>
      <c r="C4297" t="s">
        <v>8636</v>
      </c>
      <c r="D4297" t="s">
        <v>113</v>
      </c>
      <c r="F4297">
        <v>-606979347</v>
      </c>
      <c r="G4297">
        <v>-58999118</v>
      </c>
      <c r="H4297">
        <v>13595096</v>
      </c>
      <c r="I4297">
        <v>12027353</v>
      </c>
      <c r="J4297">
        <v>112075620</v>
      </c>
      <c r="K4297">
        <v>107488636</v>
      </c>
      <c r="L4297">
        <v>1017838</v>
      </c>
      <c r="M4297">
        <v>-20307950</v>
      </c>
      <c r="N4297">
        <v>-18248679</v>
      </c>
      <c r="O4297">
        <v>11978862</v>
      </c>
      <c r="P4297">
        <v>4722</v>
      </c>
      <c r="Q4297" t="s">
        <v>8637</v>
      </c>
    </row>
    <row r="4298" spans="1:17" x14ac:dyDescent="0.3">
      <c r="A4298" t="s">
        <v>4446</v>
      </c>
      <c r="B4298" t="str">
        <f>"300498"</f>
        <v>300498</v>
      </c>
      <c r="C4298" t="s">
        <v>8638</v>
      </c>
      <c r="D4298" t="s">
        <v>205</v>
      </c>
      <c r="F4298">
        <v>-8898189556</v>
      </c>
      <c r="G4298">
        <v>-11951098731</v>
      </c>
      <c r="H4298">
        <v>9358681856</v>
      </c>
      <c r="I4298">
        <v>-1343988470</v>
      </c>
      <c r="J4298">
        <v>171323719</v>
      </c>
      <c r="K4298">
        <v>9153706634</v>
      </c>
      <c r="L4298">
        <v>6218775245</v>
      </c>
      <c r="M4298">
        <v>1861020106</v>
      </c>
      <c r="N4298">
        <v>-2048081867</v>
      </c>
      <c r="O4298">
        <v>-199644102</v>
      </c>
      <c r="P4298">
        <v>2457</v>
      </c>
      <c r="Q4298" t="s">
        <v>8639</v>
      </c>
    </row>
    <row r="4299" spans="1:17" x14ac:dyDescent="0.3">
      <c r="A4299" t="s">
        <v>4446</v>
      </c>
      <c r="B4299" t="str">
        <f>"300499"</f>
        <v>300499</v>
      </c>
      <c r="C4299" t="s">
        <v>8640</v>
      </c>
      <c r="D4299" t="s">
        <v>78</v>
      </c>
      <c r="F4299">
        <v>-51970590</v>
      </c>
      <c r="G4299">
        <v>-126694467</v>
      </c>
      <c r="H4299">
        <v>21088418</v>
      </c>
      <c r="I4299">
        <v>1954230</v>
      </c>
      <c r="J4299">
        <v>-86627822</v>
      </c>
      <c r="K4299">
        <v>-95831210</v>
      </c>
      <c r="L4299">
        <v>6669047</v>
      </c>
      <c r="M4299">
        <v>10390643</v>
      </c>
      <c r="N4299">
        <v>14628079</v>
      </c>
      <c r="O4299">
        <v>15486187</v>
      </c>
      <c r="P4299">
        <v>136</v>
      </c>
      <c r="Q4299" t="s">
        <v>8641</v>
      </c>
    </row>
    <row r="4300" spans="1:17" x14ac:dyDescent="0.3">
      <c r="A4300" t="s">
        <v>4446</v>
      </c>
      <c r="B4300" t="str">
        <f>"300500"</f>
        <v>300500</v>
      </c>
      <c r="C4300" t="s">
        <v>8642</v>
      </c>
      <c r="D4300" t="s">
        <v>95</v>
      </c>
      <c r="F4300">
        <v>68222121</v>
      </c>
      <c r="G4300">
        <v>225412917</v>
      </c>
      <c r="H4300">
        <v>-46235571</v>
      </c>
      <c r="I4300">
        <v>30948056</v>
      </c>
      <c r="J4300">
        <v>75695252</v>
      </c>
      <c r="K4300">
        <v>86876454</v>
      </c>
      <c r="L4300">
        <v>19306473</v>
      </c>
      <c r="M4300">
        <v>37507455</v>
      </c>
      <c r="N4300">
        <v>54325596</v>
      </c>
      <c r="O4300">
        <v>58953545</v>
      </c>
      <c r="P4300">
        <v>100</v>
      </c>
      <c r="Q4300" t="s">
        <v>8643</v>
      </c>
    </row>
    <row r="4301" spans="1:17" x14ac:dyDescent="0.3">
      <c r="A4301" t="s">
        <v>4446</v>
      </c>
      <c r="B4301" t="str">
        <f>"300501"</f>
        <v>300501</v>
      </c>
      <c r="C4301" t="s">
        <v>8644</v>
      </c>
      <c r="D4301" t="s">
        <v>161</v>
      </c>
      <c r="F4301">
        <v>-100240066</v>
      </c>
      <c r="G4301">
        <v>-61163676</v>
      </c>
      <c r="H4301">
        <v>12733737</v>
      </c>
      <c r="I4301">
        <v>-39508353</v>
      </c>
      <c r="J4301">
        <v>9400212</v>
      </c>
      <c r="K4301">
        <v>-23477618</v>
      </c>
      <c r="L4301">
        <v>38041067</v>
      </c>
      <c r="M4301">
        <v>61406537</v>
      </c>
      <c r="N4301">
        <v>22739826</v>
      </c>
      <c r="O4301">
        <v>22290523</v>
      </c>
      <c r="P4301">
        <v>132</v>
      </c>
      <c r="Q4301" t="s">
        <v>8645</v>
      </c>
    </row>
    <row r="4302" spans="1:17" x14ac:dyDescent="0.3">
      <c r="A4302" t="s">
        <v>4446</v>
      </c>
      <c r="B4302" t="str">
        <f>"300502"</f>
        <v>300502</v>
      </c>
      <c r="C4302" t="s">
        <v>8646</v>
      </c>
      <c r="D4302" t="s">
        <v>100</v>
      </c>
      <c r="F4302">
        <v>-54964915</v>
      </c>
      <c r="G4302">
        <v>-136206979</v>
      </c>
      <c r="H4302">
        <v>10341046</v>
      </c>
      <c r="I4302">
        <v>251847842</v>
      </c>
      <c r="J4302">
        <v>-208669507</v>
      </c>
      <c r="K4302">
        <v>-124461285</v>
      </c>
      <c r="L4302">
        <v>-4965116</v>
      </c>
      <c r="M4302">
        <v>28968511</v>
      </c>
      <c r="N4302">
        <v>-47448337</v>
      </c>
      <c r="P4302">
        <v>637</v>
      </c>
      <c r="Q4302" t="s">
        <v>8647</v>
      </c>
    </row>
    <row r="4303" spans="1:17" x14ac:dyDescent="0.3">
      <c r="A4303" t="s">
        <v>4446</v>
      </c>
      <c r="B4303" t="str">
        <f>"300503"</f>
        <v>300503</v>
      </c>
      <c r="C4303" t="s">
        <v>8648</v>
      </c>
      <c r="D4303" t="s">
        <v>78</v>
      </c>
      <c r="F4303">
        <v>-57739710</v>
      </c>
      <c r="G4303">
        <v>35582122</v>
      </c>
      <c r="H4303">
        <v>-120111603</v>
      </c>
      <c r="I4303">
        <v>-137124583</v>
      </c>
      <c r="J4303">
        <v>-95880609</v>
      </c>
      <c r="K4303">
        <v>-153632677</v>
      </c>
      <c r="L4303">
        <v>-14984563</v>
      </c>
      <c r="M4303">
        <v>642379</v>
      </c>
      <c r="N4303">
        <v>5743736</v>
      </c>
      <c r="P4303">
        <v>136</v>
      </c>
      <c r="Q4303" t="s">
        <v>8649</v>
      </c>
    </row>
    <row r="4304" spans="1:17" x14ac:dyDescent="0.3">
      <c r="A4304" t="s">
        <v>4446</v>
      </c>
      <c r="B4304" t="str">
        <f>"300504"</f>
        <v>300504</v>
      </c>
      <c r="C4304" t="s">
        <v>8650</v>
      </c>
      <c r="D4304" t="s">
        <v>100</v>
      </c>
      <c r="F4304">
        <v>-243747082</v>
      </c>
      <c r="G4304">
        <v>156687406</v>
      </c>
      <c r="H4304">
        <v>84192967</v>
      </c>
      <c r="I4304">
        <v>101588668</v>
      </c>
      <c r="J4304">
        <v>20388043</v>
      </c>
      <c r="K4304">
        <v>57542529</v>
      </c>
      <c r="L4304">
        <v>21491895</v>
      </c>
      <c r="M4304">
        <v>71591780</v>
      </c>
      <c r="P4304">
        <v>177</v>
      </c>
      <c r="Q4304" t="s">
        <v>8651</v>
      </c>
    </row>
    <row r="4305" spans="1:17" x14ac:dyDescent="0.3">
      <c r="A4305" t="s">
        <v>4446</v>
      </c>
      <c r="B4305" t="str">
        <f>"300505"</f>
        <v>300505</v>
      </c>
      <c r="C4305" t="s">
        <v>8652</v>
      </c>
      <c r="D4305" t="s">
        <v>133</v>
      </c>
      <c r="F4305">
        <v>-220140639</v>
      </c>
      <c r="G4305">
        <v>-199668541</v>
      </c>
      <c r="H4305">
        <v>-157055380</v>
      </c>
      <c r="I4305">
        <v>-69154018</v>
      </c>
      <c r="J4305">
        <v>-82529265</v>
      </c>
      <c r="K4305">
        <v>-20617133</v>
      </c>
      <c r="L4305">
        <v>37911225</v>
      </c>
      <c r="M4305">
        <v>-20980102</v>
      </c>
      <c r="N4305">
        <v>30909305</v>
      </c>
      <c r="P4305">
        <v>98</v>
      </c>
      <c r="Q4305" t="s">
        <v>8653</v>
      </c>
    </row>
    <row r="4306" spans="1:17" x14ac:dyDescent="0.3">
      <c r="A4306" t="s">
        <v>4446</v>
      </c>
      <c r="B4306" t="str">
        <f>"300506"</f>
        <v>300506</v>
      </c>
      <c r="C4306" t="s">
        <v>8654</v>
      </c>
      <c r="D4306" t="s">
        <v>95</v>
      </c>
      <c r="F4306">
        <v>-105797652</v>
      </c>
      <c r="G4306">
        <v>-194960316</v>
      </c>
      <c r="H4306">
        <v>-13008561</v>
      </c>
      <c r="I4306">
        <v>-210896673</v>
      </c>
      <c r="J4306">
        <v>-266460845</v>
      </c>
      <c r="K4306">
        <v>-128991234</v>
      </c>
      <c r="L4306">
        <v>-19485232</v>
      </c>
      <c r="M4306">
        <v>-42955510</v>
      </c>
      <c r="N4306">
        <v>-34817795</v>
      </c>
      <c r="O4306">
        <v>-58233468</v>
      </c>
      <c r="P4306">
        <v>294</v>
      </c>
      <c r="Q4306" t="s">
        <v>8655</v>
      </c>
    </row>
    <row r="4307" spans="1:17" x14ac:dyDescent="0.3">
      <c r="A4307" t="s">
        <v>4446</v>
      </c>
      <c r="B4307" t="str">
        <f>"300507"</f>
        <v>300507</v>
      </c>
      <c r="C4307" t="s">
        <v>8656</v>
      </c>
      <c r="D4307" t="s">
        <v>27</v>
      </c>
      <c r="F4307">
        <v>59487388</v>
      </c>
      <c r="G4307">
        <v>58316164</v>
      </c>
      <c r="H4307">
        <v>13107564</v>
      </c>
      <c r="I4307">
        <v>-53095476</v>
      </c>
      <c r="J4307">
        <v>54355559</v>
      </c>
      <c r="K4307">
        <v>9928321</v>
      </c>
      <c r="L4307">
        <v>51099820</v>
      </c>
      <c r="M4307">
        <v>31625242</v>
      </c>
      <c r="N4307">
        <v>13410980</v>
      </c>
      <c r="P4307">
        <v>137</v>
      </c>
      <c r="Q4307" t="s">
        <v>8657</v>
      </c>
    </row>
    <row r="4308" spans="1:17" x14ac:dyDescent="0.3">
      <c r="A4308" t="s">
        <v>4446</v>
      </c>
      <c r="B4308" t="str">
        <f>"300508"</f>
        <v>300508</v>
      </c>
      <c r="C4308" t="s">
        <v>8658</v>
      </c>
      <c r="D4308" t="s">
        <v>212</v>
      </c>
      <c r="F4308">
        <v>-23766782</v>
      </c>
      <c r="G4308">
        <v>-49175127</v>
      </c>
      <c r="H4308">
        <v>-7314622</v>
      </c>
      <c r="I4308">
        <v>11879504</v>
      </c>
      <c r="J4308">
        <v>26904376</v>
      </c>
      <c r="K4308">
        <v>7168812</v>
      </c>
      <c r="L4308">
        <v>26501087</v>
      </c>
      <c r="M4308">
        <v>14817215</v>
      </c>
      <c r="N4308">
        <v>18880769</v>
      </c>
      <c r="P4308">
        <v>131</v>
      </c>
      <c r="Q4308" t="s">
        <v>8659</v>
      </c>
    </row>
    <row r="4309" spans="1:17" x14ac:dyDescent="0.3">
      <c r="A4309" t="s">
        <v>4446</v>
      </c>
      <c r="B4309" t="str">
        <f>"300509"</f>
        <v>300509</v>
      </c>
      <c r="C4309" t="s">
        <v>8660</v>
      </c>
      <c r="D4309" t="s">
        <v>78</v>
      </c>
      <c r="F4309">
        <v>8270735</v>
      </c>
      <c r="G4309">
        <v>169236507</v>
      </c>
      <c r="H4309">
        <v>-25379825</v>
      </c>
      <c r="I4309">
        <v>-5099475</v>
      </c>
      <c r="J4309">
        <v>-77334435</v>
      </c>
      <c r="K4309">
        <v>5692390</v>
      </c>
      <c r="L4309">
        <v>63986797</v>
      </c>
      <c r="M4309">
        <v>-17925132</v>
      </c>
      <c r="N4309">
        <v>64036928</v>
      </c>
      <c r="P4309">
        <v>64</v>
      </c>
      <c r="Q4309" t="s">
        <v>8661</v>
      </c>
    </row>
    <row r="4310" spans="1:17" x14ac:dyDescent="0.3">
      <c r="A4310" t="s">
        <v>4446</v>
      </c>
      <c r="B4310" t="str">
        <f>"300510"</f>
        <v>300510</v>
      </c>
      <c r="C4310" t="s">
        <v>8662</v>
      </c>
      <c r="D4310" t="s">
        <v>188</v>
      </c>
      <c r="F4310">
        <v>-134102229</v>
      </c>
      <c r="G4310">
        <v>-69816996</v>
      </c>
      <c r="H4310">
        <v>-71943438</v>
      </c>
      <c r="I4310">
        <v>-239841186</v>
      </c>
      <c r="J4310">
        <v>-41904870</v>
      </c>
      <c r="K4310">
        <v>-100812310</v>
      </c>
      <c r="L4310">
        <v>45353668</v>
      </c>
      <c r="M4310">
        <v>-14137007</v>
      </c>
      <c r="N4310">
        <v>25927522</v>
      </c>
      <c r="P4310">
        <v>115</v>
      </c>
      <c r="Q4310" t="s">
        <v>8663</v>
      </c>
    </row>
    <row r="4311" spans="1:17" x14ac:dyDescent="0.3">
      <c r="A4311" t="s">
        <v>4446</v>
      </c>
      <c r="B4311" t="str">
        <f>"300511"</f>
        <v>300511</v>
      </c>
      <c r="C4311" t="s">
        <v>8664</v>
      </c>
      <c r="D4311" t="s">
        <v>205</v>
      </c>
      <c r="F4311">
        <v>-332525800</v>
      </c>
      <c r="G4311">
        <v>81367685</v>
      </c>
      <c r="H4311">
        <v>287400316</v>
      </c>
      <c r="I4311">
        <v>179747238</v>
      </c>
      <c r="J4311">
        <v>-860888870</v>
      </c>
      <c r="K4311">
        <v>-376737200</v>
      </c>
      <c r="L4311">
        <v>-9911537</v>
      </c>
      <c r="M4311">
        <v>91771705</v>
      </c>
      <c r="N4311">
        <v>39473062</v>
      </c>
      <c r="P4311">
        <v>301</v>
      </c>
      <c r="Q4311" t="s">
        <v>8665</v>
      </c>
    </row>
    <row r="4312" spans="1:17" x14ac:dyDescent="0.3">
      <c r="A4312" t="s">
        <v>4446</v>
      </c>
      <c r="B4312" t="str">
        <f>"300512"</f>
        <v>300512</v>
      </c>
      <c r="C4312" t="s">
        <v>8666</v>
      </c>
      <c r="D4312" t="s">
        <v>78</v>
      </c>
      <c r="F4312">
        <v>-165283169</v>
      </c>
      <c r="G4312">
        <v>57601293</v>
      </c>
      <c r="H4312">
        <v>-117516731</v>
      </c>
      <c r="I4312">
        <v>-164556708</v>
      </c>
      <c r="J4312">
        <v>92055133</v>
      </c>
      <c r="K4312">
        <v>156839191</v>
      </c>
      <c r="L4312">
        <v>72766354</v>
      </c>
      <c r="M4312">
        <v>147721477</v>
      </c>
      <c r="N4312">
        <v>126526170</v>
      </c>
      <c r="P4312">
        <v>161</v>
      </c>
      <c r="Q4312" t="s">
        <v>8667</v>
      </c>
    </row>
    <row r="4313" spans="1:17" x14ac:dyDescent="0.3">
      <c r="A4313" t="s">
        <v>4446</v>
      </c>
      <c r="B4313" t="str">
        <f>"300513"</f>
        <v>300513</v>
      </c>
      <c r="C4313" t="s">
        <v>8668</v>
      </c>
      <c r="D4313" t="s">
        <v>100</v>
      </c>
      <c r="F4313">
        <v>27496315</v>
      </c>
      <c r="G4313">
        <v>49003747</v>
      </c>
      <c r="H4313">
        <v>-116646456</v>
      </c>
      <c r="I4313">
        <v>-30384337</v>
      </c>
      <c r="J4313">
        <v>-68866108</v>
      </c>
      <c r="K4313">
        <v>-50318721</v>
      </c>
      <c r="L4313">
        <v>29294994</v>
      </c>
      <c r="M4313">
        <v>-5291324</v>
      </c>
      <c r="N4313">
        <v>-10204807</v>
      </c>
      <c r="P4313">
        <v>160</v>
      </c>
      <c r="Q4313" t="s">
        <v>8669</v>
      </c>
    </row>
    <row r="4314" spans="1:17" x14ac:dyDescent="0.3">
      <c r="A4314" t="s">
        <v>4446</v>
      </c>
      <c r="B4314" t="str">
        <f>"300514"</f>
        <v>300514</v>
      </c>
      <c r="C4314" t="s">
        <v>8670</v>
      </c>
      <c r="D4314" t="s">
        <v>188</v>
      </c>
      <c r="F4314">
        <v>165177315</v>
      </c>
      <c r="G4314">
        <v>44072880</v>
      </c>
      <c r="H4314">
        <v>29016778</v>
      </c>
      <c r="I4314">
        <v>7555335</v>
      </c>
      <c r="J4314">
        <v>12821784</v>
      </c>
      <c r="K4314">
        <v>73170414</v>
      </c>
      <c r="L4314">
        <v>-38750810</v>
      </c>
      <c r="M4314">
        <v>17573869</v>
      </c>
      <c r="P4314">
        <v>148</v>
      </c>
      <c r="Q4314" t="s">
        <v>8671</v>
      </c>
    </row>
    <row r="4315" spans="1:17" x14ac:dyDescent="0.3">
      <c r="A4315" t="s">
        <v>4446</v>
      </c>
      <c r="B4315" t="str">
        <f>"300515"</f>
        <v>300515</v>
      </c>
      <c r="C4315" t="s">
        <v>8672</v>
      </c>
      <c r="D4315" t="s">
        <v>78</v>
      </c>
      <c r="F4315">
        <v>20642675</v>
      </c>
      <c r="G4315">
        <v>59432472</v>
      </c>
      <c r="H4315">
        <v>71982226</v>
      </c>
      <c r="I4315">
        <v>18521598</v>
      </c>
      <c r="J4315">
        <v>15932863</v>
      </c>
      <c r="K4315">
        <v>2691198</v>
      </c>
      <c r="L4315">
        <v>13791296</v>
      </c>
      <c r="M4315">
        <v>13412927</v>
      </c>
      <c r="N4315">
        <v>46333850</v>
      </c>
      <c r="P4315">
        <v>80</v>
      </c>
      <c r="Q4315" t="s">
        <v>8673</v>
      </c>
    </row>
    <row r="4316" spans="1:17" x14ac:dyDescent="0.3">
      <c r="A4316" t="s">
        <v>4446</v>
      </c>
      <c r="B4316" t="str">
        <f>"300516"</f>
        <v>300516</v>
      </c>
      <c r="C4316" t="s">
        <v>8674</v>
      </c>
      <c r="D4316" t="s">
        <v>150</v>
      </c>
      <c r="F4316">
        <v>-86827613</v>
      </c>
      <c r="G4316">
        <v>254270935</v>
      </c>
      <c r="H4316">
        <v>32814759</v>
      </c>
      <c r="I4316">
        <v>9242300</v>
      </c>
      <c r="J4316">
        <v>-187663986</v>
      </c>
      <c r="K4316">
        <v>44628948</v>
      </c>
      <c r="L4316">
        <v>53995082</v>
      </c>
      <c r="M4316">
        <v>-3542597</v>
      </c>
      <c r="N4316">
        <v>11732741</v>
      </c>
      <c r="P4316">
        <v>118</v>
      </c>
      <c r="Q4316" t="s">
        <v>8675</v>
      </c>
    </row>
    <row r="4317" spans="1:17" x14ac:dyDescent="0.3">
      <c r="A4317" t="s">
        <v>4446</v>
      </c>
      <c r="B4317" t="str">
        <f>"300517"</f>
        <v>300517</v>
      </c>
      <c r="C4317" t="s">
        <v>8676</v>
      </c>
      <c r="D4317" t="s">
        <v>95</v>
      </c>
      <c r="F4317">
        <v>-107903042</v>
      </c>
      <c r="G4317">
        <v>-17892279</v>
      </c>
      <c r="H4317">
        <v>82711810</v>
      </c>
      <c r="I4317">
        <v>-45879200</v>
      </c>
      <c r="J4317">
        <v>-160250931</v>
      </c>
      <c r="K4317">
        <v>14107938</v>
      </c>
      <c r="L4317">
        <v>63380826</v>
      </c>
      <c r="M4317">
        <v>19213893</v>
      </c>
      <c r="N4317">
        <v>-58106085</v>
      </c>
      <c r="P4317">
        <v>76</v>
      </c>
      <c r="Q4317" t="s">
        <v>8677</v>
      </c>
    </row>
    <row r="4318" spans="1:17" x14ac:dyDescent="0.3">
      <c r="A4318" t="s">
        <v>4446</v>
      </c>
      <c r="B4318" t="str">
        <f>"300518"</f>
        <v>300518</v>
      </c>
      <c r="C4318" t="s">
        <v>8678</v>
      </c>
      <c r="D4318" t="s">
        <v>89</v>
      </c>
      <c r="F4318">
        <v>355396674</v>
      </c>
      <c r="G4318">
        <v>281986923</v>
      </c>
      <c r="H4318">
        <v>217303968</v>
      </c>
      <c r="I4318">
        <v>58577169</v>
      </c>
      <c r="J4318">
        <v>-105973565</v>
      </c>
      <c r="K4318">
        <v>20420796</v>
      </c>
      <c r="L4318">
        <v>44863824</v>
      </c>
      <c r="M4318">
        <v>72755243</v>
      </c>
      <c r="N4318">
        <v>92737614</v>
      </c>
      <c r="P4318">
        <v>91</v>
      </c>
      <c r="Q4318" t="s">
        <v>8679</v>
      </c>
    </row>
    <row r="4319" spans="1:17" x14ac:dyDescent="0.3">
      <c r="A4319" t="s">
        <v>4446</v>
      </c>
      <c r="B4319" t="str">
        <f>"300519"</f>
        <v>300519</v>
      </c>
      <c r="C4319" t="s">
        <v>8680</v>
      </c>
      <c r="D4319" t="s">
        <v>113</v>
      </c>
      <c r="F4319">
        <v>127842579</v>
      </c>
      <c r="G4319">
        <v>102342240</v>
      </c>
      <c r="H4319">
        <v>82270874</v>
      </c>
      <c r="I4319">
        <v>71634870</v>
      </c>
      <c r="J4319">
        <v>93830867</v>
      </c>
      <c r="K4319">
        <v>98914956</v>
      </c>
      <c r="L4319">
        <v>109991524</v>
      </c>
      <c r="M4319">
        <v>77974792</v>
      </c>
      <c r="N4319">
        <v>50289580</v>
      </c>
      <c r="P4319">
        <v>251</v>
      </c>
      <c r="Q4319" t="s">
        <v>8681</v>
      </c>
    </row>
    <row r="4320" spans="1:17" x14ac:dyDescent="0.3">
      <c r="A4320" t="s">
        <v>4446</v>
      </c>
      <c r="B4320" t="str">
        <f>"300520"</f>
        <v>300520</v>
      </c>
      <c r="C4320" t="s">
        <v>8682</v>
      </c>
      <c r="D4320" t="s">
        <v>212</v>
      </c>
      <c r="F4320">
        <v>-296047686</v>
      </c>
      <c r="G4320">
        <v>153345976</v>
      </c>
      <c r="H4320">
        <v>2692847</v>
      </c>
      <c r="I4320">
        <v>-64696777</v>
      </c>
      <c r="J4320">
        <v>-46357698</v>
      </c>
      <c r="K4320">
        <v>99822108</v>
      </c>
      <c r="L4320">
        <v>17819279</v>
      </c>
      <c r="M4320">
        <v>7245308</v>
      </c>
      <c r="N4320">
        <v>17162294</v>
      </c>
      <c r="P4320">
        <v>255</v>
      </c>
      <c r="Q4320" t="s">
        <v>8683</v>
      </c>
    </row>
    <row r="4321" spans="1:17" x14ac:dyDescent="0.3">
      <c r="A4321" t="s">
        <v>4446</v>
      </c>
      <c r="B4321" t="str">
        <f>"300521"</f>
        <v>300521</v>
      </c>
      <c r="C4321" t="s">
        <v>8684</v>
      </c>
      <c r="D4321" t="s">
        <v>78</v>
      </c>
      <c r="F4321">
        <v>7078010</v>
      </c>
      <c r="G4321">
        <v>-8414860</v>
      </c>
      <c r="H4321">
        <v>-72187274</v>
      </c>
      <c r="I4321">
        <v>-49016512</v>
      </c>
      <c r="J4321">
        <v>-2841754</v>
      </c>
      <c r="K4321">
        <v>-11119907</v>
      </c>
      <c r="L4321">
        <v>20387170</v>
      </c>
      <c r="M4321">
        <v>5896831</v>
      </c>
      <c r="N4321">
        <v>5146320</v>
      </c>
      <c r="P4321">
        <v>57</v>
      </c>
      <c r="Q4321" t="s">
        <v>8685</v>
      </c>
    </row>
    <row r="4322" spans="1:17" x14ac:dyDescent="0.3">
      <c r="A4322" t="s">
        <v>4446</v>
      </c>
      <c r="B4322" t="str">
        <f>"300522"</f>
        <v>300522</v>
      </c>
      <c r="C4322" t="s">
        <v>8686</v>
      </c>
      <c r="D4322" t="s">
        <v>133</v>
      </c>
      <c r="F4322">
        <v>-38723306</v>
      </c>
      <c r="G4322">
        <v>18388788</v>
      </c>
      <c r="H4322">
        <v>15162985</v>
      </c>
      <c r="I4322">
        <v>38111902</v>
      </c>
      <c r="J4322">
        <v>25783200</v>
      </c>
      <c r="K4322">
        <v>5870201</v>
      </c>
      <c r="L4322">
        <v>15885762</v>
      </c>
      <c r="M4322">
        <v>-5763415</v>
      </c>
      <c r="N4322">
        <v>-11210068</v>
      </c>
      <c r="P4322">
        <v>99</v>
      </c>
      <c r="Q4322" t="s">
        <v>8687</v>
      </c>
    </row>
    <row r="4323" spans="1:17" x14ac:dyDescent="0.3">
      <c r="A4323" t="s">
        <v>4446</v>
      </c>
      <c r="B4323" t="str">
        <f>"300523"</f>
        <v>300523</v>
      </c>
      <c r="C4323" t="s">
        <v>8688</v>
      </c>
      <c r="D4323" t="s">
        <v>212</v>
      </c>
      <c r="F4323">
        <v>-299815375</v>
      </c>
      <c r="G4323">
        <v>40023459</v>
      </c>
      <c r="H4323">
        <v>-100855198</v>
      </c>
      <c r="I4323">
        <v>-45141723</v>
      </c>
      <c r="J4323">
        <v>55843621</v>
      </c>
      <c r="K4323">
        <v>17909956</v>
      </c>
      <c r="L4323">
        <v>50209887</v>
      </c>
      <c r="M4323">
        <v>990065</v>
      </c>
      <c r="N4323">
        <v>-53441933</v>
      </c>
      <c r="P4323">
        <v>135</v>
      </c>
      <c r="Q4323" t="s">
        <v>8689</v>
      </c>
    </row>
    <row r="4324" spans="1:17" x14ac:dyDescent="0.3">
      <c r="A4324" t="s">
        <v>4446</v>
      </c>
      <c r="B4324" t="str">
        <f>"300525"</f>
        <v>300525</v>
      </c>
      <c r="C4324" t="s">
        <v>8690</v>
      </c>
      <c r="D4324" t="s">
        <v>212</v>
      </c>
      <c r="F4324">
        <v>161158108</v>
      </c>
      <c r="G4324">
        <v>88864356</v>
      </c>
      <c r="H4324">
        <v>103736982</v>
      </c>
      <c r="I4324">
        <v>77442233</v>
      </c>
      <c r="J4324">
        <v>45788362</v>
      </c>
      <c r="K4324">
        <v>16632925</v>
      </c>
      <c r="L4324">
        <v>25814090</v>
      </c>
      <c r="M4324">
        <v>-4383998</v>
      </c>
      <c r="N4324">
        <v>-5670840</v>
      </c>
      <c r="P4324">
        <v>242</v>
      </c>
      <c r="Q4324" t="s">
        <v>8691</v>
      </c>
    </row>
    <row r="4325" spans="1:17" x14ac:dyDescent="0.3">
      <c r="A4325" t="s">
        <v>4446</v>
      </c>
      <c r="B4325" t="str">
        <f>"300526"</f>
        <v>300526</v>
      </c>
      <c r="C4325" t="s">
        <v>8692</v>
      </c>
      <c r="D4325" t="s">
        <v>227</v>
      </c>
      <c r="F4325">
        <v>164070838</v>
      </c>
      <c r="G4325">
        <v>-9807165</v>
      </c>
      <c r="H4325">
        <v>-43627938</v>
      </c>
      <c r="I4325">
        <v>21580798</v>
      </c>
      <c r="J4325">
        <v>-103320958</v>
      </c>
      <c r="K4325">
        <v>-118137478</v>
      </c>
      <c r="L4325">
        <v>57886754</v>
      </c>
      <c r="M4325">
        <v>-81059215</v>
      </c>
      <c r="N4325">
        <v>-31592142</v>
      </c>
      <c r="P4325">
        <v>104</v>
      </c>
      <c r="Q4325" t="s">
        <v>8693</v>
      </c>
    </row>
    <row r="4326" spans="1:17" x14ac:dyDescent="0.3">
      <c r="A4326" t="s">
        <v>4446</v>
      </c>
      <c r="B4326" t="str">
        <f>"300527"</f>
        <v>300527</v>
      </c>
      <c r="C4326" t="s">
        <v>8694</v>
      </c>
      <c r="D4326" t="s">
        <v>92</v>
      </c>
      <c r="F4326">
        <v>-577996356</v>
      </c>
      <c r="G4326">
        <v>-144495844</v>
      </c>
      <c r="H4326">
        <v>701554070</v>
      </c>
      <c r="I4326">
        <v>-637036493</v>
      </c>
      <c r="J4326">
        <v>-30975408</v>
      </c>
      <c r="K4326">
        <v>-252492460</v>
      </c>
      <c r="L4326">
        <v>509699935</v>
      </c>
      <c r="M4326">
        <v>395662107</v>
      </c>
      <c r="N4326">
        <v>79950595</v>
      </c>
      <c r="P4326">
        <v>144</v>
      </c>
      <c r="Q4326" t="s">
        <v>8695</v>
      </c>
    </row>
    <row r="4327" spans="1:17" x14ac:dyDescent="0.3">
      <c r="A4327" t="s">
        <v>4446</v>
      </c>
      <c r="B4327" t="str">
        <f>"300528"</f>
        <v>300528</v>
      </c>
      <c r="C4327" t="s">
        <v>8696</v>
      </c>
      <c r="D4327" t="s">
        <v>89</v>
      </c>
      <c r="F4327">
        <v>60100239</v>
      </c>
      <c r="G4327">
        <v>130974831</v>
      </c>
      <c r="H4327">
        <v>136259832</v>
      </c>
      <c r="I4327">
        <v>-297448203</v>
      </c>
      <c r="J4327">
        <v>179334560</v>
      </c>
      <c r="K4327">
        <v>207619509</v>
      </c>
      <c r="L4327">
        <v>182210915</v>
      </c>
      <c r="M4327">
        <v>108773153</v>
      </c>
      <c r="N4327">
        <v>-258846323</v>
      </c>
      <c r="P4327">
        <v>81</v>
      </c>
      <c r="Q4327" t="s">
        <v>8697</v>
      </c>
    </row>
    <row r="4328" spans="1:17" x14ac:dyDescent="0.3">
      <c r="A4328" t="s">
        <v>4446</v>
      </c>
      <c r="B4328" t="str">
        <f>"300529"</f>
        <v>300529</v>
      </c>
      <c r="C4328" t="s">
        <v>8698</v>
      </c>
      <c r="D4328" t="s">
        <v>113</v>
      </c>
      <c r="F4328">
        <v>712990234</v>
      </c>
      <c r="G4328">
        <v>601188852</v>
      </c>
      <c r="H4328">
        <v>362842763</v>
      </c>
      <c r="I4328">
        <v>210550386</v>
      </c>
      <c r="J4328">
        <v>126437308</v>
      </c>
      <c r="K4328">
        <v>150156336</v>
      </c>
      <c r="L4328">
        <v>143776886</v>
      </c>
      <c r="M4328">
        <v>73128267</v>
      </c>
      <c r="N4328">
        <v>70186329</v>
      </c>
      <c r="P4328">
        <v>5956</v>
      </c>
      <c r="Q4328" t="s">
        <v>8699</v>
      </c>
    </row>
    <row r="4329" spans="1:17" x14ac:dyDescent="0.3">
      <c r="A4329" t="s">
        <v>4446</v>
      </c>
      <c r="B4329" t="str">
        <f>"300530"</f>
        <v>300530</v>
      </c>
      <c r="C4329" t="s">
        <v>8700</v>
      </c>
      <c r="D4329" t="s">
        <v>133</v>
      </c>
      <c r="F4329">
        <v>-73608018</v>
      </c>
      <c r="G4329">
        <v>-171163843</v>
      </c>
      <c r="H4329">
        <v>-24099055</v>
      </c>
      <c r="I4329">
        <v>24028034</v>
      </c>
      <c r="J4329">
        <v>20315809</v>
      </c>
      <c r="K4329">
        <v>25030677</v>
      </c>
      <c r="L4329">
        <v>34983194</v>
      </c>
      <c r="M4329">
        <v>21555040</v>
      </c>
      <c r="N4329">
        <v>24310969</v>
      </c>
      <c r="P4329">
        <v>64</v>
      </c>
      <c r="Q4329" t="s">
        <v>8701</v>
      </c>
    </row>
    <row r="4330" spans="1:17" x14ac:dyDescent="0.3">
      <c r="A4330" t="s">
        <v>4446</v>
      </c>
      <c r="B4330" t="str">
        <f>"300531"</f>
        <v>300531</v>
      </c>
      <c r="C4330" t="s">
        <v>8702</v>
      </c>
      <c r="D4330" t="s">
        <v>212</v>
      </c>
      <c r="F4330">
        <v>124495535</v>
      </c>
      <c r="G4330">
        <v>103836728</v>
      </c>
      <c r="H4330">
        <v>199795331</v>
      </c>
      <c r="I4330">
        <v>-42684520</v>
      </c>
      <c r="J4330">
        <v>22777457</v>
      </c>
      <c r="K4330">
        <v>25278333</v>
      </c>
      <c r="L4330">
        <v>41607051</v>
      </c>
      <c r="M4330">
        <v>-26017800</v>
      </c>
      <c r="N4330">
        <v>3031343</v>
      </c>
      <c r="P4330">
        <v>174</v>
      </c>
      <c r="Q4330" t="s">
        <v>8703</v>
      </c>
    </row>
    <row r="4331" spans="1:17" x14ac:dyDescent="0.3">
      <c r="A4331" t="s">
        <v>4446</v>
      </c>
      <c r="B4331" t="str">
        <f>"300532"</f>
        <v>300532</v>
      </c>
      <c r="C4331" t="s">
        <v>8704</v>
      </c>
      <c r="D4331" t="s">
        <v>212</v>
      </c>
      <c r="F4331">
        <v>-186529749</v>
      </c>
      <c r="G4331">
        <v>47903495</v>
      </c>
      <c r="H4331">
        <v>85194482</v>
      </c>
      <c r="I4331">
        <v>112886424</v>
      </c>
      <c r="J4331">
        <v>-56601944</v>
      </c>
      <c r="K4331">
        <v>-35356786</v>
      </c>
      <c r="L4331">
        <v>-25524405</v>
      </c>
      <c r="M4331">
        <v>-68837073</v>
      </c>
      <c r="N4331">
        <v>58776966</v>
      </c>
      <c r="P4331">
        <v>221</v>
      </c>
      <c r="Q4331" t="s">
        <v>8705</v>
      </c>
    </row>
    <row r="4332" spans="1:17" x14ac:dyDescent="0.3">
      <c r="A4332" t="s">
        <v>4446</v>
      </c>
      <c r="B4332" t="str">
        <f>"300533"</f>
        <v>300533</v>
      </c>
      <c r="C4332" t="s">
        <v>8706</v>
      </c>
      <c r="D4332" t="s">
        <v>89</v>
      </c>
      <c r="F4332">
        <v>160600172</v>
      </c>
      <c r="G4332">
        <v>47768919</v>
      </c>
      <c r="H4332">
        <v>81537468</v>
      </c>
      <c r="I4332">
        <v>46835033</v>
      </c>
      <c r="J4332">
        <v>17535117</v>
      </c>
      <c r="K4332">
        <v>103252046</v>
      </c>
      <c r="L4332">
        <v>169773268</v>
      </c>
      <c r="M4332">
        <v>235234258</v>
      </c>
      <c r="N4332">
        <v>140543529</v>
      </c>
      <c r="P4332">
        <v>131</v>
      </c>
      <c r="Q4332" t="s">
        <v>8707</v>
      </c>
    </row>
    <row r="4333" spans="1:17" x14ac:dyDescent="0.3">
      <c r="A4333" t="s">
        <v>4446</v>
      </c>
      <c r="B4333" t="str">
        <f>"300534"</f>
        <v>300534</v>
      </c>
      <c r="C4333" t="s">
        <v>8708</v>
      </c>
      <c r="D4333" t="s">
        <v>113</v>
      </c>
      <c r="F4333">
        <v>50734431</v>
      </c>
      <c r="G4333">
        <v>24949181</v>
      </c>
      <c r="H4333">
        <v>-149232</v>
      </c>
      <c r="I4333">
        <v>7456870</v>
      </c>
      <c r="J4333">
        <v>-57662301</v>
      </c>
      <c r="K4333">
        <v>-39895293</v>
      </c>
      <c r="L4333">
        <v>-134056084</v>
      </c>
      <c r="M4333">
        <v>-60346927</v>
      </c>
      <c r="N4333">
        <v>-25023645</v>
      </c>
      <c r="P4333">
        <v>109</v>
      </c>
      <c r="Q4333" t="s">
        <v>8709</v>
      </c>
    </row>
    <row r="4334" spans="1:17" x14ac:dyDescent="0.3">
      <c r="A4334" t="s">
        <v>4446</v>
      </c>
      <c r="B4334" t="str">
        <f>"300535"</f>
        <v>300535</v>
      </c>
      <c r="C4334" t="s">
        <v>8710</v>
      </c>
      <c r="D4334" t="s">
        <v>133</v>
      </c>
      <c r="F4334">
        <v>-52785030</v>
      </c>
      <c r="G4334">
        <v>-54888295</v>
      </c>
      <c r="H4334">
        <v>-26060589</v>
      </c>
      <c r="I4334">
        <v>-75640292</v>
      </c>
      <c r="J4334">
        <v>-52639990</v>
      </c>
      <c r="K4334">
        <v>24666642</v>
      </c>
      <c r="L4334">
        <v>57622068</v>
      </c>
      <c r="M4334">
        <v>7192541</v>
      </c>
      <c r="N4334">
        <v>6819336</v>
      </c>
      <c r="P4334">
        <v>73</v>
      </c>
      <c r="Q4334" t="s">
        <v>8711</v>
      </c>
    </row>
    <row r="4335" spans="1:17" x14ac:dyDescent="0.3">
      <c r="A4335" t="s">
        <v>4446</v>
      </c>
      <c r="B4335" t="str">
        <f>"300536"</f>
        <v>300536</v>
      </c>
      <c r="C4335" t="s">
        <v>8712</v>
      </c>
      <c r="D4335" t="s">
        <v>95</v>
      </c>
      <c r="F4335">
        <v>-73463936</v>
      </c>
      <c r="G4335">
        <v>-109509442</v>
      </c>
      <c r="H4335">
        <v>178970148</v>
      </c>
      <c r="I4335">
        <v>138732645</v>
      </c>
      <c r="J4335">
        <v>-144161439</v>
      </c>
      <c r="K4335">
        <v>8582385</v>
      </c>
      <c r="L4335">
        <v>3459624</v>
      </c>
      <c r="M4335">
        <v>-12650524</v>
      </c>
      <c r="N4335">
        <v>-3984924</v>
      </c>
      <c r="P4335">
        <v>63</v>
      </c>
      <c r="Q4335" t="s">
        <v>8713</v>
      </c>
    </row>
    <row r="4336" spans="1:17" x14ac:dyDescent="0.3">
      <c r="A4336" t="s">
        <v>4446</v>
      </c>
      <c r="B4336" t="str">
        <f>"300537"</f>
        <v>300537</v>
      </c>
      <c r="C4336" t="s">
        <v>8714</v>
      </c>
      <c r="D4336" t="s">
        <v>150</v>
      </c>
      <c r="F4336">
        <v>-10080960</v>
      </c>
      <c r="G4336">
        <v>106634170</v>
      </c>
      <c r="H4336">
        <v>-49850180</v>
      </c>
      <c r="I4336">
        <v>12528109</v>
      </c>
      <c r="J4336">
        <v>-4093564</v>
      </c>
      <c r="K4336">
        <v>15374544</v>
      </c>
      <c r="L4336">
        <v>544889</v>
      </c>
      <c r="M4336">
        <v>17108161</v>
      </c>
      <c r="N4336">
        <v>15834555</v>
      </c>
      <c r="P4336">
        <v>225</v>
      </c>
      <c r="Q4336" t="s">
        <v>8715</v>
      </c>
    </row>
    <row r="4337" spans="1:17" x14ac:dyDescent="0.3">
      <c r="A4337" t="s">
        <v>4446</v>
      </c>
      <c r="B4337" t="str">
        <f>"300538"</f>
        <v>300538</v>
      </c>
      <c r="C4337" t="s">
        <v>8716</v>
      </c>
      <c r="D4337" t="s">
        <v>133</v>
      </c>
      <c r="F4337">
        <v>-360832179</v>
      </c>
      <c r="G4337">
        <v>-138197321</v>
      </c>
      <c r="H4337">
        <v>17317522</v>
      </c>
      <c r="I4337">
        <v>7303803</v>
      </c>
      <c r="J4337">
        <v>-129967374</v>
      </c>
      <c r="K4337">
        <v>16034141</v>
      </c>
      <c r="L4337">
        <v>37663491</v>
      </c>
      <c r="M4337">
        <v>22625216</v>
      </c>
      <c r="N4337">
        <v>43890382</v>
      </c>
      <c r="P4337">
        <v>186</v>
      </c>
      <c r="Q4337" t="s">
        <v>8717</v>
      </c>
    </row>
    <row r="4338" spans="1:17" x14ac:dyDescent="0.3">
      <c r="A4338" t="s">
        <v>4446</v>
      </c>
      <c r="B4338" t="str">
        <f>"300539"</f>
        <v>300539</v>
      </c>
      <c r="C4338" t="s">
        <v>8718</v>
      </c>
      <c r="D4338" t="s">
        <v>133</v>
      </c>
      <c r="F4338">
        <v>15303190</v>
      </c>
      <c r="G4338">
        <v>31822750</v>
      </c>
      <c r="H4338">
        <v>-24020640</v>
      </c>
      <c r="I4338">
        <v>-151750874</v>
      </c>
      <c r="J4338">
        <v>-83275766</v>
      </c>
      <c r="K4338">
        <v>-573531</v>
      </c>
      <c r="L4338">
        <v>4300646</v>
      </c>
      <c r="M4338">
        <v>-9208742</v>
      </c>
      <c r="N4338">
        <v>-60463401</v>
      </c>
      <c r="P4338">
        <v>84</v>
      </c>
      <c r="Q4338" t="s">
        <v>8719</v>
      </c>
    </row>
    <row r="4339" spans="1:17" x14ac:dyDescent="0.3">
      <c r="A4339" t="s">
        <v>4446</v>
      </c>
      <c r="B4339" t="str">
        <f>"300540"</f>
        <v>300540</v>
      </c>
      <c r="C4339" t="s">
        <v>8720</v>
      </c>
      <c r="D4339" t="s">
        <v>78</v>
      </c>
      <c r="F4339">
        <v>-68253079</v>
      </c>
      <c r="G4339">
        <v>-118036084</v>
      </c>
      <c r="H4339">
        <v>-18908263</v>
      </c>
      <c r="I4339">
        <v>-87094647</v>
      </c>
      <c r="J4339">
        <v>-22674427</v>
      </c>
      <c r="K4339">
        <v>-60107030</v>
      </c>
      <c r="L4339">
        <v>-46480924</v>
      </c>
      <c r="M4339">
        <v>-60891332</v>
      </c>
      <c r="N4339">
        <v>55250221</v>
      </c>
      <c r="P4339">
        <v>65</v>
      </c>
      <c r="Q4339" t="s">
        <v>8721</v>
      </c>
    </row>
    <row r="4340" spans="1:17" x14ac:dyDescent="0.3">
      <c r="A4340" t="s">
        <v>4446</v>
      </c>
      <c r="B4340" t="str">
        <f>"300541"</f>
        <v>300541</v>
      </c>
      <c r="C4340" t="s">
        <v>8722</v>
      </c>
      <c r="D4340" t="s">
        <v>212</v>
      </c>
      <c r="F4340">
        <v>272859355</v>
      </c>
      <c r="G4340">
        <v>284187124</v>
      </c>
      <c r="H4340">
        <v>-368304676</v>
      </c>
      <c r="I4340">
        <v>56184726</v>
      </c>
      <c r="J4340">
        <v>-203316621</v>
      </c>
      <c r="K4340">
        <v>-79041778</v>
      </c>
      <c r="L4340">
        <v>18761501</v>
      </c>
      <c r="M4340">
        <v>28218817</v>
      </c>
      <c r="N4340">
        <v>5883901</v>
      </c>
      <c r="P4340">
        <v>177</v>
      </c>
      <c r="Q4340" t="s">
        <v>8723</v>
      </c>
    </row>
    <row r="4341" spans="1:17" x14ac:dyDescent="0.3">
      <c r="A4341" t="s">
        <v>4446</v>
      </c>
      <c r="B4341" t="str">
        <f>"300542"</f>
        <v>300542</v>
      </c>
      <c r="C4341" t="s">
        <v>8724</v>
      </c>
      <c r="D4341" t="s">
        <v>212</v>
      </c>
      <c r="F4341">
        <v>54213589</v>
      </c>
      <c r="G4341">
        <v>167377336</v>
      </c>
      <c r="H4341">
        <v>68234792</v>
      </c>
      <c r="I4341">
        <v>11502425</v>
      </c>
      <c r="J4341">
        <v>-4661217</v>
      </c>
      <c r="K4341">
        <v>-16160737</v>
      </c>
      <c r="L4341">
        <v>-19068913</v>
      </c>
      <c r="M4341">
        <v>-38488517</v>
      </c>
      <c r="N4341">
        <v>-2111105</v>
      </c>
      <c r="P4341">
        <v>143</v>
      </c>
      <c r="Q4341" t="s">
        <v>8725</v>
      </c>
    </row>
    <row r="4342" spans="1:17" x14ac:dyDescent="0.3">
      <c r="A4342" t="s">
        <v>4446</v>
      </c>
      <c r="B4342" t="str">
        <f>"300543"</f>
        <v>300543</v>
      </c>
      <c r="C4342" t="s">
        <v>8726</v>
      </c>
      <c r="D4342" t="s">
        <v>150</v>
      </c>
      <c r="F4342">
        <v>-389808925</v>
      </c>
      <c r="G4342">
        <v>247414940</v>
      </c>
      <c r="H4342">
        <v>178433673</v>
      </c>
      <c r="I4342">
        <v>-108520665</v>
      </c>
      <c r="J4342">
        <v>84725613</v>
      </c>
      <c r="K4342">
        <v>15385997</v>
      </c>
      <c r="L4342">
        <v>22113212</v>
      </c>
      <c r="M4342">
        <v>-20870252</v>
      </c>
      <c r="N4342">
        <v>34438847</v>
      </c>
      <c r="P4342">
        <v>152</v>
      </c>
      <c r="Q4342" t="s">
        <v>8727</v>
      </c>
    </row>
    <row r="4343" spans="1:17" x14ac:dyDescent="0.3">
      <c r="A4343" t="s">
        <v>4446</v>
      </c>
      <c r="B4343" t="str">
        <f>"300545"</f>
        <v>300545</v>
      </c>
      <c r="C4343" t="s">
        <v>8728</v>
      </c>
      <c r="D4343" t="s">
        <v>150</v>
      </c>
      <c r="F4343">
        <v>-182650500</v>
      </c>
      <c r="G4343">
        <v>-282299544</v>
      </c>
      <c r="H4343">
        <v>34089737</v>
      </c>
      <c r="I4343">
        <v>-383983339</v>
      </c>
      <c r="J4343">
        <v>43148718</v>
      </c>
      <c r="K4343">
        <v>-5529742</v>
      </c>
      <c r="L4343">
        <v>19167737</v>
      </c>
      <c r="M4343">
        <v>31940791</v>
      </c>
      <c r="N4343">
        <v>9791348</v>
      </c>
      <c r="P4343">
        <v>182</v>
      </c>
      <c r="Q4343" t="s">
        <v>8729</v>
      </c>
    </row>
    <row r="4344" spans="1:17" x14ac:dyDescent="0.3">
      <c r="A4344" t="s">
        <v>4446</v>
      </c>
      <c r="B4344" t="str">
        <f>"300546"</f>
        <v>300546</v>
      </c>
      <c r="C4344" t="s">
        <v>8730</v>
      </c>
      <c r="D4344" t="s">
        <v>212</v>
      </c>
      <c r="F4344">
        <v>-40790935</v>
      </c>
      <c r="G4344">
        <v>-51255758</v>
      </c>
      <c r="H4344">
        <v>39461008</v>
      </c>
      <c r="I4344">
        <v>-42909963</v>
      </c>
      <c r="J4344">
        <v>36127802</v>
      </c>
      <c r="K4344">
        <v>40081961</v>
      </c>
      <c r="L4344">
        <v>27121931</v>
      </c>
      <c r="M4344">
        <v>50018984</v>
      </c>
      <c r="N4344">
        <v>24982033</v>
      </c>
      <c r="P4344">
        <v>196</v>
      </c>
      <c r="Q4344" t="s">
        <v>8731</v>
      </c>
    </row>
    <row r="4345" spans="1:17" x14ac:dyDescent="0.3">
      <c r="A4345" t="s">
        <v>4446</v>
      </c>
      <c r="B4345" t="str">
        <f>"300547"</f>
        <v>300547</v>
      </c>
      <c r="C4345" t="s">
        <v>8732</v>
      </c>
      <c r="D4345" t="s">
        <v>27</v>
      </c>
      <c r="F4345">
        <v>70077450</v>
      </c>
      <c r="G4345">
        <v>105112634</v>
      </c>
      <c r="H4345">
        <v>32591890</v>
      </c>
      <c r="I4345">
        <v>38214748</v>
      </c>
      <c r="J4345">
        <v>-39077266</v>
      </c>
      <c r="K4345">
        <v>33363256</v>
      </c>
      <c r="L4345">
        <v>63718358</v>
      </c>
      <c r="M4345">
        <v>55519271</v>
      </c>
      <c r="N4345">
        <v>38710165</v>
      </c>
      <c r="P4345">
        <v>181</v>
      </c>
      <c r="Q4345" t="s">
        <v>8733</v>
      </c>
    </row>
    <row r="4346" spans="1:17" x14ac:dyDescent="0.3">
      <c r="A4346" t="s">
        <v>4446</v>
      </c>
      <c r="B4346" t="str">
        <f>"300548"</f>
        <v>300548</v>
      </c>
      <c r="C4346" t="s">
        <v>8734</v>
      </c>
      <c r="D4346" t="s">
        <v>100</v>
      </c>
      <c r="F4346">
        <v>41094026</v>
      </c>
      <c r="G4346">
        <v>-113136238</v>
      </c>
      <c r="H4346">
        <v>-61791509</v>
      </c>
      <c r="I4346">
        <v>75473933</v>
      </c>
      <c r="J4346">
        <v>44613963</v>
      </c>
      <c r="K4346">
        <v>49256553</v>
      </c>
      <c r="L4346">
        <v>-1174722</v>
      </c>
      <c r="M4346">
        <v>22034115</v>
      </c>
      <c r="N4346">
        <v>51481739</v>
      </c>
      <c r="P4346">
        <v>290</v>
      </c>
      <c r="Q4346" t="s">
        <v>8735</v>
      </c>
    </row>
    <row r="4347" spans="1:17" x14ac:dyDescent="0.3">
      <c r="A4347" t="s">
        <v>4446</v>
      </c>
      <c r="B4347" t="str">
        <f>"300549"</f>
        <v>300549</v>
      </c>
      <c r="C4347" t="s">
        <v>8736</v>
      </c>
      <c r="D4347" t="s">
        <v>78</v>
      </c>
      <c r="F4347">
        <v>10616583</v>
      </c>
      <c r="G4347">
        <v>31444752</v>
      </c>
      <c r="H4347">
        <v>-30312742</v>
      </c>
      <c r="I4347">
        <v>47858548</v>
      </c>
      <c r="J4347">
        <v>-8541009</v>
      </c>
      <c r="K4347">
        <v>46204075</v>
      </c>
      <c r="L4347">
        <v>27019791</v>
      </c>
      <c r="M4347">
        <v>5678960</v>
      </c>
      <c r="N4347">
        <v>11016685</v>
      </c>
      <c r="P4347">
        <v>92</v>
      </c>
      <c r="Q4347" t="s">
        <v>8737</v>
      </c>
    </row>
    <row r="4348" spans="1:17" x14ac:dyDescent="0.3">
      <c r="A4348" t="s">
        <v>4446</v>
      </c>
      <c r="B4348" t="str">
        <f>"300550"</f>
        <v>300550</v>
      </c>
      <c r="C4348" t="s">
        <v>8738</v>
      </c>
      <c r="D4348" t="s">
        <v>212</v>
      </c>
      <c r="F4348">
        <v>-93951767</v>
      </c>
      <c r="G4348">
        <v>-130845149</v>
      </c>
      <c r="H4348">
        <v>23766093</v>
      </c>
      <c r="I4348">
        <v>1122711</v>
      </c>
      <c r="J4348">
        <v>6516533</v>
      </c>
      <c r="K4348">
        <v>-29776539</v>
      </c>
      <c r="L4348">
        <v>5528547</v>
      </c>
      <c r="M4348">
        <v>-30817709</v>
      </c>
      <c r="N4348">
        <v>2681383</v>
      </c>
      <c r="P4348">
        <v>123</v>
      </c>
      <c r="Q4348" t="s">
        <v>8739</v>
      </c>
    </row>
    <row r="4349" spans="1:17" x14ac:dyDescent="0.3">
      <c r="A4349" t="s">
        <v>4446</v>
      </c>
      <c r="B4349" t="str">
        <f>"300551"</f>
        <v>300551</v>
      </c>
      <c r="C4349" t="s">
        <v>8740</v>
      </c>
      <c r="D4349" t="s">
        <v>212</v>
      </c>
      <c r="F4349">
        <v>-30590200</v>
      </c>
      <c r="G4349">
        <v>55202835</v>
      </c>
      <c r="H4349">
        <v>51532432</v>
      </c>
      <c r="I4349">
        <v>6925466</v>
      </c>
      <c r="J4349">
        <v>-20891347</v>
      </c>
      <c r="K4349">
        <v>-61376257</v>
      </c>
      <c r="L4349">
        <v>15890974</v>
      </c>
      <c r="M4349">
        <v>57746980</v>
      </c>
      <c r="N4349">
        <v>61677489</v>
      </c>
      <c r="P4349">
        <v>89</v>
      </c>
      <c r="Q4349" t="s">
        <v>8741</v>
      </c>
    </row>
    <row r="4350" spans="1:17" x14ac:dyDescent="0.3">
      <c r="A4350" t="s">
        <v>4446</v>
      </c>
      <c r="B4350" t="str">
        <f>"300552"</f>
        <v>300552</v>
      </c>
      <c r="C4350" t="s">
        <v>8742</v>
      </c>
      <c r="D4350" t="s">
        <v>212</v>
      </c>
      <c r="F4350">
        <v>170210970</v>
      </c>
      <c r="G4350">
        <v>321920511</v>
      </c>
      <c r="H4350">
        <v>449867080</v>
      </c>
      <c r="I4350">
        <v>-51131462</v>
      </c>
      <c r="J4350">
        <v>-116385918</v>
      </c>
      <c r="K4350">
        <v>-35027061</v>
      </c>
      <c r="L4350">
        <v>83031887</v>
      </c>
      <c r="M4350">
        <v>12091576</v>
      </c>
      <c r="N4350">
        <v>-11181150</v>
      </c>
      <c r="P4350">
        <v>327</v>
      </c>
      <c r="Q4350" t="s">
        <v>8743</v>
      </c>
    </row>
    <row r="4351" spans="1:17" x14ac:dyDescent="0.3">
      <c r="A4351" t="s">
        <v>4446</v>
      </c>
      <c r="B4351" t="str">
        <f>"300553"</f>
        <v>300553</v>
      </c>
      <c r="C4351" t="s">
        <v>8744</v>
      </c>
      <c r="D4351" t="s">
        <v>78</v>
      </c>
      <c r="F4351">
        <v>-109419008</v>
      </c>
      <c r="G4351">
        <v>16059471</v>
      </c>
      <c r="H4351">
        <v>17859361</v>
      </c>
      <c r="I4351">
        <v>-10807339</v>
      </c>
      <c r="J4351">
        <v>-30198617</v>
      </c>
      <c r="K4351">
        <v>-4253376</v>
      </c>
      <c r="L4351">
        <v>6885440</v>
      </c>
      <c r="M4351">
        <v>26807715</v>
      </c>
      <c r="N4351">
        <v>27689392</v>
      </c>
      <c r="P4351">
        <v>72</v>
      </c>
      <c r="Q4351" t="s">
        <v>8745</v>
      </c>
    </row>
    <row r="4352" spans="1:17" x14ac:dyDescent="0.3">
      <c r="A4352" t="s">
        <v>4446</v>
      </c>
      <c r="B4352" t="str">
        <f>"300554"</f>
        <v>300554</v>
      </c>
      <c r="C4352" t="s">
        <v>8746</v>
      </c>
      <c r="D4352" t="s">
        <v>78</v>
      </c>
      <c r="F4352">
        <v>81175472</v>
      </c>
      <c r="G4352">
        <v>-58598410</v>
      </c>
      <c r="H4352">
        <v>-116058424</v>
      </c>
      <c r="I4352">
        <v>-40361951</v>
      </c>
      <c r="J4352">
        <v>-20984657</v>
      </c>
      <c r="K4352">
        <v>-25422917</v>
      </c>
      <c r="L4352">
        <v>3174018</v>
      </c>
      <c r="M4352">
        <v>-12445590</v>
      </c>
      <c r="P4352">
        <v>123</v>
      </c>
      <c r="Q4352" t="s">
        <v>8747</v>
      </c>
    </row>
    <row r="4353" spans="1:17" x14ac:dyDescent="0.3">
      <c r="A4353" t="s">
        <v>4446</v>
      </c>
      <c r="B4353" t="str">
        <f>"300555"</f>
        <v>300555</v>
      </c>
      <c r="C4353" t="s">
        <v>8748</v>
      </c>
      <c r="D4353" t="s">
        <v>100</v>
      </c>
      <c r="F4353">
        <v>-64152802</v>
      </c>
      <c r="G4353">
        <v>80866181</v>
      </c>
      <c r="H4353">
        <v>49950013</v>
      </c>
      <c r="I4353">
        <v>-15747875</v>
      </c>
      <c r="J4353">
        <v>-73941732</v>
      </c>
      <c r="K4353">
        <v>-78057027</v>
      </c>
      <c r="L4353">
        <v>1700903</v>
      </c>
      <c r="M4353">
        <v>4195081</v>
      </c>
      <c r="N4353">
        <v>-10218675</v>
      </c>
      <c r="P4353">
        <v>72</v>
      </c>
      <c r="Q4353" t="s">
        <v>8749</v>
      </c>
    </row>
    <row r="4354" spans="1:17" x14ac:dyDescent="0.3">
      <c r="A4354" t="s">
        <v>4446</v>
      </c>
      <c r="B4354" t="str">
        <f>"300556"</f>
        <v>300556</v>
      </c>
      <c r="C4354" t="s">
        <v>8750</v>
      </c>
      <c r="D4354" t="s">
        <v>212</v>
      </c>
      <c r="F4354">
        <v>101507856</v>
      </c>
      <c r="G4354">
        <v>83260475</v>
      </c>
      <c r="H4354">
        <v>28517667</v>
      </c>
      <c r="I4354">
        <v>-21052647</v>
      </c>
      <c r="J4354">
        <v>-430203</v>
      </c>
      <c r="K4354">
        <v>-25193177</v>
      </c>
      <c r="L4354">
        <v>-11723500</v>
      </c>
      <c r="M4354">
        <v>-16322200</v>
      </c>
      <c r="N4354">
        <v>16370500</v>
      </c>
      <c r="P4354">
        <v>112</v>
      </c>
      <c r="Q4354" t="s">
        <v>8751</v>
      </c>
    </row>
    <row r="4355" spans="1:17" x14ac:dyDescent="0.3">
      <c r="A4355" t="s">
        <v>4446</v>
      </c>
      <c r="B4355" t="str">
        <f>"300557"</f>
        <v>300557</v>
      </c>
      <c r="C4355" t="s">
        <v>8752</v>
      </c>
      <c r="D4355" t="s">
        <v>78</v>
      </c>
      <c r="F4355">
        <v>-1716049</v>
      </c>
      <c r="G4355">
        <v>-9998253</v>
      </c>
      <c r="H4355">
        <v>-20675182</v>
      </c>
      <c r="I4355">
        <v>21806887</v>
      </c>
      <c r="J4355">
        <v>-110348337</v>
      </c>
      <c r="K4355">
        <v>26159550</v>
      </c>
      <c r="L4355">
        <v>23294733</v>
      </c>
      <c r="M4355">
        <v>10909753</v>
      </c>
      <c r="N4355">
        <v>31240346</v>
      </c>
      <c r="P4355">
        <v>61</v>
      </c>
      <c r="Q4355" t="s">
        <v>8753</v>
      </c>
    </row>
    <row r="4356" spans="1:17" x14ac:dyDescent="0.3">
      <c r="A4356" t="s">
        <v>4446</v>
      </c>
      <c r="B4356" t="str">
        <f>"300558"</f>
        <v>300558</v>
      </c>
      <c r="C4356" t="s">
        <v>8754</v>
      </c>
      <c r="D4356" t="s">
        <v>113</v>
      </c>
      <c r="F4356">
        <v>-231515815</v>
      </c>
      <c r="G4356">
        <v>-38261548</v>
      </c>
      <c r="H4356">
        <v>-64950533</v>
      </c>
      <c r="I4356">
        <v>-328303828</v>
      </c>
      <c r="J4356">
        <v>-307328118</v>
      </c>
      <c r="K4356">
        <v>113019430</v>
      </c>
      <c r="L4356">
        <v>251966712</v>
      </c>
      <c r="M4356">
        <v>107882753</v>
      </c>
      <c r="N4356">
        <v>167511107</v>
      </c>
      <c r="P4356">
        <v>757</v>
      </c>
      <c r="Q4356" t="s">
        <v>8755</v>
      </c>
    </row>
    <row r="4357" spans="1:17" x14ac:dyDescent="0.3">
      <c r="A4357" t="s">
        <v>4446</v>
      </c>
      <c r="B4357" t="str">
        <f>"300559"</f>
        <v>300559</v>
      </c>
      <c r="C4357" t="s">
        <v>8756</v>
      </c>
      <c r="D4357" t="s">
        <v>212</v>
      </c>
      <c r="F4357">
        <v>-619334</v>
      </c>
      <c r="G4357">
        <v>46082442</v>
      </c>
      <c r="H4357">
        <v>201905312</v>
      </c>
      <c r="I4357">
        <v>59081851</v>
      </c>
      <c r="J4357">
        <v>64740701</v>
      </c>
      <c r="K4357">
        <v>33847945</v>
      </c>
      <c r="L4357">
        <v>7638573</v>
      </c>
      <c r="M4357">
        <v>60817556</v>
      </c>
      <c r="N4357">
        <v>33560406</v>
      </c>
      <c r="P4357">
        <v>369</v>
      </c>
      <c r="Q4357" t="s">
        <v>8757</v>
      </c>
    </row>
    <row r="4358" spans="1:17" x14ac:dyDescent="0.3">
      <c r="A4358" t="s">
        <v>4446</v>
      </c>
      <c r="B4358" t="str">
        <f>"300560"</f>
        <v>300560</v>
      </c>
      <c r="C4358" t="s">
        <v>8758</v>
      </c>
      <c r="D4358" t="s">
        <v>100</v>
      </c>
      <c r="F4358">
        <v>-40222859</v>
      </c>
      <c r="G4358">
        <v>-54662695</v>
      </c>
      <c r="H4358">
        <v>-64315337</v>
      </c>
      <c r="I4358">
        <v>29939525</v>
      </c>
      <c r="J4358">
        <v>-78744269</v>
      </c>
      <c r="K4358">
        <v>-18912092</v>
      </c>
      <c r="L4358">
        <v>6612052</v>
      </c>
      <c r="M4358">
        <v>-1052587</v>
      </c>
      <c r="N4358">
        <v>3763826</v>
      </c>
      <c r="P4358">
        <v>192</v>
      </c>
      <c r="Q4358" t="s">
        <v>8759</v>
      </c>
    </row>
    <row r="4359" spans="1:17" x14ac:dyDescent="0.3">
      <c r="A4359" t="s">
        <v>4446</v>
      </c>
      <c r="B4359" t="str">
        <f>"300561"</f>
        <v>300561</v>
      </c>
      <c r="C4359" t="s">
        <v>8760</v>
      </c>
      <c r="D4359" t="s">
        <v>212</v>
      </c>
      <c r="F4359">
        <v>-64738142</v>
      </c>
      <c r="G4359">
        <v>-44025836</v>
      </c>
      <c r="H4359">
        <v>-120241125</v>
      </c>
      <c r="I4359">
        <v>-69505221</v>
      </c>
      <c r="J4359">
        <v>3365582</v>
      </c>
      <c r="K4359">
        <v>54325126</v>
      </c>
      <c r="L4359">
        <v>36140705</v>
      </c>
      <c r="M4359">
        <v>78724663</v>
      </c>
      <c r="N4359">
        <v>39928488</v>
      </c>
      <c r="P4359">
        <v>114</v>
      </c>
      <c r="Q4359" t="s">
        <v>8761</v>
      </c>
    </row>
    <row r="4360" spans="1:17" x14ac:dyDescent="0.3">
      <c r="A4360" t="s">
        <v>4446</v>
      </c>
      <c r="B4360" t="str">
        <f>"300562"</f>
        <v>300562</v>
      </c>
      <c r="C4360" t="s">
        <v>8762</v>
      </c>
      <c r="D4360" t="s">
        <v>113</v>
      </c>
      <c r="F4360">
        <v>-68654361</v>
      </c>
      <c r="G4360">
        <v>-21295090</v>
      </c>
      <c r="H4360">
        <v>43253975</v>
      </c>
      <c r="I4360">
        <v>61000338</v>
      </c>
      <c r="J4360">
        <v>-83185254</v>
      </c>
      <c r="K4360">
        <v>22671564</v>
      </c>
      <c r="L4360">
        <v>2867929</v>
      </c>
      <c r="M4360">
        <v>35673266</v>
      </c>
      <c r="N4360">
        <v>1604811</v>
      </c>
      <c r="P4360">
        <v>155</v>
      </c>
      <c r="Q4360" t="s">
        <v>8763</v>
      </c>
    </row>
    <row r="4361" spans="1:17" x14ac:dyDescent="0.3">
      <c r="A4361" t="s">
        <v>4446</v>
      </c>
      <c r="B4361" t="str">
        <f>"300563"</f>
        <v>300563</v>
      </c>
      <c r="C4361" t="s">
        <v>8764</v>
      </c>
      <c r="D4361" t="s">
        <v>100</v>
      </c>
      <c r="F4361">
        <v>2824047</v>
      </c>
      <c r="G4361">
        <v>-68884067</v>
      </c>
      <c r="H4361">
        <v>9888347</v>
      </c>
      <c r="I4361">
        <v>-138371</v>
      </c>
      <c r="J4361">
        <v>-88197241</v>
      </c>
      <c r="K4361">
        <v>-8687846</v>
      </c>
      <c r="L4361">
        <v>22697855</v>
      </c>
      <c r="M4361">
        <v>-10647577</v>
      </c>
      <c r="N4361">
        <v>2518951</v>
      </c>
      <c r="P4361">
        <v>144</v>
      </c>
      <c r="Q4361" t="s">
        <v>8765</v>
      </c>
    </row>
    <row r="4362" spans="1:17" x14ac:dyDescent="0.3">
      <c r="A4362" t="s">
        <v>4446</v>
      </c>
      <c r="B4362" t="str">
        <f>"300564"</f>
        <v>300564</v>
      </c>
      <c r="C4362" t="s">
        <v>8766</v>
      </c>
      <c r="D4362" t="s">
        <v>95</v>
      </c>
      <c r="F4362">
        <v>-3897712</v>
      </c>
      <c r="G4362">
        <v>150530014</v>
      </c>
      <c r="H4362">
        <v>118062324</v>
      </c>
      <c r="I4362">
        <v>201847314</v>
      </c>
      <c r="J4362">
        <v>161329566</v>
      </c>
      <c r="K4362">
        <v>124202072</v>
      </c>
      <c r="P4362">
        <v>211</v>
      </c>
      <c r="Q4362" t="s">
        <v>8767</v>
      </c>
    </row>
    <row r="4363" spans="1:17" x14ac:dyDescent="0.3">
      <c r="A4363" t="s">
        <v>4446</v>
      </c>
      <c r="B4363" t="str">
        <f>"300565"</f>
        <v>300565</v>
      </c>
      <c r="C4363" t="s">
        <v>8768</v>
      </c>
      <c r="D4363" t="s">
        <v>100</v>
      </c>
      <c r="F4363">
        <v>-510469323</v>
      </c>
      <c r="G4363">
        <v>-163332131</v>
      </c>
      <c r="H4363">
        <v>-53028765</v>
      </c>
      <c r="I4363">
        <v>-109756070</v>
      </c>
      <c r="J4363">
        <v>55032887</v>
      </c>
      <c r="K4363">
        <v>6827141</v>
      </c>
      <c r="L4363">
        <v>-5686256</v>
      </c>
      <c r="M4363">
        <v>3449571</v>
      </c>
      <c r="N4363">
        <v>19224567</v>
      </c>
      <c r="P4363">
        <v>113</v>
      </c>
      <c r="Q4363" t="s">
        <v>8769</v>
      </c>
    </row>
    <row r="4364" spans="1:17" x14ac:dyDescent="0.3">
      <c r="A4364" t="s">
        <v>4446</v>
      </c>
      <c r="B4364" t="str">
        <f>"300566"</f>
        <v>300566</v>
      </c>
      <c r="C4364" t="s">
        <v>8770</v>
      </c>
      <c r="D4364" t="s">
        <v>150</v>
      </c>
      <c r="F4364">
        <v>-161596690</v>
      </c>
      <c r="G4364">
        <v>93854886</v>
      </c>
      <c r="H4364">
        <v>102007822</v>
      </c>
      <c r="I4364">
        <v>-72220536</v>
      </c>
      <c r="J4364">
        <v>-20568955</v>
      </c>
      <c r="K4364">
        <v>-115615044</v>
      </c>
      <c r="L4364">
        <v>-85737367</v>
      </c>
      <c r="M4364">
        <v>-145344822</v>
      </c>
      <c r="N4364">
        <v>-42538366</v>
      </c>
      <c r="P4364">
        <v>198</v>
      </c>
      <c r="Q4364" t="s">
        <v>8771</v>
      </c>
    </row>
    <row r="4365" spans="1:17" x14ac:dyDescent="0.3">
      <c r="A4365" t="s">
        <v>4446</v>
      </c>
      <c r="B4365" t="str">
        <f>"300567"</f>
        <v>300567</v>
      </c>
      <c r="C4365" t="s">
        <v>8772</v>
      </c>
      <c r="D4365" t="s">
        <v>78</v>
      </c>
      <c r="F4365">
        <v>-797352397</v>
      </c>
      <c r="G4365">
        <v>85433496</v>
      </c>
      <c r="H4365">
        <v>-604123935</v>
      </c>
      <c r="I4365">
        <v>-517222</v>
      </c>
      <c r="J4365">
        <v>70962143</v>
      </c>
      <c r="K4365">
        <v>32364444</v>
      </c>
      <c r="L4365">
        <v>20130492</v>
      </c>
      <c r="M4365">
        <v>-76457607</v>
      </c>
      <c r="N4365">
        <v>31504939</v>
      </c>
      <c r="P4365">
        <v>1242</v>
      </c>
      <c r="Q4365" t="s">
        <v>8773</v>
      </c>
    </row>
    <row r="4366" spans="1:17" x14ac:dyDescent="0.3">
      <c r="A4366" t="s">
        <v>4446</v>
      </c>
      <c r="B4366" t="str">
        <f>"300568"</f>
        <v>300568</v>
      </c>
      <c r="C4366" t="s">
        <v>8774</v>
      </c>
      <c r="D4366" t="s">
        <v>188</v>
      </c>
      <c r="F4366">
        <v>-750500509</v>
      </c>
      <c r="G4366">
        <v>-161067870</v>
      </c>
      <c r="H4366">
        <v>-915519358</v>
      </c>
      <c r="I4366">
        <v>-1018593945</v>
      </c>
      <c r="J4366">
        <v>-478857384</v>
      </c>
      <c r="K4366">
        <v>-102159593</v>
      </c>
      <c r="L4366">
        <v>25526359</v>
      </c>
      <c r="M4366">
        <v>109811159</v>
      </c>
      <c r="N4366">
        <v>-45230340</v>
      </c>
      <c r="P4366">
        <v>475</v>
      </c>
      <c r="Q4366" t="s">
        <v>8775</v>
      </c>
    </row>
    <row r="4367" spans="1:17" x14ac:dyDescent="0.3">
      <c r="A4367" t="s">
        <v>4446</v>
      </c>
      <c r="B4367" t="str">
        <f>"300569"</f>
        <v>300569</v>
      </c>
      <c r="C4367" t="s">
        <v>8776</v>
      </c>
      <c r="D4367" t="s">
        <v>188</v>
      </c>
      <c r="F4367">
        <v>-970341112</v>
      </c>
      <c r="G4367">
        <v>-426160092</v>
      </c>
      <c r="H4367">
        <v>-378800612</v>
      </c>
      <c r="I4367">
        <v>-772010952</v>
      </c>
      <c r="J4367">
        <v>-301534204</v>
      </c>
      <c r="K4367">
        <v>-52609942</v>
      </c>
      <c r="L4367">
        <v>150199925</v>
      </c>
      <c r="M4367">
        <v>121754351</v>
      </c>
      <c r="N4367">
        <v>67257124</v>
      </c>
      <c r="P4367">
        <v>201</v>
      </c>
      <c r="Q4367" t="s">
        <v>8777</v>
      </c>
    </row>
    <row r="4368" spans="1:17" x14ac:dyDescent="0.3">
      <c r="A4368" t="s">
        <v>4446</v>
      </c>
      <c r="B4368" t="str">
        <f>"300570"</f>
        <v>300570</v>
      </c>
      <c r="C4368" t="s">
        <v>8778</v>
      </c>
      <c r="D4368" t="s">
        <v>100</v>
      </c>
      <c r="F4368">
        <v>46080498</v>
      </c>
      <c r="G4368">
        <v>-26182313</v>
      </c>
      <c r="H4368">
        <v>192563326</v>
      </c>
      <c r="I4368">
        <v>-19384105</v>
      </c>
      <c r="J4368">
        <v>45951230</v>
      </c>
      <c r="K4368">
        <v>92676363</v>
      </c>
      <c r="L4368">
        <v>103109780</v>
      </c>
      <c r="M4368">
        <v>-19978649</v>
      </c>
      <c r="N4368">
        <v>89030521</v>
      </c>
      <c r="P4368">
        <v>229</v>
      </c>
      <c r="Q4368" t="s">
        <v>8779</v>
      </c>
    </row>
    <row r="4369" spans="1:17" x14ac:dyDescent="0.3">
      <c r="A4369" t="s">
        <v>4446</v>
      </c>
      <c r="B4369" t="str">
        <f>"300571"</f>
        <v>300571</v>
      </c>
      <c r="C4369" t="s">
        <v>8780</v>
      </c>
      <c r="D4369" t="s">
        <v>100</v>
      </c>
      <c r="F4369">
        <v>-311483630</v>
      </c>
      <c r="G4369">
        <v>-369885628</v>
      </c>
      <c r="H4369">
        <v>-156276073</v>
      </c>
      <c r="I4369">
        <v>118393754</v>
      </c>
      <c r="J4369">
        <v>79889131</v>
      </c>
      <c r="K4369">
        <v>50283186</v>
      </c>
      <c r="L4369">
        <v>9469026</v>
      </c>
      <c r="M4369">
        <v>5641730</v>
      </c>
      <c r="N4369">
        <v>18379270</v>
      </c>
      <c r="P4369">
        <v>2117</v>
      </c>
      <c r="Q4369" t="s">
        <v>8781</v>
      </c>
    </row>
    <row r="4370" spans="1:17" x14ac:dyDescent="0.3">
      <c r="A4370" t="s">
        <v>4446</v>
      </c>
      <c r="B4370" t="str">
        <f>"300572"</f>
        <v>300572</v>
      </c>
      <c r="C4370" t="s">
        <v>8782</v>
      </c>
      <c r="D4370" t="s">
        <v>110</v>
      </c>
      <c r="F4370">
        <v>-117492664</v>
      </c>
      <c r="G4370">
        <v>22580561</v>
      </c>
      <c r="H4370">
        <v>174092003</v>
      </c>
      <c r="I4370">
        <v>-36342742</v>
      </c>
      <c r="J4370">
        <v>181226445</v>
      </c>
      <c r="K4370">
        <v>121023466</v>
      </c>
      <c r="L4370">
        <v>100893352</v>
      </c>
      <c r="M4370">
        <v>34098887</v>
      </c>
      <c r="N4370">
        <v>44505943</v>
      </c>
      <c r="P4370">
        <v>466</v>
      </c>
      <c r="Q4370" t="s">
        <v>8783</v>
      </c>
    </row>
    <row r="4371" spans="1:17" x14ac:dyDescent="0.3">
      <c r="A4371" t="s">
        <v>4446</v>
      </c>
      <c r="B4371" t="str">
        <f>"300573"</f>
        <v>300573</v>
      </c>
      <c r="C4371" t="s">
        <v>8784</v>
      </c>
      <c r="D4371" t="s">
        <v>113</v>
      </c>
      <c r="F4371">
        <v>230927391</v>
      </c>
      <c r="G4371">
        <v>14011172</v>
      </c>
      <c r="H4371">
        <v>4136920</v>
      </c>
      <c r="I4371">
        <v>-1078857</v>
      </c>
      <c r="J4371">
        <v>3512141</v>
      </c>
      <c r="K4371">
        <v>32335742</v>
      </c>
      <c r="L4371">
        <v>30492781</v>
      </c>
      <c r="M4371">
        <v>-53094278</v>
      </c>
      <c r="N4371">
        <v>-124581430</v>
      </c>
      <c r="P4371">
        <v>315</v>
      </c>
      <c r="Q4371" t="s">
        <v>8785</v>
      </c>
    </row>
    <row r="4372" spans="1:17" x14ac:dyDescent="0.3">
      <c r="A4372" t="s">
        <v>4446</v>
      </c>
      <c r="B4372" t="str">
        <f>"300575"</f>
        <v>300575</v>
      </c>
      <c r="C4372" t="s">
        <v>8786</v>
      </c>
      <c r="D4372" t="s">
        <v>133</v>
      </c>
      <c r="F4372">
        <v>-314706298</v>
      </c>
      <c r="G4372">
        <v>112571589</v>
      </c>
      <c r="H4372">
        <v>100434468</v>
      </c>
      <c r="I4372">
        <v>-171536188</v>
      </c>
      <c r="J4372">
        <v>-35420512</v>
      </c>
      <c r="K4372">
        <v>24270297</v>
      </c>
      <c r="L4372">
        <v>-28302716</v>
      </c>
      <c r="M4372">
        <v>-47302339</v>
      </c>
      <c r="N4372">
        <v>48422280</v>
      </c>
      <c r="P4372">
        <v>188</v>
      </c>
      <c r="Q4372" t="s">
        <v>8787</v>
      </c>
    </row>
    <row r="4373" spans="1:17" x14ac:dyDescent="0.3">
      <c r="A4373" t="s">
        <v>4446</v>
      </c>
      <c r="B4373" t="str">
        <f>"300576"</f>
        <v>300576</v>
      </c>
      <c r="C4373" t="s">
        <v>8788</v>
      </c>
      <c r="D4373" t="s">
        <v>150</v>
      </c>
      <c r="F4373">
        <v>36757085</v>
      </c>
      <c r="G4373">
        <v>5941833</v>
      </c>
      <c r="H4373">
        <v>-5660048</v>
      </c>
      <c r="I4373">
        <v>-48053383</v>
      </c>
      <c r="J4373">
        <v>-16436966</v>
      </c>
      <c r="K4373">
        <v>13535364</v>
      </c>
      <c r="L4373">
        <v>23523132</v>
      </c>
      <c r="M4373">
        <v>3283040</v>
      </c>
      <c r="N4373">
        <v>4209775</v>
      </c>
      <c r="P4373">
        <v>189</v>
      </c>
      <c r="Q4373" t="s">
        <v>8789</v>
      </c>
    </row>
    <row r="4374" spans="1:17" x14ac:dyDescent="0.3">
      <c r="A4374" t="s">
        <v>4446</v>
      </c>
      <c r="B4374" t="str">
        <f>"300577"</f>
        <v>300577</v>
      </c>
      <c r="C4374" t="s">
        <v>8790</v>
      </c>
      <c r="D4374" t="s">
        <v>227</v>
      </c>
      <c r="F4374">
        <v>-117533453</v>
      </c>
      <c r="G4374">
        <v>-24003098</v>
      </c>
      <c r="H4374">
        <v>75210214</v>
      </c>
      <c r="I4374">
        <v>52450520</v>
      </c>
      <c r="J4374">
        <v>129242467</v>
      </c>
      <c r="K4374">
        <v>82671579</v>
      </c>
      <c r="L4374">
        <v>40745871</v>
      </c>
      <c r="M4374">
        <v>18677801</v>
      </c>
      <c r="N4374">
        <v>-11388389</v>
      </c>
      <c r="P4374">
        <v>487</v>
      </c>
      <c r="Q4374" t="s">
        <v>8791</v>
      </c>
    </row>
    <row r="4375" spans="1:17" x14ac:dyDescent="0.3">
      <c r="A4375" t="s">
        <v>4446</v>
      </c>
      <c r="B4375" t="str">
        <f>"300578"</f>
        <v>300578</v>
      </c>
      <c r="C4375" t="s">
        <v>8792</v>
      </c>
      <c r="D4375" t="s">
        <v>100</v>
      </c>
      <c r="F4375">
        <v>49056488</v>
      </c>
      <c r="G4375">
        <v>208315469</v>
      </c>
      <c r="H4375">
        <v>61447006</v>
      </c>
      <c r="I4375">
        <v>37746207</v>
      </c>
      <c r="J4375">
        <v>17116325</v>
      </c>
      <c r="K4375">
        <v>19531451</v>
      </c>
      <c r="L4375">
        <v>25596117</v>
      </c>
      <c r="M4375">
        <v>40273487</v>
      </c>
      <c r="N4375">
        <v>12435739</v>
      </c>
      <c r="P4375">
        <v>305</v>
      </c>
      <c r="Q4375" t="s">
        <v>8793</v>
      </c>
    </row>
    <row r="4376" spans="1:17" x14ac:dyDescent="0.3">
      <c r="A4376" t="s">
        <v>4446</v>
      </c>
      <c r="B4376" t="str">
        <f>"300579"</f>
        <v>300579</v>
      </c>
      <c r="C4376" t="s">
        <v>8794</v>
      </c>
      <c r="D4376" t="s">
        <v>212</v>
      </c>
      <c r="F4376">
        <v>-67488249</v>
      </c>
      <c r="G4376">
        <v>68108854</v>
      </c>
      <c r="H4376">
        <v>-2635302</v>
      </c>
      <c r="I4376">
        <v>108942146</v>
      </c>
      <c r="J4376">
        <v>107731270</v>
      </c>
      <c r="K4376">
        <v>30528027</v>
      </c>
      <c r="L4376">
        <v>39821950</v>
      </c>
      <c r="M4376">
        <v>61430902</v>
      </c>
      <c r="N4376">
        <v>27636009</v>
      </c>
      <c r="P4376">
        <v>335</v>
      </c>
      <c r="Q4376" t="s">
        <v>8795</v>
      </c>
    </row>
    <row r="4377" spans="1:17" x14ac:dyDescent="0.3">
      <c r="A4377" t="s">
        <v>4446</v>
      </c>
      <c r="B4377" t="str">
        <f>"300580"</f>
        <v>300580</v>
      </c>
      <c r="C4377" t="s">
        <v>8796</v>
      </c>
      <c r="D4377" t="s">
        <v>27</v>
      </c>
      <c r="F4377">
        <v>6493738</v>
      </c>
      <c r="G4377">
        <v>137544352</v>
      </c>
      <c r="H4377">
        <v>-18653763</v>
      </c>
      <c r="I4377">
        <v>-162001821</v>
      </c>
      <c r="J4377">
        <v>-8245463</v>
      </c>
      <c r="K4377">
        <v>-17810453</v>
      </c>
      <c r="L4377">
        <v>19218198</v>
      </c>
      <c r="M4377">
        <v>-29236221</v>
      </c>
      <c r="N4377">
        <v>-2296652</v>
      </c>
      <c r="P4377">
        <v>148</v>
      </c>
      <c r="Q4377" t="s">
        <v>8797</v>
      </c>
    </row>
    <row r="4378" spans="1:17" x14ac:dyDescent="0.3">
      <c r="A4378" t="s">
        <v>4446</v>
      </c>
      <c r="B4378" t="str">
        <f>"300581"</f>
        <v>300581</v>
      </c>
      <c r="C4378" t="s">
        <v>8798</v>
      </c>
      <c r="D4378" t="s">
        <v>92</v>
      </c>
      <c r="F4378">
        <v>7530135</v>
      </c>
      <c r="G4378">
        <v>-45003491</v>
      </c>
      <c r="H4378">
        <v>-78730278</v>
      </c>
      <c r="I4378">
        <v>6134949</v>
      </c>
      <c r="J4378">
        <v>-71109220</v>
      </c>
      <c r="K4378">
        <v>6355799</v>
      </c>
      <c r="L4378">
        <v>13483637</v>
      </c>
      <c r="M4378">
        <v>58986780</v>
      </c>
      <c r="N4378">
        <v>-23845616</v>
      </c>
      <c r="P4378">
        <v>151</v>
      </c>
      <c r="Q4378" t="s">
        <v>8799</v>
      </c>
    </row>
    <row r="4379" spans="1:17" x14ac:dyDescent="0.3">
      <c r="A4379" t="s">
        <v>4446</v>
      </c>
      <c r="B4379" t="str">
        <f>"300582"</f>
        <v>300582</v>
      </c>
      <c r="C4379" t="s">
        <v>8800</v>
      </c>
      <c r="D4379" t="s">
        <v>150</v>
      </c>
      <c r="F4379">
        <v>-45998215</v>
      </c>
      <c r="G4379">
        <v>92342186</v>
      </c>
      <c r="H4379">
        <v>41454601</v>
      </c>
      <c r="I4379">
        <v>-27187125</v>
      </c>
      <c r="J4379">
        <v>-33181991</v>
      </c>
      <c r="K4379">
        <v>-276743341</v>
      </c>
      <c r="L4379">
        <v>-112542266</v>
      </c>
      <c r="M4379">
        <v>-75486273</v>
      </c>
      <c r="N4379">
        <v>-45189109</v>
      </c>
      <c r="P4379">
        <v>152</v>
      </c>
      <c r="Q4379" t="s">
        <v>8801</v>
      </c>
    </row>
    <row r="4380" spans="1:17" x14ac:dyDescent="0.3">
      <c r="A4380" t="s">
        <v>4446</v>
      </c>
      <c r="B4380" t="str">
        <f>"300583"</f>
        <v>300583</v>
      </c>
      <c r="C4380" t="s">
        <v>8802</v>
      </c>
      <c r="D4380" t="s">
        <v>113</v>
      </c>
      <c r="F4380">
        <v>-147296633</v>
      </c>
      <c r="G4380">
        <v>15134782</v>
      </c>
      <c r="H4380">
        <v>-153015217</v>
      </c>
      <c r="I4380">
        <v>-548356285</v>
      </c>
      <c r="J4380">
        <v>-63851875</v>
      </c>
      <c r="K4380">
        <v>-45690017</v>
      </c>
      <c r="L4380">
        <v>-43563339</v>
      </c>
      <c r="M4380">
        <v>-54926092</v>
      </c>
      <c r="N4380">
        <v>-21602059</v>
      </c>
      <c r="P4380">
        <v>76</v>
      </c>
      <c r="Q4380" t="s">
        <v>8803</v>
      </c>
    </row>
    <row r="4381" spans="1:17" x14ac:dyDescent="0.3">
      <c r="A4381" t="s">
        <v>4446</v>
      </c>
      <c r="B4381" t="str">
        <f>"300584"</f>
        <v>300584</v>
      </c>
      <c r="C4381" t="s">
        <v>8804</v>
      </c>
      <c r="D4381" t="s">
        <v>113</v>
      </c>
      <c r="F4381">
        <v>-34428452</v>
      </c>
      <c r="G4381">
        <v>-46533308</v>
      </c>
      <c r="H4381">
        <v>53938764</v>
      </c>
      <c r="I4381">
        <v>652648</v>
      </c>
      <c r="J4381">
        <v>-16928748</v>
      </c>
      <c r="K4381">
        <v>-7890398</v>
      </c>
      <c r="L4381">
        <v>25528248</v>
      </c>
      <c r="M4381">
        <v>-4366329</v>
      </c>
      <c r="N4381">
        <v>3559013</v>
      </c>
      <c r="P4381">
        <v>195</v>
      </c>
      <c r="Q4381" t="s">
        <v>8805</v>
      </c>
    </row>
    <row r="4382" spans="1:17" x14ac:dyDescent="0.3">
      <c r="A4382" t="s">
        <v>4446</v>
      </c>
      <c r="B4382" t="str">
        <f>"300585"</f>
        <v>300585</v>
      </c>
      <c r="C4382" t="s">
        <v>8806</v>
      </c>
      <c r="D4382" t="s">
        <v>27</v>
      </c>
      <c r="F4382">
        <v>3059030</v>
      </c>
      <c r="G4382">
        <v>1805222</v>
      </c>
      <c r="H4382">
        <v>11557227</v>
      </c>
      <c r="I4382">
        <v>-17667810</v>
      </c>
      <c r="J4382">
        <v>-98240</v>
      </c>
      <c r="K4382">
        <v>3554062</v>
      </c>
      <c r="L4382">
        <v>37646588</v>
      </c>
      <c r="M4382">
        <v>44180363</v>
      </c>
      <c r="N4382">
        <v>-7530523</v>
      </c>
      <c r="P4382">
        <v>92</v>
      </c>
      <c r="Q4382" t="s">
        <v>8807</v>
      </c>
    </row>
    <row r="4383" spans="1:17" x14ac:dyDescent="0.3">
      <c r="A4383" t="s">
        <v>4446</v>
      </c>
      <c r="B4383" t="str">
        <f>"300586"</f>
        <v>300586</v>
      </c>
      <c r="C4383" t="s">
        <v>8808</v>
      </c>
      <c r="D4383" t="s">
        <v>133</v>
      </c>
      <c r="F4383">
        <v>-200719771</v>
      </c>
      <c r="G4383">
        <v>23669349</v>
      </c>
      <c r="H4383">
        <v>-122840020</v>
      </c>
      <c r="I4383">
        <v>-67577224</v>
      </c>
      <c r="J4383">
        <v>5703220</v>
      </c>
      <c r="K4383">
        <v>42174402</v>
      </c>
      <c r="L4383">
        <v>39364420</v>
      </c>
      <c r="M4383">
        <v>-4768699</v>
      </c>
      <c r="N4383">
        <v>-22430258</v>
      </c>
      <c r="P4383">
        <v>132</v>
      </c>
      <c r="Q4383" t="s">
        <v>8809</v>
      </c>
    </row>
    <row r="4384" spans="1:17" x14ac:dyDescent="0.3">
      <c r="A4384" t="s">
        <v>4446</v>
      </c>
      <c r="B4384" t="str">
        <f>"300587"</f>
        <v>300587</v>
      </c>
      <c r="C4384" t="s">
        <v>8810</v>
      </c>
      <c r="D4384" t="s">
        <v>133</v>
      </c>
      <c r="F4384">
        <v>-53470279</v>
      </c>
      <c r="G4384">
        <v>-87494069</v>
      </c>
      <c r="H4384">
        <v>-192495499</v>
      </c>
      <c r="I4384">
        <v>-216576479</v>
      </c>
      <c r="J4384">
        <v>-135968544</v>
      </c>
      <c r="K4384">
        <v>48286519</v>
      </c>
      <c r="L4384">
        <v>37664312</v>
      </c>
      <c r="M4384">
        <v>44211902</v>
      </c>
      <c r="N4384">
        <v>-30297404</v>
      </c>
      <c r="P4384">
        <v>154</v>
      </c>
      <c r="Q4384" t="s">
        <v>8811</v>
      </c>
    </row>
    <row r="4385" spans="1:17" x14ac:dyDescent="0.3">
      <c r="A4385" t="s">
        <v>4446</v>
      </c>
      <c r="B4385" t="str">
        <f>"300588"</f>
        <v>300588</v>
      </c>
      <c r="C4385" t="s">
        <v>8812</v>
      </c>
      <c r="D4385" t="s">
        <v>212</v>
      </c>
      <c r="F4385">
        <v>46551853</v>
      </c>
      <c r="G4385">
        <v>-57025768</v>
      </c>
      <c r="H4385">
        <v>32031544</v>
      </c>
      <c r="I4385">
        <v>-58927788</v>
      </c>
      <c r="J4385">
        <v>-82902881</v>
      </c>
      <c r="K4385">
        <v>28769670</v>
      </c>
      <c r="L4385">
        <v>20961003</v>
      </c>
      <c r="M4385">
        <v>-4366302</v>
      </c>
      <c r="N4385">
        <v>3285947</v>
      </c>
      <c r="P4385">
        <v>144</v>
      </c>
      <c r="Q4385" t="s">
        <v>8813</v>
      </c>
    </row>
    <row r="4386" spans="1:17" x14ac:dyDescent="0.3">
      <c r="A4386" t="s">
        <v>4446</v>
      </c>
      <c r="B4386" t="str">
        <f>"300589"</f>
        <v>300589</v>
      </c>
      <c r="C4386" t="s">
        <v>8814</v>
      </c>
      <c r="D4386" t="s">
        <v>92</v>
      </c>
      <c r="F4386">
        <v>48529175</v>
      </c>
      <c r="G4386">
        <v>-9366705</v>
      </c>
      <c r="H4386">
        <v>-59135792</v>
      </c>
      <c r="I4386">
        <v>126024328</v>
      </c>
      <c r="J4386">
        <v>-112835417</v>
      </c>
      <c r="K4386">
        <v>13615842</v>
      </c>
      <c r="L4386">
        <v>50521599</v>
      </c>
      <c r="M4386">
        <v>-53246718</v>
      </c>
      <c r="N4386">
        <v>-112367503</v>
      </c>
      <c r="P4386">
        <v>87</v>
      </c>
      <c r="Q4386" t="s">
        <v>8815</v>
      </c>
    </row>
    <row r="4387" spans="1:17" x14ac:dyDescent="0.3">
      <c r="A4387" t="s">
        <v>4446</v>
      </c>
      <c r="B4387" t="str">
        <f>"300590"</f>
        <v>300590</v>
      </c>
      <c r="C4387" t="s">
        <v>8816</v>
      </c>
      <c r="D4387" t="s">
        <v>100</v>
      </c>
      <c r="F4387">
        <v>-62112940</v>
      </c>
      <c r="G4387">
        <v>-5163469</v>
      </c>
      <c r="H4387">
        <v>28544432</v>
      </c>
      <c r="I4387">
        <v>-134725897</v>
      </c>
      <c r="J4387">
        <v>71000158</v>
      </c>
      <c r="K4387">
        <v>77110704</v>
      </c>
      <c r="L4387">
        <v>92666260</v>
      </c>
      <c r="M4387">
        <v>66958165</v>
      </c>
      <c r="N4387">
        <v>35022419</v>
      </c>
      <c r="P4387">
        <v>411</v>
      </c>
      <c r="Q4387" t="s">
        <v>8817</v>
      </c>
    </row>
    <row r="4388" spans="1:17" x14ac:dyDescent="0.3">
      <c r="A4388" t="s">
        <v>4446</v>
      </c>
      <c r="B4388" t="str">
        <f>"300591"</f>
        <v>300591</v>
      </c>
      <c r="C4388" t="s">
        <v>8818</v>
      </c>
      <c r="D4388" t="s">
        <v>227</v>
      </c>
      <c r="F4388">
        <v>63659864</v>
      </c>
      <c r="G4388">
        <v>-20494135</v>
      </c>
      <c r="H4388">
        <v>10199400</v>
      </c>
      <c r="I4388">
        <v>-107729929</v>
      </c>
      <c r="J4388">
        <v>-295027421</v>
      </c>
      <c r="K4388">
        <v>65481412</v>
      </c>
      <c r="L4388">
        <v>104780910</v>
      </c>
      <c r="M4388">
        <v>-13614495</v>
      </c>
      <c r="N4388">
        <v>-10480440</v>
      </c>
      <c r="P4388">
        <v>88</v>
      </c>
      <c r="Q4388" t="s">
        <v>8819</v>
      </c>
    </row>
    <row r="4389" spans="1:17" x14ac:dyDescent="0.3">
      <c r="A4389" t="s">
        <v>4446</v>
      </c>
      <c r="B4389" t="str">
        <f>"300592"</f>
        <v>300592</v>
      </c>
      <c r="C4389" t="s">
        <v>8820</v>
      </c>
      <c r="D4389" t="s">
        <v>95</v>
      </c>
      <c r="F4389">
        <v>282511828</v>
      </c>
      <c r="G4389">
        <v>623334</v>
      </c>
      <c r="H4389">
        <v>38807062</v>
      </c>
      <c r="I4389">
        <v>-48916960</v>
      </c>
      <c r="J4389">
        <v>-36751216</v>
      </c>
      <c r="K4389">
        <v>-20692996</v>
      </c>
      <c r="L4389">
        <v>12916968</v>
      </c>
      <c r="M4389">
        <v>-42120983</v>
      </c>
      <c r="N4389">
        <v>-1618116</v>
      </c>
      <c r="P4389">
        <v>65</v>
      </c>
      <c r="Q4389" t="s">
        <v>8821</v>
      </c>
    </row>
    <row r="4390" spans="1:17" x14ac:dyDescent="0.3">
      <c r="A4390" t="s">
        <v>4446</v>
      </c>
      <c r="B4390" t="str">
        <f>"300593"</f>
        <v>300593</v>
      </c>
      <c r="C4390" t="s">
        <v>8822</v>
      </c>
      <c r="D4390" t="s">
        <v>188</v>
      </c>
      <c r="F4390">
        <v>-150324440</v>
      </c>
      <c r="G4390">
        <v>-57096402</v>
      </c>
      <c r="H4390">
        <v>42587885</v>
      </c>
      <c r="I4390">
        <v>24286983</v>
      </c>
      <c r="J4390">
        <v>-83279393</v>
      </c>
      <c r="K4390">
        <v>-72623916</v>
      </c>
      <c r="L4390">
        <v>20242716</v>
      </c>
      <c r="M4390">
        <v>4974443</v>
      </c>
      <c r="N4390">
        <v>-34848468</v>
      </c>
      <c r="P4390">
        <v>255</v>
      </c>
      <c r="Q4390" t="s">
        <v>8823</v>
      </c>
    </row>
    <row r="4391" spans="1:17" x14ac:dyDescent="0.3">
      <c r="A4391" t="s">
        <v>4446</v>
      </c>
      <c r="B4391" t="str">
        <f>"300594"</f>
        <v>300594</v>
      </c>
      <c r="C4391" t="s">
        <v>8824</v>
      </c>
      <c r="D4391" t="s">
        <v>78</v>
      </c>
      <c r="F4391">
        <v>-31703572</v>
      </c>
      <c r="G4391">
        <v>-71561125</v>
      </c>
      <c r="H4391">
        <v>-123470877</v>
      </c>
      <c r="I4391">
        <v>55838314</v>
      </c>
      <c r="J4391">
        <v>3074442</v>
      </c>
      <c r="K4391">
        <v>-41445868</v>
      </c>
      <c r="P4391">
        <v>72</v>
      </c>
      <c r="Q4391" t="s">
        <v>8825</v>
      </c>
    </row>
    <row r="4392" spans="1:17" x14ac:dyDescent="0.3">
      <c r="A4392" t="s">
        <v>4446</v>
      </c>
      <c r="B4392" t="str">
        <f>"300595"</f>
        <v>300595</v>
      </c>
      <c r="C4392" t="s">
        <v>8826</v>
      </c>
      <c r="D4392" t="s">
        <v>113</v>
      </c>
      <c r="F4392">
        <v>492939970</v>
      </c>
      <c r="G4392">
        <v>287081135</v>
      </c>
      <c r="H4392">
        <v>219306013</v>
      </c>
      <c r="I4392">
        <v>113284657</v>
      </c>
      <c r="J4392">
        <v>82047150</v>
      </c>
      <c r="K4392">
        <v>80623440</v>
      </c>
      <c r="L4392">
        <v>64826371</v>
      </c>
      <c r="M4392">
        <v>59340250</v>
      </c>
      <c r="N4392">
        <v>48358912</v>
      </c>
      <c r="P4392">
        <v>4341</v>
      </c>
      <c r="Q4392" t="s">
        <v>8827</v>
      </c>
    </row>
    <row r="4393" spans="1:17" x14ac:dyDescent="0.3">
      <c r="A4393" t="s">
        <v>4446</v>
      </c>
      <c r="B4393" t="str">
        <f>"300596"</f>
        <v>300596</v>
      </c>
      <c r="C4393" t="s">
        <v>8828</v>
      </c>
      <c r="D4393" t="s">
        <v>133</v>
      </c>
      <c r="F4393">
        <v>-201312257</v>
      </c>
      <c r="G4393">
        <v>-146165638</v>
      </c>
      <c r="H4393">
        <v>-229831660</v>
      </c>
      <c r="I4393">
        <v>-124650243</v>
      </c>
      <c r="J4393">
        <v>-126491959</v>
      </c>
      <c r="K4393">
        <v>-1720026</v>
      </c>
      <c r="L4393">
        <v>70534553</v>
      </c>
      <c r="M4393">
        <v>3294215</v>
      </c>
      <c r="N4393">
        <v>-15117922</v>
      </c>
      <c r="P4393">
        <v>391</v>
      </c>
      <c r="Q4393" t="s">
        <v>8829</v>
      </c>
    </row>
    <row r="4394" spans="1:17" x14ac:dyDescent="0.3">
      <c r="A4394" t="s">
        <v>4446</v>
      </c>
      <c r="B4394" t="str">
        <f>"300597"</f>
        <v>300597</v>
      </c>
      <c r="C4394" t="s">
        <v>8830</v>
      </c>
      <c r="D4394" t="s">
        <v>100</v>
      </c>
      <c r="F4394">
        <v>-16987185</v>
      </c>
      <c r="G4394">
        <v>24769753</v>
      </c>
      <c r="H4394">
        <v>11157702</v>
      </c>
      <c r="I4394">
        <v>-54257204</v>
      </c>
      <c r="J4394">
        <v>679303</v>
      </c>
      <c r="K4394">
        <v>15801189</v>
      </c>
      <c r="L4394">
        <v>18732690</v>
      </c>
      <c r="M4394">
        <v>-29214934</v>
      </c>
      <c r="N4394">
        <v>31023935</v>
      </c>
      <c r="P4394">
        <v>110</v>
      </c>
      <c r="Q4394" t="s">
        <v>8831</v>
      </c>
    </row>
    <row r="4395" spans="1:17" x14ac:dyDescent="0.3">
      <c r="A4395" t="s">
        <v>4446</v>
      </c>
      <c r="B4395" t="str">
        <f>"300598"</f>
        <v>300598</v>
      </c>
      <c r="C4395" t="s">
        <v>8832</v>
      </c>
      <c r="D4395" t="s">
        <v>212</v>
      </c>
      <c r="F4395">
        <v>-17474943</v>
      </c>
      <c r="G4395">
        <v>27316115</v>
      </c>
      <c r="H4395">
        <v>-50786245</v>
      </c>
      <c r="I4395">
        <v>-110150961</v>
      </c>
      <c r="J4395">
        <v>-8305021</v>
      </c>
      <c r="K4395">
        <v>23317431</v>
      </c>
      <c r="L4395">
        <v>28687571</v>
      </c>
      <c r="M4395">
        <v>-25877903</v>
      </c>
      <c r="N4395">
        <v>42437371</v>
      </c>
      <c r="P4395">
        <v>319</v>
      </c>
      <c r="Q4395" t="s">
        <v>8833</v>
      </c>
    </row>
    <row r="4396" spans="1:17" x14ac:dyDescent="0.3">
      <c r="A4396" t="s">
        <v>4446</v>
      </c>
      <c r="B4396" t="str">
        <f>"300599"</f>
        <v>300599</v>
      </c>
      <c r="C4396" t="s">
        <v>8834</v>
      </c>
      <c r="D4396" t="s">
        <v>350</v>
      </c>
      <c r="F4396">
        <v>-210190888</v>
      </c>
      <c r="G4396">
        <v>41295008</v>
      </c>
      <c r="H4396">
        <v>-12290176</v>
      </c>
      <c r="I4396">
        <v>-39541026</v>
      </c>
      <c r="J4396">
        <v>111896231</v>
      </c>
      <c r="K4396">
        <v>28872066</v>
      </c>
      <c r="L4396">
        <v>74672604</v>
      </c>
      <c r="M4396">
        <v>78993763</v>
      </c>
      <c r="N4396">
        <v>53605030</v>
      </c>
      <c r="P4396">
        <v>102</v>
      </c>
      <c r="Q4396" t="s">
        <v>8835</v>
      </c>
    </row>
    <row r="4397" spans="1:17" x14ac:dyDescent="0.3">
      <c r="A4397" t="s">
        <v>4446</v>
      </c>
      <c r="B4397" t="str">
        <f>"300600"</f>
        <v>300600</v>
      </c>
      <c r="C4397" t="s">
        <v>8836</v>
      </c>
      <c r="D4397" t="s">
        <v>92</v>
      </c>
      <c r="F4397">
        <v>-84918936</v>
      </c>
      <c r="G4397">
        <v>-71574863</v>
      </c>
      <c r="H4397">
        <v>-184387623</v>
      </c>
      <c r="I4397">
        <v>-67460659</v>
      </c>
      <c r="J4397">
        <v>-69037693</v>
      </c>
      <c r="K4397">
        <v>-39365382</v>
      </c>
      <c r="L4397">
        <v>53681227</v>
      </c>
      <c r="M4397">
        <v>30462661</v>
      </c>
      <c r="N4397">
        <v>26917029</v>
      </c>
      <c r="P4397">
        <v>101</v>
      </c>
      <c r="Q4397" t="s">
        <v>8837</v>
      </c>
    </row>
    <row r="4398" spans="1:17" x14ac:dyDescent="0.3">
      <c r="A4398" t="s">
        <v>4446</v>
      </c>
      <c r="B4398" t="str">
        <f>"300601"</f>
        <v>300601</v>
      </c>
      <c r="C4398" t="s">
        <v>8838</v>
      </c>
      <c r="D4398" t="s">
        <v>113</v>
      </c>
      <c r="F4398">
        <v>-887959841</v>
      </c>
      <c r="G4398">
        <v>-785797518</v>
      </c>
      <c r="H4398">
        <v>119313650</v>
      </c>
      <c r="I4398">
        <v>-6435173</v>
      </c>
      <c r="J4398">
        <v>-35623838</v>
      </c>
      <c r="K4398">
        <v>-93308794</v>
      </c>
      <c r="L4398">
        <v>159212428</v>
      </c>
      <c r="M4398">
        <v>22708816</v>
      </c>
      <c r="N4398">
        <v>-103507171</v>
      </c>
      <c r="P4398">
        <v>1385</v>
      </c>
      <c r="Q4398" t="s">
        <v>8839</v>
      </c>
    </row>
    <row r="4399" spans="1:17" x14ac:dyDescent="0.3">
      <c r="A4399" t="s">
        <v>4446</v>
      </c>
      <c r="B4399" t="str">
        <f>"300602"</f>
        <v>300602</v>
      </c>
      <c r="C4399" t="s">
        <v>8840</v>
      </c>
      <c r="D4399" t="s">
        <v>150</v>
      </c>
      <c r="F4399">
        <v>-635010922</v>
      </c>
      <c r="G4399">
        <v>-167032169</v>
      </c>
      <c r="H4399">
        <v>-104658897</v>
      </c>
      <c r="I4399">
        <v>-186679566</v>
      </c>
      <c r="J4399">
        <v>40591335</v>
      </c>
      <c r="K4399">
        <v>29332235</v>
      </c>
      <c r="L4399">
        <v>50001104</v>
      </c>
      <c r="M4399">
        <v>28587516</v>
      </c>
      <c r="N4399">
        <v>48449619</v>
      </c>
      <c r="P4399">
        <v>597</v>
      </c>
      <c r="Q4399" t="s">
        <v>8841</v>
      </c>
    </row>
    <row r="4400" spans="1:17" x14ac:dyDescent="0.3">
      <c r="A4400" t="s">
        <v>4446</v>
      </c>
      <c r="B4400" t="str">
        <f>"300603"</f>
        <v>300603</v>
      </c>
      <c r="C4400" t="s">
        <v>8842</v>
      </c>
      <c r="D4400" t="s">
        <v>100</v>
      </c>
      <c r="F4400">
        <v>-148954277</v>
      </c>
      <c r="G4400">
        <v>-169578915</v>
      </c>
      <c r="H4400">
        <v>98966098</v>
      </c>
      <c r="I4400">
        <v>-274080070</v>
      </c>
      <c r="J4400">
        <v>-46901403</v>
      </c>
      <c r="K4400">
        <v>63990789</v>
      </c>
      <c r="L4400">
        <v>23078380</v>
      </c>
      <c r="M4400">
        <v>-9757990</v>
      </c>
      <c r="N4400">
        <v>-1691704</v>
      </c>
      <c r="P4400">
        <v>196</v>
      </c>
      <c r="Q4400" t="s">
        <v>8843</v>
      </c>
    </row>
    <row r="4401" spans="1:17" x14ac:dyDescent="0.3">
      <c r="A4401" t="s">
        <v>4446</v>
      </c>
      <c r="B4401" t="str">
        <f>"300604"</f>
        <v>300604</v>
      </c>
      <c r="C4401" t="s">
        <v>8844</v>
      </c>
      <c r="D4401" t="s">
        <v>150</v>
      </c>
      <c r="F4401">
        <v>-173162831</v>
      </c>
      <c r="G4401">
        <v>24994671</v>
      </c>
      <c r="H4401">
        <v>-66793645</v>
      </c>
      <c r="I4401">
        <v>-50098743</v>
      </c>
      <c r="J4401">
        <v>-30019208</v>
      </c>
      <c r="K4401">
        <v>3792366</v>
      </c>
      <c r="L4401">
        <v>-11358088</v>
      </c>
      <c r="M4401">
        <v>-2311646</v>
      </c>
      <c r="P4401">
        <v>372</v>
      </c>
      <c r="Q4401" t="s">
        <v>8845</v>
      </c>
    </row>
    <row r="4402" spans="1:17" x14ac:dyDescent="0.3">
      <c r="A4402" t="s">
        <v>4446</v>
      </c>
      <c r="B4402" t="str">
        <f>"300605"</f>
        <v>300605</v>
      </c>
      <c r="C4402" t="s">
        <v>8846</v>
      </c>
      <c r="D4402" t="s">
        <v>212</v>
      </c>
      <c r="F4402">
        <v>-70734363</v>
      </c>
      <c r="G4402">
        <v>-74012180</v>
      </c>
      <c r="H4402">
        <v>-41327292</v>
      </c>
      <c r="I4402">
        <v>82331537</v>
      </c>
      <c r="J4402">
        <v>-87114714</v>
      </c>
      <c r="K4402">
        <v>-13671371</v>
      </c>
      <c r="L4402">
        <v>47893558</v>
      </c>
      <c r="M4402">
        <v>-28216133</v>
      </c>
      <c r="N4402">
        <v>-6484042</v>
      </c>
      <c r="P4402">
        <v>93</v>
      </c>
      <c r="Q4402" t="s">
        <v>8847</v>
      </c>
    </row>
    <row r="4403" spans="1:17" x14ac:dyDescent="0.3">
      <c r="A4403" t="s">
        <v>4446</v>
      </c>
      <c r="B4403" t="str">
        <f>"300606"</f>
        <v>300606</v>
      </c>
      <c r="C4403" t="s">
        <v>8848</v>
      </c>
      <c r="D4403" t="s">
        <v>78</v>
      </c>
      <c r="F4403">
        <v>-15352632</v>
      </c>
      <c r="G4403">
        <v>96381962</v>
      </c>
      <c r="H4403">
        <v>37942216</v>
      </c>
      <c r="I4403">
        <v>-56049652</v>
      </c>
      <c r="J4403">
        <v>14387232</v>
      </c>
      <c r="K4403">
        <v>41995331</v>
      </c>
      <c r="L4403">
        <v>17788520</v>
      </c>
      <c r="M4403">
        <v>-3614258</v>
      </c>
      <c r="N4403">
        <v>-9362191</v>
      </c>
      <c r="P4403">
        <v>92</v>
      </c>
      <c r="Q4403" t="s">
        <v>8849</v>
      </c>
    </row>
    <row r="4404" spans="1:17" x14ac:dyDescent="0.3">
      <c r="A4404" t="s">
        <v>4446</v>
      </c>
      <c r="B4404" t="str">
        <f>"300607"</f>
        <v>300607</v>
      </c>
      <c r="C4404" t="s">
        <v>8850</v>
      </c>
      <c r="D4404" t="s">
        <v>78</v>
      </c>
      <c r="F4404">
        <v>-576062136</v>
      </c>
      <c r="G4404">
        <v>826959372</v>
      </c>
      <c r="H4404">
        <v>81501640</v>
      </c>
      <c r="I4404">
        <v>23034865</v>
      </c>
      <c r="J4404">
        <v>-115925434</v>
      </c>
      <c r="K4404">
        <v>40208508</v>
      </c>
      <c r="L4404">
        <v>13419023</v>
      </c>
      <c r="M4404">
        <v>-20532898</v>
      </c>
      <c r="N4404">
        <v>8857158</v>
      </c>
      <c r="P4404">
        <v>1388</v>
      </c>
      <c r="Q4404" t="s">
        <v>8851</v>
      </c>
    </row>
    <row r="4405" spans="1:17" x14ac:dyDescent="0.3">
      <c r="A4405" t="s">
        <v>4446</v>
      </c>
      <c r="B4405" t="str">
        <f>"300608"</f>
        <v>300608</v>
      </c>
      <c r="C4405" t="s">
        <v>8852</v>
      </c>
      <c r="D4405" t="s">
        <v>212</v>
      </c>
      <c r="F4405">
        <v>40087239</v>
      </c>
      <c r="G4405">
        <v>13191819</v>
      </c>
      <c r="H4405">
        <v>-297624487</v>
      </c>
      <c r="I4405">
        <v>13363121</v>
      </c>
      <c r="J4405">
        <v>-54625968</v>
      </c>
      <c r="K4405">
        <v>77955858</v>
      </c>
      <c r="L4405">
        <v>-3527331</v>
      </c>
      <c r="M4405">
        <v>-58392671</v>
      </c>
      <c r="N4405">
        <v>81355317</v>
      </c>
      <c r="P4405">
        <v>217</v>
      </c>
      <c r="Q4405" t="s">
        <v>8853</v>
      </c>
    </row>
    <row r="4406" spans="1:17" x14ac:dyDescent="0.3">
      <c r="A4406" t="s">
        <v>4446</v>
      </c>
      <c r="B4406" t="str">
        <f>"300609"</f>
        <v>300609</v>
      </c>
      <c r="C4406" t="s">
        <v>8854</v>
      </c>
      <c r="D4406" t="s">
        <v>212</v>
      </c>
      <c r="F4406">
        <v>4896544</v>
      </c>
      <c r="G4406">
        <v>-227574805</v>
      </c>
      <c r="H4406">
        <v>-26796186</v>
      </c>
      <c r="I4406">
        <v>-56457037</v>
      </c>
      <c r="J4406">
        <v>47786089</v>
      </c>
      <c r="K4406">
        <v>47389056</v>
      </c>
      <c r="L4406">
        <v>4142823</v>
      </c>
      <c r="M4406">
        <v>9769225</v>
      </c>
      <c r="N4406">
        <v>2742894</v>
      </c>
      <c r="P4406">
        <v>155</v>
      </c>
      <c r="Q4406" t="s">
        <v>8855</v>
      </c>
    </row>
    <row r="4407" spans="1:17" x14ac:dyDescent="0.3">
      <c r="A4407" t="s">
        <v>4446</v>
      </c>
      <c r="B4407" t="str">
        <f>"300610"</f>
        <v>300610</v>
      </c>
      <c r="C4407" t="s">
        <v>8856</v>
      </c>
      <c r="D4407" t="s">
        <v>133</v>
      </c>
      <c r="F4407">
        <v>107885200</v>
      </c>
      <c r="G4407">
        <v>62048409</v>
      </c>
      <c r="H4407">
        <v>41942828</v>
      </c>
      <c r="I4407">
        <v>30530104</v>
      </c>
      <c r="J4407">
        <v>-27557302</v>
      </c>
      <c r="K4407">
        <v>49353504</v>
      </c>
      <c r="L4407">
        <v>70557106</v>
      </c>
      <c r="M4407">
        <v>28330238</v>
      </c>
      <c r="N4407">
        <v>22815689</v>
      </c>
      <c r="P4407">
        <v>129</v>
      </c>
      <c r="Q4407" t="s">
        <v>8857</v>
      </c>
    </row>
    <row r="4408" spans="1:17" x14ac:dyDescent="0.3">
      <c r="A4408" t="s">
        <v>4446</v>
      </c>
      <c r="B4408" t="str">
        <f>"300611"</f>
        <v>300611</v>
      </c>
      <c r="C4408" t="s">
        <v>8858</v>
      </c>
      <c r="D4408" t="s">
        <v>27</v>
      </c>
      <c r="F4408">
        <v>-94152170</v>
      </c>
      <c r="G4408">
        <v>9590581</v>
      </c>
      <c r="H4408">
        <v>-15011453</v>
      </c>
      <c r="I4408">
        <v>-47298619</v>
      </c>
      <c r="J4408">
        <v>-108933240</v>
      </c>
      <c r="K4408">
        <v>-10754931</v>
      </c>
      <c r="L4408">
        <v>-3564995</v>
      </c>
      <c r="M4408">
        <v>-16350409</v>
      </c>
      <c r="N4408">
        <v>-10341359</v>
      </c>
      <c r="P4408">
        <v>97</v>
      </c>
      <c r="Q4408" t="s">
        <v>8859</v>
      </c>
    </row>
    <row r="4409" spans="1:17" x14ac:dyDescent="0.3">
      <c r="A4409" t="s">
        <v>4446</v>
      </c>
      <c r="B4409" t="str">
        <f>"300612"</f>
        <v>300612</v>
      </c>
      <c r="C4409" t="s">
        <v>8860</v>
      </c>
      <c r="D4409" t="s">
        <v>89</v>
      </c>
      <c r="F4409">
        <v>-78644736</v>
      </c>
      <c r="G4409">
        <v>74248963</v>
      </c>
      <c r="H4409">
        <v>37642887</v>
      </c>
      <c r="I4409">
        <v>114366556</v>
      </c>
      <c r="J4409">
        <v>-33937585</v>
      </c>
      <c r="K4409">
        <v>46060539</v>
      </c>
      <c r="L4409">
        <v>-2464726</v>
      </c>
      <c r="M4409">
        <v>57332264</v>
      </c>
      <c r="N4409">
        <v>23243620</v>
      </c>
      <c r="P4409">
        <v>84</v>
      </c>
      <c r="Q4409" t="s">
        <v>8861</v>
      </c>
    </row>
    <row r="4410" spans="1:17" x14ac:dyDescent="0.3">
      <c r="A4410" t="s">
        <v>4446</v>
      </c>
      <c r="B4410" t="str">
        <f>"300613"</f>
        <v>300613</v>
      </c>
      <c r="C4410" t="s">
        <v>8862</v>
      </c>
      <c r="D4410" t="s">
        <v>150</v>
      </c>
      <c r="F4410">
        <v>-100683770</v>
      </c>
      <c r="G4410">
        <v>148564268</v>
      </c>
      <c r="H4410">
        <v>26632803</v>
      </c>
      <c r="I4410">
        <v>-22394289</v>
      </c>
      <c r="J4410">
        <v>-50852163</v>
      </c>
      <c r="K4410">
        <v>72998423</v>
      </c>
      <c r="L4410">
        <v>34336473</v>
      </c>
      <c r="M4410">
        <v>24887637</v>
      </c>
      <c r="P4410">
        <v>355</v>
      </c>
      <c r="Q4410" t="s">
        <v>8863</v>
      </c>
    </row>
    <row r="4411" spans="1:17" x14ac:dyDescent="0.3">
      <c r="A4411" t="s">
        <v>4446</v>
      </c>
      <c r="B4411" t="str">
        <f>"300614"</f>
        <v>300614</v>
      </c>
      <c r="C4411" t="s">
        <v>8864</v>
      </c>
      <c r="D4411" t="s">
        <v>33</v>
      </c>
      <c r="F4411">
        <v>-42443553</v>
      </c>
      <c r="G4411">
        <v>11115908</v>
      </c>
      <c r="H4411">
        <v>-113883170</v>
      </c>
      <c r="I4411">
        <v>-16484639</v>
      </c>
      <c r="J4411">
        <v>-61585303</v>
      </c>
      <c r="K4411">
        <v>-41617544</v>
      </c>
      <c r="P4411">
        <v>41</v>
      </c>
      <c r="Q4411" t="s">
        <v>8865</v>
      </c>
    </row>
    <row r="4412" spans="1:17" x14ac:dyDescent="0.3">
      <c r="A4412" t="s">
        <v>4446</v>
      </c>
      <c r="B4412" t="str">
        <f>"300615"</f>
        <v>300615</v>
      </c>
      <c r="C4412" t="s">
        <v>8866</v>
      </c>
      <c r="D4412" t="s">
        <v>100</v>
      </c>
      <c r="F4412">
        <v>12477708</v>
      </c>
      <c r="G4412">
        <v>16266995</v>
      </c>
      <c r="H4412">
        <v>10853025</v>
      </c>
      <c r="I4412">
        <v>-32181450</v>
      </c>
      <c r="J4412">
        <v>-1265114</v>
      </c>
      <c r="K4412">
        <v>14013615</v>
      </c>
      <c r="L4412">
        <v>52329653</v>
      </c>
      <c r="M4412">
        <v>45157065</v>
      </c>
      <c r="N4412">
        <v>28572830</v>
      </c>
      <c r="P4412">
        <v>156</v>
      </c>
      <c r="Q4412" t="s">
        <v>8867</v>
      </c>
    </row>
    <row r="4413" spans="1:17" x14ac:dyDescent="0.3">
      <c r="A4413" t="s">
        <v>4446</v>
      </c>
      <c r="B4413" t="str">
        <f>"300616"</f>
        <v>300616</v>
      </c>
      <c r="C4413" t="s">
        <v>8868</v>
      </c>
      <c r="D4413" t="s">
        <v>161</v>
      </c>
      <c r="F4413">
        <v>-532612873</v>
      </c>
      <c r="G4413">
        <v>-458583243</v>
      </c>
      <c r="H4413">
        <v>-182564140</v>
      </c>
      <c r="I4413">
        <v>15348283</v>
      </c>
      <c r="J4413">
        <v>477726050</v>
      </c>
      <c r="K4413">
        <v>366596132</v>
      </c>
      <c r="L4413">
        <v>101993656</v>
      </c>
      <c r="M4413">
        <v>166756180</v>
      </c>
      <c r="P4413">
        <v>694</v>
      </c>
      <c r="Q4413" t="s">
        <v>8869</v>
      </c>
    </row>
    <row r="4414" spans="1:17" x14ac:dyDescent="0.3">
      <c r="A4414" t="s">
        <v>4446</v>
      </c>
      <c r="B4414" t="str">
        <f>"300617"</f>
        <v>300617</v>
      </c>
      <c r="C4414" t="s">
        <v>8870</v>
      </c>
      <c r="D4414" t="s">
        <v>188</v>
      </c>
      <c r="F4414">
        <v>-15233686</v>
      </c>
      <c r="G4414">
        <v>-12173110</v>
      </c>
      <c r="H4414">
        <v>12531350</v>
      </c>
      <c r="I4414">
        <v>46696472</v>
      </c>
      <c r="J4414">
        <v>-58794346</v>
      </c>
      <c r="K4414">
        <v>16577560</v>
      </c>
      <c r="L4414">
        <v>34430022</v>
      </c>
      <c r="M4414">
        <v>67685499</v>
      </c>
      <c r="P4414">
        <v>148</v>
      </c>
      <c r="Q4414" t="s">
        <v>8871</v>
      </c>
    </row>
    <row r="4415" spans="1:17" x14ac:dyDescent="0.3">
      <c r="A4415" t="s">
        <v>4446</v>
      </c>
      <c r="B4415" t="str">
        <f>"300618"</f>
        <v>300618</v>
      </c>
      <c r="C4415" t="s">
        <v>8872</v>
      </c>
      <c r="D4415" t="s">
        <v>234</v>
      </c>
      <c r="F4415">
        <v>-1155113803</v>
      </c>
      <c r="G4415">
        <v>-73115838</v>
      </c>
      <c r="H4415">
        <v>-389265532</v>
      </c>
      <c r="I4415">
        <v>26012047</v>
      </c>
      <c r="J4415">
        <v>-146021427</v>
      </c>
      <c r="K4415">
        <v>82418080</v>
      </c>
      <c r="L4415">
        <v>49027216</v>
      </c>
      <c r="M4415">
        <v>41898304</v>
      </c>
      <c r="P4415">
        <v>574</v>
      </c>
      <c r="Q4415" t="s">
        <v>8873</v>
      </c>
    </row>
    <row r="4416" spans="1:17" x14ac:dyDescent="0.3">
      <c r="A4416" t="s">
        <v>4446</v>
      </c>
      <c r="B4416" t="str">
        <f>"300619"</f>
        <v>300619</v>
      </c>
      <c r="C4416" t="s">
        <v>8874</v>
      </c>
      <c r="D4416" t="s">
        <v>188</v>
      </c>
      <c r="F4416">
        <v>-40380890</v>
      </c>
      <c r="G4416">
        <v>-245678873</v>
      </c>
      <c r="H4416">
        <v>-31290201</v>
      </c>
      <c r="I4416">
        <v>-152016845</v>
      </c>
      <c r="J4416">
        <v>-113580328</v>
      </c>
      <c r="K4416">
        <v>3249837</v>
      </c>
      <c r="L4416">
        <v>-24064628</v>
      </c>
      <c r="M4416">
        <v>-9264247</v>
      </c>
      <c r="P4416">
        <v>94</v>
      </c>
      <c r="Q4416" t="s">
        <v>8875</v>
      </c>
    </row>
    <row r="4417" spans="1:17" x14ac:dyDescent="0.3">
      <c r="A4417" t="s">
        <v>4446</v>
      </c>
      <c r="B4417" t="str">
        <f>"300620"</f>
        <v>300620</v>
      </c>
      <c r="C4417" t="s">
        <v>8876</v>
      </c>
      <c r="D4417" t="s">
        <v>100</v>
      </c>
      <c r="F4417">
        <v>-80393049</v>
      </c>
      <c r="G4417">
        <v>-101356852</v>
      </c>
      <c r="H4417">
        <v>8880996</v>
      </c>
      <c r="I4417">
        <v>-30439169</v>
      </c>
      <c r="J4417">
        <v>1941186</v>
      </c>
      <c r="K4417">
        <v>33711163</v>
      </c>
      <c r="L4417">
        <v>20516741</v>
      </c>
      <c r="M4417">
        <v>13325384</v>
      </c>
      <c r="P4417">
        <v>246</v>
      </c>
      <c r="Q4417" t="s">
        <v>8877</v>
      </c>
    </row>
    <row r="4418" spans="1:17" x14ac:dyDescent="0.3">
      <c r="A4418" t="s">
        <v>4446</v>
      </c>
      <c r="B4418" t="str">
        <f>"300621"</f>
        <v>300621</v>
      </c>
      <c r="C4418" t="s">
        <v>8878</v>
      </c>
      <c r="D4418" t="s">
        <v>95</v>
      </c>
      <c r="F4418">
        <v>277835171</v>
      </c>
      <c r="G4418">
        <v>123043717</v>
      </c>
      <c r="H4418">
        <v>73597482</v>
      </c>
      <c r="I4418">
        <v>4827556</v>
      </c>
      <c r="J4418">
        <v>-137451934</v>
      </c>
      <c r="K4418">
        <v>101675945</v>
      </c>
      <c r="L4418">
        <v>-86505164</v>
      </c>
      <c r="M4418">
        <v>-157540985</v>
      </c>
      <c r="P4418">
        <v>57</v>
      </c>
      <c r="Q4418" t="s">
        <v>8879</v>
      </c>
    </row>
    <row r="4419" spans="1:17" x14ac:dyDescent="0.3">
      <c r="A4419" t="s">
        <v>4446</v>
      </c>
      <c r="B4419" t="str">
        <f>"300622"</f>
        <v>300622</v>
      </c>
      <c r="C4419" t="s">
        <v>8880</v>
      </c>
      <c r="D4419" t="s">
        <v>120</v>
      </c>
      <c r="F4419">
        <v>170830187</v>
      </c>
      <c r="G4419">
        <v>76408008</v>
      </c>
      <c r="H4419">
        <v>42518985</v>
      </c>
      <c r="I4419">
        <v>-3738799</v>
      </c>
      <c r="J4419">
        <v>41034848</v>
      </c>
      <c r="K4419">
        <v>49872002</v>
      </c>
      <c r="L4419">
        <v>38618029</v>
      </c>
      <c r="M4419">
        <v>35583981</v>
      </c>
      <c r="P4419">
        <v>123</v>
      </c>
      <c r="Q4419" t="s">
        <v>8881</v>
      </c>
    </row>
    <row r="4420" spans="1:17" x14ac:dyDescent="0.3">
      <c r="A4420" t="s">
        <v>4446</v>
      </c>
      <c r="B4420" t="str">
        <f>"300623"</f>
        <v>300623</v>
      </c>
      <c r="C4420" t="s">
        <v>8882</v>
      </c>
      <c r="D4420" t="s">
        <v>150</v>
      </c>
      <c r="F4420">
        <v>-1064518395</v>
      </c>
      <c r="G4420">
        <v>-235460099</v>
      </c>
      <c r="H4420">
        <v>-64705918</v>
      </c>
      <c r="I4420">
        <v>54046133</v>
      </c>
      <c r="J4420">
        <v>-85135605</v>
      </c>
      <c r="K4420">
        <v>31645519</v>
      </c>
      <c r="L4420">
        <v>36248433</v>
      </c>
      <c r="M4420">
        <v>49395817</v>
      </c>
      <c r="N4420">
        <v>45640428</v>
      </c>
      <c r="P4420">
        <v>666</v>
      </c>
      <c r="Q4420" t="s">
        <v>8883</v>
      </c>
    </row>
    <row r="4421" spans="1:17" x14ac:dyDescent="0.3">
      <c r="A4421" t="s">
        <v>4446</v>
      </c>
      <c r="B4421" t="str">
        <f>"300624"</f>
        <v>300624</v>
      </c>
      <c r="C4421" t="s">
        <v>8884</v>
      </c>
      <c r="D4421" t="s">
        <v>212</v>
      </c>
      <c r="F4421">
        <v>24940029</v>
      </c>
      <c r="G4421">
        <v>76112898</v>
      </c>
      <c r="H4421">
        <v>107396841</v>
      </c>
      <c r="I4421">
        <v>77574156</v>
      </c>
      <c r="J4421">
        <v>61150643</v>
      </c>
      <c r="K4421">
        <v>39191966</v>
      </c>
      <c r="L4421">
        <v>52407792</v>
      </c>
      <c r="M4421">
        <v>45165904</v>
      </c>
      <c r="P4421">
        <v>333</v>
      </c>
      <c r="Q4421" t="s">
        <v>8885</v>
      </c>
    </row>
    <row r="4422" spans="1:17" x14ac:dyDescent="0.3">
      <c r="A4422" t="s">
        <v>4446</v>
      </c>
      <c r="B4422" t="str">
        <f>"300625"</f>
        <v>300625</v>
      </c>
      <c r="C4422" t="s">
        <v>8886</v>
      </c>
      <c r="D4422" t="s">
        <v>126</v>
      </c>
      <c r="F4422">
        <v>96818438</v>
      </c>
      <c r="G4422">
        <v>108668784</v>
      </c>
      <c r="H4422">
        <v>205816840</v>
      </c>
      <c r="I4422">
        <v>-204310397</v>
      </c>
      <c r="J4422">
        <v>-74161095</v>
      </c>
      <c r="K4422">
        <v>177799524</v>
      </c>
      <c r="L4422">
        <v>320533578</v>
      </c>
      <c r="M4422">
        <v>44396607</v>
      </c>
      <c r="P4422">
        <v>137</v>
      </c>
      <c r="Q4422" t="s">
        <v>8887</v>
      </c>
    </row>
    <row r="4423" spans="1:17" x14ac:dyDescent="0.3">
      <c r="A4423" t="s">
        <v>4446</v>
      </c>
      <c r="B4423" t="str">
        <f>"300626"</f>
        <v>300626</v>
      </c>
      <c r="C4423" t="s">
        <v>8888</v>
      </c>
      <c r="D4423" t="s">
        <v>188</v>
      </c>
      <c r="F4423">
        <v>26574251</v>
      </c>
      <c r="G4423">
        <v>34555634</v>
      </c>
      <c r="H4423">
        <v>96641634</v>
      </c>
      <c r="I4423">
        <v>-62593603</v>
      </c>
      <c r="J4423">
        <v>17329184</v>
      </c>
      <c r="K4423">
        <v>63121234</v>
      </c>
      <c r="L4423">
        <v>46595499</v>
      </c>
      <c r="M4423">
        <v>9794180</v>
      </c>
      <c r="P4423">
        <v>55</v>
      </c>
      <c r="Q4423" t="s">
        <v>8889</v>
      </c>
    </row>
    <row r="4424" spans="1:17" x14ac:dyDescent="0.3">
      <c r="A4424" t="s">
        <v>4446</v>
      </c>
      <c r="B4424" t="str">
        <f>"300627"</f>
        <v>300627</v>
      </c>
      <c r="C4424" t="s">
        <v>8890</v>
      </c>
      <c r="D4424" t="s">
        <v>100</v>
      </c>
      <c r="F4424">
        <v>105560841</v>
      </c>
      <c r="G4424">
        <v>115408373</v>
      </c>
      <c r="H4424">
        <v>46569188</v>
      </c>
      <c r="I4424">
        <v>-70659116</v>
      </c>
      <c r="J4424">
        <v>37777218</v>
      </c>
      <c r="K4424">
        <v>45274818</v>
      </c>
      <c r="L4424">
        <v>50561138</v>
      </c>
      <c r="M4424">
        <v>-10348973</v>
      </c>
      <c r="P4424">
        <v>296</v>
      </c>
      <c r="Q4424" t="s">
        <v>8891</v>
      </c>
    </row>
    <row r="4425" spans="1:17" x14ac:dyDescent="0.3">
      <c r="A4425" t="s">
        <v>4446</v>
      </c>
      <c r="B4425" t="str">
        <f>"300628"</f>
        <v>300628</v>
      </c>
      <c r="C4425" t="s">
        <v>8892</v>
      </c>
      <c r="D4425" t="s">
        <v>100</v>
      </c>
      <c r="F4425">
        <v>810635903</v>
      </c>
      <c r="G4425">
        <v>979556180</v>
      </c>
      <c r="H4425">
        <v>822385439</v>
      </c>
      <c r="I4425">
        <v>663188084</v>
      </c>
      <c r="J4425">
        <v>463921848</v>
      </c>
      <c r="K4425">
        <v>328051821</v>
      </c>
      <c r="L4425">
        <v>210569270</v>
      </c>
      <c r="M4425">
        <v>119825811</v>
      </c>
      <c r="P4425">
        <v>2273</v>
      </c>
      <c r="Q4425" t="s">
        <v>8893</v>
      </c>
    </row>
    <row r="4426" spans="1:17" x14ac:dyDescent="0.3">
      <c r="A4426" t="s">
        <v>4446</v>
      </c>
      <c r="B4426" t="str">
        <f>"300629"</f>
        <v>300629</v>
      </c>
      <c r="C4426" t="s">
        <v>8894</v>
      </c>
      <c r="D4426" t="s">
        <v>78</v>
      </c>
      <c r="F4426">
        <v>142880674</v>
      </c>
      <c r="G4426">
        <v>158952343</v>
      </c>
      <c r="H4426">
        <v>27913825</v>
      </c>
      <c r="I4426">
        <v>-64685555</v>
      </c>
      <c r="J4426">
        <v>-155535</v>
      </c>
      <c r="K4426">
        <v>17709799</v>
      </c>
      <c r="L4426">
        <v>10941901</v>
      </c>
      <c r="M4426">
        <v>38744130</v>
      </c>
      <c r="N4426">
        <v>-7515588</v>
      </c>
      <c r="P4426">
        <v>65</v>
      </c>
      <c r="Q4426" t="s">
        <v>8895</v>
      </c>
    </row>
    <row r="4427" spans="1:17" x14ac:dyDescent="0.3">
      <c r="A4427" t="s">
        <v>4446</v>
      </c>
      <c r="B4427" t="str">
        <f>"300630"</f>
        <v>300630</v>
      </c>
      <c r="C4427" t="s">
        <v>8896</v>
      </c>
      <c r="D4427" t="s">
        <v>113</v>
      </c>
      <c r="F4427">
        <v>-646393686</v>
      </c>
      <c r="G4427">
        <v>-504402735</v>
      </c>
      <c r="H4427">
        <v>-186650821</v>
      </c>
      <c r="I4427">
        <v>-157200896</v>
      </c>
      <c r="J4427">
        <v>-80494950</v>
      </c>
      <c r="K4427">
        <v>-35451447</v>
      </c>
      <c r="L4427">
        <v>17074652</v>
      </c>
      <c r="M4427">
        <v>39658765</v>
      </c>
      <c r="P4427">
        <v>1268</v>
      </c>
      <c r="Q4427" t="s">
        <v>8897</v>
      </c>
    </row>
    <row r="4428" spans="1:17" x14ac:dyDescent="0.3">
      <c r="A4428" t="s">
        <v>4446</v>
      </c>
      <c r="B4428" t="str">
        <f>"300631"</f>
        <v>300631</v>
      </c>
      <c r="C4428" t="s">
        <v>8898</v>
      </c>
      <c r="D4428" t="s">
        <v>33</v>
      </c>
      <c r="F4428">
        <v>3717598</v>
      </c>
      <c r="G4428">
        <v>-44636670</v>
      </c>
      <c r="H4428">
        <v>-21152909</v>
      </c>
      <c r="I4428">
        <v>37456172</v>
      </c>
      <c r="J4428">
        <v>-79088541</v>
      </c>
      <c r="K4428">
        <v>13981746</v>
      </c>
      <c r="L4428">
        <v>37007887</v>
      </c>
      <c r="M4428">
        <v>-28489770</v>
      </c>
      <c r="N4428">
        <v>19060617</v>
      </c>
      <c r="P4428">
        <v>136</v>
      </c>
      <c r="Q4428" t="s">
        <v>8899</v>
      </c>
    </row>
    <row r="4429" spans="1:17" x14ac:dyDescent="0.3">
      <c r="A4429" t="s">
        <v>4446</v>
      </c>
      <c r="B4429" t="str">
        <f>"300632"</f>
        <v>300632</v>
      </c>
      <c r="C4429" t="s">
        <v>8900</v>
      </c>
      <c r="D4429" t="s">
        <v>150</v>
      </c>
      <c r="F4429">
        <v>-147333697</v>
      </c>
      <c r="G4429">
        <v>185036910</v>
      </c>
      <c r="H4429">
        <v>191891720</v>
      </c>
      <c r="I4429">
        <v>79110645</v>
      </c>
      <c r="J4429">
        <v>24115647</v>
      </c>
      <c r="K4429">
        <v>13421486</v>
      </c>
      <c r="L4429">
        <v>20086541</v>
      </c>
      <c r="M4429">
        <v>-30245452</v>
      </c>
      <c r="P4429">
        <v>201</v>
      </c>
      <c r="Q4429" t="s">
        <v>8901</v>
      </c>
    </row>
    <row r="4430" spans="1:17" x14ac:dyDescent="0.3">
      <c r="A4430" t="s">
        <v>4446</v>
      </c>
      <c r="B4430" t="str">
        <f>"300633"</f>
        <v>300633</v>
      </c>
      <c r="C4430" t="s">
        <v>8902</v>
      </c>
      <c r="D4430" t="s">
        <v>113</v>
      </c>
      <c r="F4430">
        <v>150913086</v>
      </c>
      <c r="G4430">
        <v>115840690</v>
      </c>
      <c r="H4430">
        <v>31599118</v>
      </c>
      <c r="I4430">
        <v>152775333</v>
      </c>
      <c r="J4430">
        <v>90856021</v>
      </c>
      <c r="K4430">
        <v>123485772</v>
      </c>
      <c r="L4430">
        <v>40080064</v>
      </c>
      <c r="M4430">
        <v>96947058</v>
      </c>
      <c r="N4430">
        <v>40690491</v>
      </c>
      <c r="P4430">
        <v>515</v>
      </c>
      <c r="Q4430" t="s">
        <v>8903</v>
      </c>
    </row>
    <row r="4431" spans="1:17" x14ac:dyDescent="0.3">
      <c r="A4431" t="s">
        <v>4446</v>
      </c>
      <c r="B4431" t="str">
        <f>"300634"</f>
        <v>300634</v>
      </c>
      <c r="C4431" t="s">
        <v>8904</v>
      </c>
      <c r="D4431" t="s">
        <v>212</v>
      </c>
      <c r="F4431">
        <v>-9419206</v>
      </c>
      <c r="G4431">
        <v>28991789</v>
      </c>
      <c r="H4431">
        <v>143331447</v>
      </c>
      <c r="I4431">
        <v>-117036775</v>
      </c>
      <c r="J4431">
        <v>-11471092</v>
      </c>
      <c r="K4431">
        <v>177593387</v>
      </c>
      <c r="L4431">
        <v>168607979</v>
      </c>
      <c r="P4431">
        <v>159</v>
      </c>
      <c r="Q4431" t="s">
        <v>8905</v>
      </c>
    </row>
    <row r="4432" spans="1:17" x14ac:dyDescent="0.3">
      <c r="A4432" t="s">
        <v>4446</v>
      </c>
      <c r="B4432" t="str">
        <f>"300635"</f>
        <v>300635</v>
      </c>
      <c r="C4432" t="s">
        <v>8906</v>
      </c>
      <c r="D4432" t="s">
        <v>95</v>
      </c>
      <c r="F4432">
        <v>75103460</v>
      </c>
      <c r="G4432">
        <v>11674070</v>
      </c>
      <c r="H4432">
        <v>78090962</v>
      </c>
      <c r="I4432">
        <v>-9779074</v>
      </c>
      <c r="J4432">
        <v>-80449795</v>
      </c>
      <c r="K4432">
        <v>75722530</v>
      </c>
      <c r="L4432">
        <v>37745379</v>
      </c>
      <c r="M4432">
        <v>-42835624</v>
      </c>
      <c r="P4432">
        <v>113</v>
      </c>
      <c r="Q4432" t="s">
        <v>8907</v>
      </c>
    </row>
    <row r="4433" spans="1:17" x14ac:dyDescent="0.3">
      <c r="A4433" t="s">
        <v>4446</v>
      </c>
      <c r="B4433" t="str">
        <f>"300636"</f>
        <v>300636</v>
      </c>
      <c r="C4433" t="s">
        <v>8908</v>
      </c>
      <c r="D4433" t="s">
        <v>113</v>
      </c>
      <c r="F4433">
        <v>-292894354</v>
      </c>
      <c r="G4433">
        <v>-149327043</v>
      </c>
      <c r="H4433">
        <v>-212205640</v>
      </c>
      <c r="I4433">
        <v>-163791094</v>
      </c>
      <c r="J4433">
        <v>-81054408</v>
      </c>
      <c r="K4433">
        <v>32439759</v>
      </c>
      <c r="L4433">
        <v>890972</v>
      </c>
      <c r="M4433">
        <v>33313275</v>
      </c>
      <c r="P4433">
        <v>137</v>
      </c>
      <c r="Q4433" t="s">
        <v>8909</v>
      </c>
    </row>
    <row r="4434" spans="1:17" x14ac:dyDescent="0.3">
      <c r="A4434" t="s">
        <v>4446</v>
      </c>
      <c r="B4434" t="str">
        <f>"300637"</f>
        <v>300637</v>
      </c>
      <c r="C4434" t="s">
        <v>8910</v>
      </c>
      <c r="D4434" t="s">
        <v>150</v>
      </c>
      <c r="F4434">
        <v>-86008310</v>
      </c>
      <c r="G4434">
        <v>-117548000</v>
      </c>
      <c r="H4434">
        <v>-281495635</v>
      </c>
      <c r="I4434">
        <v>13156083</v>
      </c>
      <c r="J4434">
        <v>57251196</v>
      </c>
      <c r="K4434">
        <v>75338175</v>
      </c>
      <c r="L4434">
        <v>48530921</v>
      </c>
      <c r="M4434">
        <v>36841816</v>
      </c>
      <c r="P4434">
        <v>117</v>
      </c>
      <c r="Q4434" t="s">
        <v>8911</v>
      </c>
    </row>
    <row r="4435" spans="1:17" x14ac:dyDescent="0.3">
      <c r="A4435" t="s">
        <v>4446</v>
      </c>
      <c r="B4435" t="str">
        <f>"300638"</f>
        <v>300638</v>
      </c>
      <c r="C4435" t="s">
        <v>8912</v>
      </c>
      <c r="D4435" t="s">
        <v>100</v>
      </c>
      <c r="F4435">
        <v>-618703057</v>
      </c>
      <c r="G4435">
        <v>141367957</v>
      </c>
      <c r="H4435">
        <v>100764205</v>
      </c>
      <c r="I4435">
        <v>-38585055</v>
      </c>
      <c r="J4435">
        <v>-134476049</v>
      </c>
      <c r="K4435">
        <v>44307323</v>
      </c>
      <c r="L4435">
        <v>38017242</v>
      </c>
      <c r="M4435">
        <v>45609368</v>
      </c>
      <c r="P4435">
        <v>760</v>
      </c>
      <c r="Q4435" t="s">
        <v>8913</v>
      </c>
    </row>
    <row r="4436" spans="1:17" x14ac:dyDescent="0.3">
      <c r="A4436" t="s">
        <v>4446</v>
      </c>
      <c r="B4436" t="str">
        <f>"300639"</f>
        <v>300639</v>
      </c>
      <c r="C4436" t="s">
        <v>8914</v>
      </c>
      <c r="D4436" t="s">
        <v>113</v>
      </c>
      <c r="F4436">
        <v>-3392218</v>
      </c>
      <c r="G4436">
        <v>31108161</v>
      </c>
      <c r="H4436">
        <v>-80080487</v>
      </c>
      <c r="I4436">
        <v>-63544420</v>
      </c>
      <c r="J4436">
        <v>12304695</v>
      </c>
      <c r="K4436">
        <v>-13663162</v>
      </c>
      <c r="L4436">
        <v>-81347380</v>
      </c>
      <c r="M4436">
        <v>-45068933</v>
      </c>
      <c r="P4436">
        <v>536</v>
      </c>
      <c r="Q4436" t="s">
        <v>8915</v>
      </c>
    </row>
    <row r="4437" spans="1:17" x14ac:dyDescent="0.3">
      <c r="A4437" t="s">
        <v>4446</v>
      </c>
      <c r="B4437" t="str">
        <f>"300640"</f>
        <v>300640</v>
      </c>
      <c r="C4437" t="s">
        <v>8916</v>
      </c>
      <c r="D4437" t="s">
        <v>161</v>
      </c>
      <c r="F4437">
        <v>-208455965</v>
      </c>
      <c r="G4437">
        <v>-110389779</v>
      </c>
      <c r="H4437">
        <v>3074981</v>
      </c>
      <c r="I4437">
        <v>12902972</v>
      </c>
      <c r="J4437">
        <v>1397691</v>
      </c>
      <c r="K4437">
        <v>41971930</v>
      </c>
      <c r="L4437">
        <v>33187192</v>
      </c>
      <c r="M4437">
        <v>19205637</v>
      </c>
      <c r="P4437">
        <v>79</v>
      </c>
      <c r="Q4437" t="s">
        <v>8917</v>
      </c>
    </row>
    <row r="4438" spans="1:17" x14ac:dyDescent="0.3">
      <c r="A4438" t="s">
        <v>4446</v>
      </c>
      <c r="B4438" t="str">
        <f>"300641"</f>
        <v>300641</v>
      </c>
      <c r="C4438" t="s">
        <v>8918</v>
      </c>
      <c r="D4438" t="s">
        <v>133</v>
      </c>
      <c r="F4438">
        <v>40990486</v>
      </c>
      <c r="G4438">
        <v>52198083</v>
      </c>
      <c r="H4438">
        <v>-205868204</v>
      </c>
      <c r="I4438">
        <v>-212514877</v>
      </c>
      <c r="J4438">
        <v>-16466087</v>
      </c>
      <c r="K4438">
        <v>73242251</v>
      </c>
      <c r="L4438">
        <v>146122442</v>
      </c>
      <c r="M4438">
        <v>52054538</v>
      </c>
      <c r="P4438">
        <v>79</v>
      </c>
      <c r="Q4438" t="s">
        <v>8919</v>
      </c>
    </row>
    <row r="4439" spans="1:17" x14ac:dyDescent="0.3">
      <c r="A4439" t="s">
        <v>4446</v>
      </c>
      <c r="B4439" t="str">
        <f>"300642"</f>
        <v>300642</v>
      </c>
      <c r="C4439" t="s">
        <v>8920</v>
      </c>
      <c r="D4439" t="s">
        <v>113</v>
      </c>
      <c r="F4439">
        <v>-31152076</v>
      </c>
      <c r="G4439">
        <v>17358210</v>
      </c>
      <c r="H4439">
        <v>74650346</v>
      </c>
      <c r="I4439">
        <v>16818789</v>
      </c>
      <c r="J4439">
        <v>30650054</v>
      </c>
      <c r="K4439">
        <v>33497569</v>
      </c>
      <c r="L4439">
        <v>27133041</v>
      </c>
      <c r="M4439">
        <v>18673443</v>
      </c>
      <c r="P4439">
        <v>418</v>
      </c>
      <c r="Q4439" t="s">
        <v>8921</v>
      </c>
    </row>
    <row r="4440" spans="1:17" x14ac:dyDescent="0.3">
      <c r="A4440" t="s">
        <v>4446</v>
      </c>
      <c r="B4440" t="str">
        <f>"300643"</f>
        <v>300643</v>
      </c>
      <c r="C4440" t="s">
        <v>8922</v>
      </c>
      <c r="D4440" t="s">
        <v>27</v>
      </c>
      <c r="F4440">
        <v>13125933</v>
      </c>
      <c r="G4440">
        <v>19339177</v>
      </c>
      <c r="H4440">
        <v>1978207</v>
      </c>
      <c r="I4440">
        <v>12953335</v>
      </c>
      <c r="J4440">
        <v>27642735</v>
      </c>
      <c r="K4440">
        <v>23905749</v>
      </c>
      <c r="L4440">
        <v>15073213</v>
      </c>
      <c r="M4440">
        <v>9354904</v>
      </c>
      <c r="P4440">
        <v>96</v>
      </c>
      <c r="Q4440" t="s">
        <v>8923</v>
      </c>
    </row>
    <row r="4441" spans="1:17" x14ac:dyDescent="0.3">
      <c r="A4441" t="s">
        <v>4446</v>
      </c>
      <c r="B4441" t="str">
        <f>"300644"</f>
        <v>300644</v>
      </c>
      <c r="C4441" t="s">
        <v>8924</v>
      </c>
      <c r="D4441" t="s">
        <v>133</v>
      </c>
      <c r="F4441">
        <v>-95134892</v>
      </c>
      <c r="G4441">
        <v>-33740960</v>
      </c>
      <c r="H4441">
        <v>-13657490</v>
      </c>
      <c r="I4441">
        <v>-41587722</v>
      </c>
      <c r="J4441">
        <v>-5096010</v>
      </c>
      <c r="K4441">
        <v>27171046</v>
      </c>
      <c r="L4441">
        <v>38414638</v>
      </c>
      <c r="P4441">
        <v>133</v>
      </c>
      <c r="Q4441" t="s">
        <v>8925</v>
      </c>
    </row>
    <row r="4442" spans="1:17" x14ac:dyDescent="0.3">
      <c r="A4442" t="s">
        <v>4446</v>
      </c>
      <c r="B4442" t="str">
        <f>"300645"</f>
        <v>300645</v>
      </c>
      <c r="C4442" t="s">
        <v>8926</v>
      </c>
      <c r="D4442" t="s">
        <v>212</v>
      </c>
      <c r="F4442">
        <v>-28172566</v>
      </c>
      <c r="G4442">
        <v>39531729</v>
      </c>
      <c r="H4442">
        <v>-126790943</v>
      </c>
      <c r="I4442">
        <v>-73881816</v>
      </c>
      <c r="J4442">
        <v>-50088832</v>
      </c>
      <c r="K4442">
        <v>2939503</v>
      </c>
      <c r="L4442">
        <v>-7385196</v>
      </c>
      <c r="M4442">
        <v>32309283</v>
      </c>
      <c r="P4442">
        <v>111</v>
      </c>
      <c r="Q4442" t="s">
        <v>8927</v>
      </c>
    </row>
    <row r="4443" spans="1:17" x14ac:dyDescent="0.3">
      <c r="A4443" t="s">
        <v>4446</v>
      </c>
      <c r="B4443" t="str">
        <f>"300646"</f>
        <v>300646</v>
      </c>
      <c r="C4443" t="s">
        <v>8928</v>
      </c>
      <c r="D4443" t="s">
        <v>133</v>
      </c>
      <c r="P4443">
        <v>14</v>
      </c>
      <c r="Q4443" t="s">
        <v>8929</v>
      </c>
    </row>
    <row r="4444" spans="1:17" x14ac:dyDescent="0.3">
      <c r="A4444" t="s">
        <v>4446</v>
      </c>
      <c r="B4444" t="str">
        <f>"300647"</f>
        <v>300647</v>
      </c>
      <c r="C4444" t="s">
        <v>8930</v>
      </c>
      <c r="D4444" t="s">
        <v>150</v>
      </c>
      <c r="F4444">
        <v>-168010240</v>
      </c>
      <c r="G4444">
        <v>-56632568</v>
      </c>
      <c r="H4444">
        <v>-47421261</v>
      </c>
      <c r="I4444">
        <v>-46892548</v>
      </c>
      <c r="J4444">
        <v>-163663588</v>
      </c>
      <c r="K4444">
        <v>-27435975</v>
      </c>
      <c r="L4444">
        <v>-9434473</v>
      </c>
      <c r="M4444">
        <v>16772345</v>
      </c>
      <c r="P4444">
        <v>117</v>
      </c>
      <c r="Q4444" t="s">
        <v>8931</v>
      </c>
    </row>
    <row r="4445" spans="1:17" x14ac:dyDescent="0.3">
      <c r="A4445" t="s">
        <v>4446</v>
      </c>
      <c r="B4445" t="str">
        <f>"300648"</f>
        <v>300648</v>
      </c>
      <c r="C4445" t="s">
        <v>8932</v>
      </c>
      <c r="D4445" t="s">
        <v>188</v>
      </c>
      <c r="F4445">
        <v>-121504056</v>
      </c>
      <c r="G4445">
        <v>-37024138</v>
      </c>
      <c r="H4445">
        <v>-190272393</v>
      </c>
      <c r="I4445">
        <v>-38526253</v>
      </c>
      <c r="J4445">
        <v>-83664910</v>
      </c>
      <c r="K4445">
        <v>5262568</v>
      </c>
      <c r="L4445">
        <v>6957615</v>
      </c>
      <c r="M4445">
        <v>-62915833</v>
      </c>
      <c r="P4445">
        <v>267</v>
      </c>
      <c r="Q4445" t="s">
        <v>8933</v>
      </c>
    </row>
    <row r="4446" spans="1:17" x14ac:dyDescent="0.3">
      <c r="A4446" t="s">
        <v>4446</v>
      </c>
      <c r="B4446" t="str">
        <f>"300649"</f>
        <v>300649</v>
      </c>
      <c r="C4446" t="s">
        <v>8934</v>
      </c>
      <c r="D4446" t="s">
        <v>95</v>
      </c>
      <c r="F4446">
        <v>117333014</v>
      </c>
      <c r="G4446">
        <v>49999376</v>
      </c>
      <c r="H4446">
        <v>18969893</v>
      </c>
      <c r="I4446">
        <v>10721633</v>
      </c>
      <c r="J4446">
        <v>17784300</v>
      </c>
      <c r="K4446">
        <v>-144670057</v>
      </c>
      <c r="L4446">
        <v>5872149</v>
      </c>
      <c r="M4446">
        <v>-15628024</v>
      </c>
      <c r="P4446">
        <v>91</v>
      </c>
      <c r="Q4446" t="s">
        <v>8935</v>
      </c>
    </row>
    <row r="4447" spans="1:17" x14ac:dyDescent="0.3">
      <c r="A4447" t="s">
        <v>4446</v>
      </c>
      <c r="B4447" t="str">
        <f>"300650"</f>
        <v>300650</v>
      </c>
      <c r="C4447" t="s">
        <v>8936</v>
      </c>
      <c r="D4447" t="s">
        <v>150</v>
      </c>
      <c r="F4447">
        <v>338038169</v>
      </c>
      <c r="G4447">
        <v>68976346</v>
      </c>
      <c r="H4447">
        <v>-8931684</v>
      </c>
      <c r="I4447">
        <v>-47064748</v>
      </c>
      <c r="J4447">
        <v>-10330730</v>
      </c>
      <c r="K4447">
        <v>-791400</v>
      </c>
      <c r="L4447">
        <v>9781958</v>
      </c>
      <c r="M4447">
        <v>-3150958</v>
      </c>
      <c r="P4447">
        <v>125</v>
      </c>
      <c r="Q4447" t="s">
        <v>8937</v>
      </c>
    </row>
    <row r="4448" spans="1:17" x14ac:dyDescent="0.3">
      <c r="A4448" t="s">
        <v>4446</v>
      </c>
      <c r="B4448" t="str">
        <f>"300651"</f>
        <v>300651</v>
      </c>
      <c r="C4448" t="s">
        <v>8938</v>
      </c>
      <c r="D4448" t="s">
        <v>110</v>
      </c>
      <c r="F4448">
        <v>67067461</v>
      </c>
      <c r="G4448">
        <v>43867564</v>
      </c>
      <c r="H4448">
        <v>23684546</v>
      </c>
      <c r="I4448">
        <v>-43086957</v>
      </c>
      <c r="J4448">
        <v>-144031060</v>
      </c>
      <c r="K4448">
        <v>-6560984</v>
      </c>
      <c r="L4448">
        <v>23261493</v>
      </c>
      <c r="M4448">
        <v>-13554556</v>
      </c>
      <c r="P4448">
        <v>99</v>
      </c>
      <c r="Q4448" t="s">
        <v>8939</v>
      </c>
    </row>
    <row r="4449" spans="1:17" x14ac:dyDescent="0.3">
      <c r="A4449" t="s">
        <v>4446</v>
      </c>
      <c r="B4449" t="str">
        <f>"300652"</f>
        <v>300652</v>
      </c>
      <c r="C4449" t="s">
        <v>8940</v>
      </c>
      <c r="D4449" t="s">
        <v>27</v>
      </c>
      <c r="F4449">
        <v>-5155894</v>
      </c>
      <c r="G4449">
        <v>45184745</v>
      </c>
      <c r="H4449">
        <v>-7847984</v>
      </c>
      <c r="I4449">
        <v>47305070</v>
      </c>
      <c r="J4449">
        <v>5458111</v>
      </c>
      <c r="K4449">
        <v>62243164</v>
      </c>
      <c r="L4449">
        <v>41897579</v>
      </c>
      <c r="M4449">
        <v>39832672</v>
      </c>
      <c r="P4449">
        <v>92</v>
      </c>
      <c r="Q4449" t="s">
        <v>8941</v>
      </c>
    </row>
    <row r="4450" spans="1:17" x14ac:dyDescent="0.3">
      <c r="A4450" t="s">
        <v>4446</v>
      </c>
      <c r="B4450" t="str">
        <f>"300653"</f>
        <v>300653</v>
      </c>
      <c r="C4450" t="s">
        <v>8942</v>
      </c>
      <c r="D4450" t="s">
        <v>113</v>
      </c>
      <c r="F4450">
        <v>156491187</v>
      </c>
      <c r="G4450">
        <v>15411239</v>
      </c>
      <c r="H4450">
        <v>41204729</v>
      </c>
      <c r="I4450">
        <v>70752874</v>
      </c>
      <c r="J4450">
        <v>54926904</v>
      </c>
      <c r="K4450">
        <v>13721780</v>
      </c>
      <c r="L4450">
        <v>39939332</v>
      </c>
      <c r="M4450">
        <v>27154715</v>
      </c>
      <c r="P4450">
        <v>901</v>
      </c>
      <c r="Q4450" t="s">
        <v>8943</v>
      </c>
    </row>
    <row r="4451" spans="1:17" x14ac:dyDescent="0.3">
      <c r="A4451" t="s">
        <v>4446</v>
      </c>
      <c r="B4451" t="str">
        <f>"300654"</f>
        <v>300654</v>
      </c>
      <c r="C4451" t="s">
        <v>8944</v>
      </c>
      <c r="D4451" t="s">
        <v>89</v>
      </c>
      <c r="F4451">
        <v>-6008238</v>
      </c>
      <c r="G4451">
        <v>-23071067</v>
      </c>
      <c r="H4451">
        <v>72882564</v>
      </c>
      <c r="I4451">
        <v>41716331</v>
      </c>
      <c r="J4451">
        <v>-3178812</v>
      </c>
      <c r="K4451">
        <v>57764078</v>
      </c>
      <c r="L4451">
        <v>13054947</v>
      </c>
      <c r="M4451">
        <v>40667401</v>
      </c>
      <c r="P4451">
        <v>73</v>
      </c>
      <c r="Q4451" t="s">
        <v>8945</v>
      </c>
    </row>
    <row r="4452" spans="1:17" x14ac:dyDescent="0.3">
      <c r="A4452" t="s">
        <v>4446</v>
      </c>
      <c r="B4452" t="str">
        <f>"300655"</f>
        <v>300655</v>
      </c>
      <c r="C4452" t="s">
        <v>8946</v>
      </c>
      <c r="D4452" t="s">
        <v>150</v>
      </c>
      <c r="F4452">
        <v>-13950520</v>
      </c>
      <c r="G4452">
        <v>-153592990</v>
      </c>
      <c r="H4452">
        <v>24068575</v>
      </c>
      <c r="I4452">
        <v>-81285839</v>
      </c>
      <c r="J4452">
        <v>-106176989</v>
      </c>
      <c r="K4452">
        <v>-8050792</v>
      </c>
      <c r="L4452">
        <v>-14976479</v>
      </c>
      <c r="M4452">
        <v>14670149</v>
      </c>
      <c r="P4452">
        <v>3076</v>
      </c>
      <c r="Q4452" t="s">
        <v>8947</v>
      </c>
    </row>
    <row r="4453" spans="1:17" x14ac:dyDescent="0.3">
      <c r="A4453" t="s">
        <v>4446</v>
      </c>
      <c r="B4453" t="str">
        <f>"300656"</f>
        <v>300656</v>
      </c>
      <c r="C4453" t="s">
        <v>8948</v>
      </c>
      <c r="D4453" t="s">
        <v>150</v>
      </c>
      <c r="F4453">
        <v>33560946</v>
      </c>
      <c r="G4453">
        <v>3655096</v>
      </c>
      <c r="H4453">
        <v>47406430</v>
      </c>
      <c r="I4453">
        <v>-44725875</v>
      </c>
      <c r="J4453">
        <v>4148102</v>
      </c>
      <c r="K4453">
        <v>39929080</v>
      </c>
      <c r="L4453">
        <v>33539269</v>
      </c>
      <c r="M4453">
        <v>32806178</v>
      </c>
      <c r="P4453">
        <v>81</v>
      </c>
      <c r="Q4453" t="s">
        <v>8949</v>
      </c>
    </row>
    <row r="4454" spans="1:17" x14ac:dyDescent="0.3">
      <c r="A4454" t="s">
        <v>4446</v>
      </c>
      <c r="B4454" t="str">
        <f>"300657"</f>
        <v>300657</v>
      </c>
      <c r="C4454" t="s">
        <v>8950</v>
      </c>
      <c r="D4454" t="s">
        <v>150</v>
      </c>
      <c r="F4454">
        <v>-478717435</v>
      </c>
      <c r="G4454">
        <v>-380404768</v>
      </c>
      <c r="H4454">
        <v>-215870602</v>
      </c>
      <c r="I4454">
        <v>119704071</v>
      </c>
      <c r="J4454">
        <v>-54957571</v>
      </c>
      <c r="K4454">
        <v>-21620416</v>
      </c>
      <c r="L4454">
        <v>-81727087</v>
      </c>
      <c r="M4454">
        <v>-79171250</v>
      </c>
      <c r="P4454">
        <v>257</v>
      </c>
      <c r="Q4454" t="s">
        <v>8951</v>
      </c>
    </row>
    <row r="4455" spans="1:17" x14ac:dyDescent="0.3">
      <c r="A4455" t="s">
        <v>4446</v>
      </c>
      <c r="B4455" t="str">
        <f>"300658"</f>
        <v>300658</v>
      </c>
      <c r="C4455" t="s">
        <v>8952</v>
      </c>
      <c r="D4455" t="s">
        <v>481</v>
      </c>
      <c r="F4455">
        <v>-197757673</v>
      </c>
      <c r="G4455">
        <v>107179964</v>
      </c>
      <c r="H4455">
        <v>-135236771</v>
      </c>
      <c r="I4455">
        <v>-263111028</v>
      </c>
      <c r="J4455">
        <v>-23050244</v>
      </c>
      <c r="K4455">
        <v>53723321</v>
      </c>
      <c r="L4455">
        <v>48393464</v>
      </c>
      <c r="M4455">
        <v>-13979799</v>
      </c>
      <c r="P4455">
        <v>232</v>
      </c>
      <c r="Q4455" t="s">
        <v>8953</v>
      </c>
    </row>
    <row r="4456" spans="1:17" x14ac:dyDescent="0.3">
      <c r="A4456" t="s">
        <v>4446</v>
      </c>
      <c r="B4456" t="str">
        <f>"300659"</f>
        <v>300659</v>
      </c>
      <c r="C4456" t="s">
        <v>8954</v>
      </c>
      <c r="D4456" t="s">
        <v>212</v>
      </c>
      <c r="F4456">
        <v>-363987709</v>
      </c>
      <c r="G4456">
        <v>95062768</v>
      </c>
      <c r="H4456">
        <v>71444323</v>
      </c>
      <c r="I4456">
        <v>1757778</v>
      </c>
      <c r="J4456">
        <v>18117004</v>
      </c>
      <c r="K4456">
        <v>13356497</v>
      </c>
      <c r="L4456">
        <v>68349915</v>
      </c>
      <c r="M4456">
        <v>16233826</v>
      </c>
      <c r="P4456">
        <v>273</v>
      </c>
      <c r="Q4456" t="s">
        <v>8955</v>
      </c>
    </row>
    <row r="4457" spans="1:17" x14ac:dyDescent="0.3">
      <c r="A4457" t="s">
        <v>4446</v>
      </c>
      <c r="B4457" t="str">
        <f>"300660"</f>
        <v>300660</v>
      </c>
      <c r="C4457" t="s">
        <v>8956</v>
      </c>
      <c r="D4457" t="s">
        <v>188</v>
      </c>
      <c r="F4457">
        <v>118751964</v>
      </c>
      <c r="G4457">
        <v>271708902</v>
      </c>
      <c r="H4457">
        <v>155642221</v>
      </c>
      <c r="I4457">
        <v>-49913517</v>
      </c>
      <c r="J4457">
        <v>32392219</v>
      </c>
      <c r="K4457">
        <v>161427331</v>
      </c>
      <c r="L4457">
        <v>167707390</v>
      </c>
      <c r="M4457">
        <v>91599007</v>
      </c>
      <c r="P4457">
        <v>108</v>
      </c>
      <c r="Q4457" t="s">
        <v>8957</v>
      </c>
    </row>
    <row r="4458" spans="1:17" x14ac:dyDescent="0.3">
      <c r="A4458" t="s">
        <v>4446</v>
      </c>
      <c r="B4458" t="str">
        <f>"300661"</f>
        <v>300661</v>
      </c>
      <c r="C4458" t="s">
        <v>8958</v>
      </c>
      <c r="D4458" t="s">
        <v>150</v>
      </c>
      <c r="F4458">
        <v>582131171</v>
      </c>
      <c r="G4458">
        <v>197935748</v>
      </c>
      <c r="H4458">
        <v>92480188</v>
      </c>
      <c r="I4458">
        <v>60322773</v>
      </c>
      <c r="J4458">
        <v>107746060</v>
      </c>
      <c r="K4458">
        <v>67306230</v>
      </c>
      <c r="L4458">
        <v>62316982</v>
      </c>
      <c r="M4458">
        <v>67612515</v>
      </c>
      <c r="P4458">
        <v>1056</v>
      </c>
      <c r="Q4458" t="s">
        <v>8959</v>
      </c>
    </row>
    <row r="4459" spans="1:17" x14ac:dyDescent="0.3">
      <c r="A4459" t="s">
        <v>4446</v>
      </c>
      <c r="B4459" t="str">
        <f>"300662"</f>
        <v>300662</v>
      </c>
      <c r="C4459" t="s">
        <v>8960</v>
      </c>
      <c r="D4459" t="s">
        <v>110</v>
      </c>
      <c r="F4459">
        <v>-74906348</v>
      </c>
      <c r="G4459">
        <v>161434423</v>
      </c>
      <c r="H4459">
        <v>96041626</v>
      </c>
      <c r="I4459">
        <v>108371088</v>
      </c>
      <c r="J4459">
        <v>76535979</v>
      </c>
      <c r="K4459">
        <v>13412322</v>
      </c>
      <c r="L4459">
        <v>28505528</v>
      </c>
      <c r="M4459">
        <v>53642012</v>
      </c>
      <c r="P4459">
        <v>690</v>
      </c>
      <c r="Q4459" t="s">
        <v>8961</v>
      </c>
    </row>
    <row r="4460" spans="1:17" x14ac:dyDescent="0.3">
      <c r="A4460" t="s">
        <v>4446</v>
      </c>
      <c r="B4460" t="str">
        <f>"300663"</f>
        <v>300663</v>
      </c>
      <c r="C4460" t="s">
        <v>8962</v>
      </c>
      <c r="D4460" t="s">
        <v>212</v>
      </c>
      <c r="F4460">
        <v>-113233747</v>
      </c>
      <c r="G4460">
        <v>-274806843</v>
      </c>
      <c r="H4460">
        <v>-144739281</v>
      </c>
      <c r="I4460">
        <v>-53206408</v>
      </c>
      <c r="J4460">
        <v>-29908902</v>
      </c>
      <c r="K4460">
        <v>-10184668</v>
      </c>
      <c r="L4460">
        <v>-103210722</v>
      </c>
      <c r="M4460">
        <v>-21667556</v>
      </c>
      <c r="P4460">
        <v>261</v>
      </c>
      <c r="Q4460" t="s">
        <v>8963</v>
      </c>
    </row>
    <row r="4461" spans="1:17" x14ac:dyDescent="0.3">
      <c r="A4461" t="s">
        <v>4446</v>
      </c>
      <c r="B4461" t="str">
        <f>"300664"</f>
        <v>300664</v>
      </c>
      <c r="C4461" t="s">
        <v>8964</v>
      </c>
      <c r="D4461" t="s">
        <v>33</v>
      </c>
      <c r="F4461">
        <v>-330910810</v>
      </c>
      <c r="G4461">
        <v>186822569</v>
      </c>
      <c r="H4461">
        <v>-145031237</v>
      </c>
      <c r="I4461">
        <v>-138195944</v>
      </c>
      <c r="J4461">
        <v>37496705</v>
      </c>
      <c r="K4461">
        <v>516101133</v>
      </c>
      <c r="L4461">
        <v>362804002</v>
      </c>
      <c r="M4461">
        <v>-38591552</v>
      </c>
      <c r="P4461">
        <v>118</v>
      </c>
      <c r="Q4461" t="s">
        <v>8965</v>
      </c>
    </row>
    <row r="4462" spans="1:17" x14ac:dyDescent="0.3">
      <c r="A4462" t="s">
        <v>4446</v>
      </c>
      <c r="B4462" t="str">
        <f>"300665"</f>
        <v>300665</v>
      </c>
      <c r="C4462" t="s">
        <v>8966</v>
      </c>
      <c r="D4462" t="s">
        <v>133</v>
      </c>
      <c r="F4462">
        <v>-139497978</v>
      </c>
      <c r="G4462">
        <v>-138857064</v>
      </c>
      <c r="H4462">
        <v>3919560</v>
      </c>
      <c r="I4462">
        <v>-99991225</v>
      </c>
      <c r="J4462">
        <v>-59431059</v>
      </c>
      <c r="K4462">
        <v>20337537</v>
      </c>
      <c r="L4462">
        <v>-21344783</v>
      </c>
      <c r="M4462">
        <v>6228018</v>
      </c>
      <c r="P4462">
        <v>109</v>
      </c>
      <c r="Q4462" t="s">
        <v>8967</v>
      </c>
    </row>
    <row r="4463" spans="1:17" x14ac:dyDescent="0.3">
      <c r="A4463" t="s">
        <v>4446</v>
      </c>
      <c r="B4463" t="str">
        <f>"300666"</f>
        <v>300666</v>
      </c>
      <c r="C4463" t="s">
        <v>8968</v>
      </c>
      <c r="D4463" t="s">
        <v>150</v>
      </c>
      <c r="F4463">
        <v>-213176801</v>
      </c>
      <c r="G4463">
        <v>-274542372</v>
      </c>
      <c r="H4463">
        <v>-51780807</v>
      </c>
      <c r="I4463">
        <v>-120574577</v>
      </c>
      <c r="J4463">
        <v>-90322822</v>
      </c>
      <c r="K4463">
        <v>22455798</v>
      </c>
      <c r="L4463">
        <v>18290138</v>
      </c>
      <c r="M4463">
        <v>-79721699</v>
      </c>
      <c r="P4463">
        <v>520</v>
      </c>
      <c r="Q4463" t="s">
        <v>8969</v>
      </c>
    </row>
    <row r="4464" spans="1:17" x14ac:dyDescent="0.3">
      <c r="A4464" t="s">
        <v>4446</v>
      </c>
      <c r="B4464" t="str">
        <f>"300667"</f>
        <v>300667</v>
      </c>
      <c r="C4464" t="s">
        <v>8970</v>
      </c>
      <c r="D4464" t="s">
        <v>78</v>
      </c>
      <c r="F4464">
        <v>58919267</v>
      </c>
      <c r="G4464">
        <v>40877398</v>
      </c>
      <c r="H4464">
        <v>-134383</v>
      </c>
      <c r="I4464">
        <v>-42746440</v>
      </c>
      <c r="J4464">
        <v>-13147183</v>
      </c>
      <c r="K4464">
        <v>15815550</v>
      </c>
      <c r="L4464">
        <v>-9281304</v>
      </c>
      <c r="M4464">
        <v>-6698943</v>
      </c>
      <c r="P4464">
        <v>144</v>
      </c>
      <c r="Q4464" t="s">
        <v>8971</v>
      </c>
    </row>
    <row r="4465" spans="1:17" x14ac:dyDescent="0.3">
      <c r="A4465" t="s">
        <v>4446</v>
      </c>
      <c r="B4465" t="str">
        <f>"300668"</f>
        <v>300668</v>
      </c>
      <c r="C4465" t="s">
        <v>8972</v>
      </c>
      <c r="D4465" t="s">
        <v>95</v>
      </c>
      <c r="F4465">
        <v>16240266</v>
      </c>
      <c r="G4465">
        <v>39223643</v>
      </c>
      <c r="H4465">
        <v>26091477</v>
      </c>
      <c r="I4465">
        <v>18945441</v>
      </c>
      <c r="J4465">
        <v>17495064</v>
      </c>
      <c r="K4465">
        <v>-73261027</v>
      </c>
      <c r="L4465">
        <v>28750434</v>
      </c>
      <c r="M4465">
        <v>11577314</v>
      </c>
      <c r="P4465">
        <v>207</v>
      </c>
      <c r="Q4465" t="s">
        <v>8973</v>
      </c>
    </row>
    <row r="4466" spans="1:17" x14ac:dyDescent="0.3">
      <c r="A4466" t="s">
        <v>4446</v>
      </c>
      <c r="B4466" t="str">
        <f>"300669"</f>
        <v>300669</v>
      </c>
      <c r="C4466" t="s">
        <v>8974</v>
      </c>
      <c r="D4466" t="s">
        <v>78</v>
      </c>
      <c r="F4466">
        <v>-62540791</v>
      </c>
      <c r="G4466">
        <v>35918299</v>
      </c>
      <c r="H4466">
        <v>25091199</v>
      </c>
      <c r="I4466">
        <v>405286</v>
      </c>
      <c r="J4466">
        <v>26526275</v>
      </c>
      <c r="K4466">
        <v>31294488</v>
      </c>
      <c r="L4466">
        <v>21077680</v>
      </c>
      <c r="M4466">
        <v>16020329</v>
      </c>
      <c r="P4466">
        <v>102</v>
      </c>
      <c r="Q4466" t="s">
        <v>8975</v>
      </c>
    </row>
    <row r="4467" spans="1:17" x14ac:dyDescent="0.3">
      <c r="A4467" t="s">
        <v>4446</v>
      </c>
      <c r="B4467" t="str">
        <f>"300670"</f>
        <v>300670</v>
      </c>
      <c r="C4467" t="s">
        <v>8976</v>
      </c>
      <c r="D4467" t="s">
        <v>188</v>
      </c>
      <c r="F4467">
        <v>37611104</v>
      </c>
      <c r="G4467">
        <v>98635873</v>
      </c>
      <c r="H4467">
        <v>6952751</v>
      </c>
      <c r="I4467">
        <v>-64639848</v>
      </c>
      <c r="J4467">
        <v>-7317205</v>
      </c>
      <c r="K4467">
        <v>26302866</v>
      </c>
      <c r="L4467">
        <v>-2514733</v>
      </c>
      <c r="M4467">
        <v>10070678</v>
      </c>
      <c r="P4467">
        <v>67</v>
      </c>
      <c r="Q4467" t="s">
        <v>8977</v>
      </c>
    </row>
    <row r="4468" spans="1:17" x14ac:dyDescent="0.3">
      <c r="A4468" t="s">
        <v>4446</v>
      </c>
      <c r="B4468" t="str">
        <f>"300671"</f>
        <v>300671</v>
      </c>
      <c r="C4468" t="s">
        <v>8978</v>
      </c>
      <c r="D4468" t="s">
        <v>150</v>
      </c>
      <c r="F4468">
        <v>290555480</v>
      </c>
      <c r="G4468">
        <v>-158020786</v>
      </c>
      <c r="H4468">
        <v>-64442564</v>
      </c>
      <c r="I4468">
        <v>-73367448</v>
      </c>
      <c r="J4468">
        <v>-82566630</v>
      </c>
      <c r="K4468">
        <v>27600732</v>
      </c>
      <c r="L4468">
        <v>-7306824</v>
      </c>
      <c r="M4468">
        <v>-18304773</v>
      </c>
      <c r="P4468">
        <v>301</v>
      </c>
      <c r="Q4468" t="s">
        <v>8979</v>
      </c>
    </row>
    <row r="4469" spans="1:17" x14ac:dyDescent="0.3">
      <c r="A4469" t="s">
        <v>4446</v>
      </c>
      <c r="B4469" t="str">
        <f>"300672"</f>
        <v>300672</v>
      </c>
      <c r="C4469" t="s">
        <v>8980</v>
      </c>
      <c r="D4469" t="s">
        <v>150</v>
      </c>
      <c r="F4469">
        <v>-264233193</v>
      </c>
      <c r="G4469">
        <v>-81285393</v>
      </c>
      <c r="H4469">
        <v>151083651</v>
      </c>
      <c r="I4469">
        <v>-186252438</v>
      </c>
      <c r="J4469">
        <v>38927929</v>
      </c>
      <c r="K4469">
        <v>-38847312</v>
      </c>
      <c r="L4469">
        <v>-146662968</v>
      </c>
      <c r="M4469">
        <v>-17465770</v>
      </c>
      <c r="P4469">
        <v>305</v>
      </c>
      <c r="Q4469" t="s">
        <v>8981</v>
      </c>
    </row>
    <row r="4470" spans="1:17" x14ac:dyDescent="0.3">
      <c r="A4470" t="s">
        <v>4446</v>
      </c>
      <c r="B4470" t="str">
        <f>"300673"</f>
        <v>300673</v>
      </c>
      <c r="C4470" t="s">
        <v>8982</v>
      </c>
      <c r="D4470" t="s">
        <v>205</v>
      </c>
      <c r="F4470">
        <v>-245693886</v>
      </c>
      <c r="G4470">
        <v>-225416998</v>
      </c>
      <c r="H4470">
        <v>-199916942</v>
      </c>
      <c r="I4470">
        <v>77306912</v>
      </c>
      <c r="J4470">
        <v>-38102679</v>
      </c>
      <c r="K4470">
        <v>65417065</v>
      </c>
      <c r="L4470">
        <v>105064616</v>
      </c>
      <c r="M4470">
        <v>1809363</v>
      </c>
      <c r="P4470">
        <v>512</v>
      </c>
      <c r="Q4470" t="s">
        <v>8983</v>
      </c>
    </row>
    <row r="4471" spans="1:17" x14ac:dyDescent="0.3">
      <c r="A4471" t="s">
        <v>4446</v>
      </c>
      <c r="B4471" t="str">
        <f>"300674"</f>
        <v>300674</v>
      </c>
      <c r="C4471" t="s">
        <v>8984</v>
      </c>
      <c r="D4471" t="s">
        <v>212</v>
      </c>
      <c r="F4471">
        <v>99367441</v>
      </c>
      <c r="G4471">
        <v>336088767</v>
      </c>
      <c r="H4471">
        <v>-95029872</v>
      </c>
      <c r="I4471">
        <v>-16253530</v>
      </c>
      <c r="J4471">
        <v>-53763762</v>
      </c>
      <c r="K4471">
        <v>148352932</v>
      </c>
      <c r="L4471">
        <v>-92549735</v>
      </c>
      <c r="P4471">
        <v>349</v>
      </c>
      <c r="Q4471" t="s">
        <v>8985</v>
      </c>
    </row>
    <row r="4472" spans="1:17" x14ac:dyDescent="0.3">
      <c r="A4472" t="s">
        <v>4446</v>
      </c>
      <c r="B4472" t="str">
        <f>"300675"</f>
        <v>300675</v>
      </c>
      <c r="C4472" t="s">
        <v>8986</v>
      </c>
      <c r="D4472" t="s">
        <v>95</v>
      </c>
      <c r="F4472">
        <v>-20109457</v>
      </c>
      <c r="G4472">
        <v>-69678376</v>
      </c>
      <c r="H4472">
        <v>-71288954</v>
      </c>
      <c r="I4472">
        <v>-43304643</v>
      </c>
      <c r="J4472">
        <v>66842135</v>
      </c>
      <c r="K4472">
        <v>49681757</v>
      </c>
      <c r="L4472">
        <v>-102078111</v>
      </c>
      <c r="M4472">
        <v>-8657722</v>
      </c>
      <c r="P4472">
        <v>85</v>
      </c>
      <c r="Q4472" t="s">
        <v>8987</v>
      </c>
    </row>
    <row r="4473" spans="1:17" x14ac:dyDescent="0.3">
      <c r="A4473" t="s">
        <v>4446</v>
      </c>
      <c r="B4473" t="str">
        <f>"300676"</f>
        <v>300676</v>
      </c>
      <c r="C4473" t="s">
        <v>8988</v>
      </c>
      <c r="D4473" t="s">
        <v>113</v>
      </c>
      <c r="F4473">
        <v>2093321613</v>
      </c>
      <c r="G4473">
        <v>3305578231</v>
      </c>
      <c r="H4473">
        <v>-400884461</v>
      </c>
      <c r="I4473">
        <v>-661972104</v>
      </c>
      <c r="J4473">
        <v>-62303866</v>
      </c>
      <c r="K4473">
        <v>28328534</v>
      </c>
      <c r="L4473">
        <v>233639132</v>
      </c>
      <c r="M4473">
        <v>-545277240</v>
      </c>
      <c r="P4473">
        <v>1481</v>
      </c>
      <c r="Q4473" t="s">
        <v>8989</v>
      </c>
    </row>
    <row r="4474" spans="1:17" x14ac:dyDescent="0.3">
      <c r="A4474" t="s">
        <v>4446</v>
      </c>
      <c r="B4474" t="str">
        <f>"300677"</f>
        <v>300677</v>
      </c>
      <c r="C4474" t="s">
        <v>8990</v>
      </c>
      <c r="D4474" t="s">
        <v>113</v>
      </c>
      <c r="F4474">
        <v>3242015992</v>
      </c>
      <c r="G4474">
        <v>5701876052</v>
      </c>
      <c r="H4474">
        <v>-206822851</v>
      </c>
      <c r="I4474">
        <v>-122472563</v>
      </c>
      <c r="J4474">
        <v>38308283</v>
      </c>
      <c r="K4474">
        <v>-136674117</v>
      </c>
      <c r="L4474">
        <v>-68007041</v>
      </c>
      <c r="M4474">
        <v>28825099</v>
      </c>
      <c r="P4474">
        <v>1819</v>
      </c>
      <c r="Q4474" t="s">
        <v>8991</v>
      </c>
    </row>
    <row r="4475" spans="1:17" x14ac:dyDescent="0.3">
      <c r="A4475" t="s">
        <v>4446</v>
      </c>
      <c r="B4475" t="str">
        <f>"300678"</f>
        <v>300678</v>
      </c>
      <c r="C4475" t="s">
        <v>8992</v>
      </c>
      <c r="D4475" t="s">
        <v>212</v>
      </c>
      <c r="F4475">
        <v>19400582</v>
      </c>
      <c r="G4475">
        <v>-22411676</v>
      </c>
      <c r="H4475">
        <v>-10082139</v>
      </c>
      <c r="I4475">
        <v>-14548415</v>
      </c>
      <c r="J4475">
        <v>9895125</v>
      </c>
      <c r="K4475">
        <v>-21725485</v>
      </c>
      <c r="L4475">
        <v>5071568</v>
      </c>
      <c r="M4475">
        <v>-7300572</v>
      </c>
      <c r="P4475">
        <v>105</v>
      </c>
      <c r="Q4475" t="s">
        <v>8993</v>
      </c>
    </row>
    <row r="4476" spans="1:17" x14ac:dyDescent="0.3">
      <c r="A4476" t="s">
        <v>4446</v>
      </c>
      <c r="B4476" t="str">
        <f>"300679"</f>
        <v>300679</v>
      </c>
      <c r="C4476" t="s">
        <v>8994</v>
      </c>
      <c r="D4476" t="s">
        <v>150</v>
      </c>
      <c r="F4476">
        <v>213717828</v>
      </c>
      <c r="G4476">
        <v>139584559</v>
      </c>
      <c r="H4476">
        <v>-263418861</v>
      </c>
      <c r="I4476">
        <v>40520954</v>
      </c>
      <c r="J4476">
        <v>442255786</v>
      </c>
      <c r="K4476">
        <v>134805748</v>
      </c>
      <c r="L4476">
        <v>79263957</v>
      </c>
      <c r="M4476">
        <v>40445207</v>
      </c>
      <c r="P4476">
        <v>335</v>
      </c>
      <c r="Q4476" t="s">
        <v>8995</v>
      </c>
    </row>
    <row r="4477" spans="1:17" x14ac:dyDescent="0.3">
      <c r="A4477" t="s">
        <v>4446</v>
      </c>
      <c r="B4477" t="str">
        <f>"300680"</f>
        <v>300680</v>
      </c>
      <c r="C4477" t="s">
        <v>8996</v>
      </c>
      <c r="D4477" t="s">
        <v>27</v>
      </c>
      <c r="F4477">
        <v>-184198543</v>
      </c>
      <c r="G4477">
        <v>-71003476</v>
      </c>
      <c r="H4477">
        <v>-32344081</v>
      </c>
      <c r="I4477">
        <v>-48850315</v>
      </c>
      <c r="J4477">
        <v>-26107170</v>
      </c>
      <c r="K4477">
        <v>27962875</v>
      </c>
      <c r="L4477">
        <v>-18973285</v>
      </c>
      <c r="M4477">
        <v>-24983600</v>
      </c>
      <c r="P4477">
        <v>115</v>
      </c>
      <c r="Q4477" t="s">
        <v>8997</v>
      </c>
    </row>
    <row r="4478" spans="1:17" x14ac:dyDescent="0.3">
      <c r="A4478" t="s">
        <v>4446</v>
      </c>
      <c r="B4478" t="str">
        <f>"300681"</f>
        <v>300681</v>
      </c>
      <c r="C4478" t="s">
        <v>8998</v>
      </c>
      <c r="D4478" t="s">
        <v>27</v>
      </c>
      <c r="F4478">
        <v>-229714114</v>
      </c>
      <c r="G4478">
        <v>-18011739</v>
      </c>
      <c r="H4478">
        <v>27896861</v>
      </c>
      <c r="I4478">
        <v>-103797967</v>
      </c>
      <c r="J4478">
        <v>-161510720</v>
      </c>
      <c r="K4478">
        <v>-30197753</v>
      </c>
      <c r="L4478">
        <v>-42918734</v>
      </c>
      <c r="M4478">
        <v>3974907</v>
      </c>
      <c r="P4478">
        <v>89</v>
      </c>
      <c r="Q4478" t="s">
        <v>8999</v>
      </c>
    </row>
    <row r="4479" spans="1:17" x14ac:dyDescent="0.3">
      <c r="A4479" t="s">
        <v>4446</v>
      </c>
      <c r="B4479" t="str">
        <f>"300682"</f>
        <v>300682</v>
      </c>
      <c r="C4479" t="s">
        <v>9000</v>
      </c>
      <c r="D4479" t="s">
        <v>212</v>
      </c>
      <c r="F4479">
        <v>-22855277</v>
      </c>
      <c r="G4479">
        <v>318244493</v>
      </c>
      <c r="H4479">
        <v>468751435</v>
      </c>
      <c r="I4479">
        <v>-21342564</v>
      </c>
      <c r="J4479">
        <v>38861168</v>
      </c>
      <c r="K4479">
        <v>43761555</v>
      </c>
      <c r="L4479">
        <v>13858488</v>
      </c>
      <c r="M4479">
        <v>40997816</v>
      </c>
      <c r="P4479">
        <v>255</v>
      </c>
      <c r="Q4479" t="s">
        <v>9001</v>
      </c>
    </row>
    <row r="4480" spans="1:17" x14ac:dyDescent="0.3">
      <c r="A4480" t="s">
        <v>4446</v>
      </c>
      <c r="B4480" t="str">
        <f>"300683"</f>
        <v>300683</v>
      </c>
      <c r="C4480" t="s">
        <v>9002</v>
      </c>
      <c r="D4480" t="s">
        <v>113</v>
      </c>
      <c r="F4480">
        <v>-235005371</v>
      </c>
      <c r="G4480">
        <v>-133295601</v>
      </c>
      <c r="H4480">
        <v>-53126232</v>
      </c>
      <c r="I4480">
        <v>34755901</v>
      </c>
      <c r="J4480">
        <v>60831089</v>
      </c>
      <c r="K4480">
        <v>121810887</v>
      </c>
      <c r="L4480">
        <v>146279940</v>
      </c>
      <c r="M4480">
        <v>119776456</v>
      </c>
      <c r="P4480">
        <v>123</v>
      </c>
      <c r="Q4480" t="s">
        <v>9003</v>
      </c>
    </row>
    <row r="4481" spans="1:17" x14ac:dyDescent="0.3">
      <c r="A4481" t="s">
        <v>4446</v>
      </c>
      <c r="B4481" t="str">
        <f>"300684"</f>
        <v>300684</v>
      </c>
      <c r="C4481" t="s">
        <v>9004</v>
      </c>
      <c r="D4481" t="s">
        <v>150</v>
      </c>
      <c r="F4481">
        <v>-68409205</v>
      </c>
      <c r="G4481">
        <v>43144261</v>
      </c>
      <c r="H4481">
        <v>111811015</v>
      </c>
      <c r="I4481">
        <v>126530817</v>
      </c>
      <c r="J4481">
        <v>-132188978</v>
      </c>
      <c r="K4481">
        <v>-11621306</v>
      </c>
      <c r="L4481">
        <v>-43848010</v>
      </c>
      <c r="M4481">
        <v>68131347</v>
      </c>
      <c r="P4481">
        <v>348</v>
      </c>
      <c r="Q4481" t="s">
        <v>9005</v>
      </c>
    </row>
    <row r="4482" spans="1:17" x14ac:dyDescent="0.3">
      <c r="A4482" t="s">
        <v>4446</v>
      </c>
      <c r="B4482" t="str">
        <f>"300685"</f>
        <v>300685</v>
      </c>
      <c r="C4482" t="s">
        <v>9006</v>
      </c>
      <c r="D4482" t="s">
        <v>113</v>
      </c>
      <c r="F4482">
        <v>96912120</v>
      </c>
      <c r="G4482">
        <v>162908987</v>
      </c>
      <c r="H4482">
        <v>128311156</v>
      </c>
      <c r="I4482">
        <v>54680564</v>
      </c>
      <c r="J4482">
        <v>70213469</v>
      </c>
      <c r="K4482">
        <v>-11809714</v>
      </c>
      <c r="L4482">
        <v>-10147397</v>
      </c>
      <c r="M4482">
        <v>-30201347</v>
      </c>
      <c r="P4482">
        <v>977</v>
      </c>
      <c r="Q4482" t="s">
        <v>9007</v>
      </c>
    </row>
    <row r="4483" spans="1:17" x14ac:dyDescent="0.3">
      <c r="A4483" t="s">
        <v>4446</v>
      </c>
      <c r="B4483" t="str">
        <f>"300686"</f>
        <v>300686</v>
      </c>
      <c r="C4483" t="s">
        <v>9008</v>
      </c>
      <c r="D4483" t="s">
        <v>150</v>
      </c>
      <c r="F4483">
        <v>12412999</v>
      </c>
      <c r="G4483">
        <v>47212188</v>
      </c>
      <c r="H4483">
        <v>-33967802</v>
      </c>
      <c r="I4483">
        <v>-158690670</v>
      </c>
      <c r="J4483">
        <v>-61378679</v>
      </c>
      <c r="K4483">
        <v>59704935</v>
      </c>
      <c r="L4483">
        <v>-57917712</v>
      </c>
      <c r="M4483">
        <v>80764798</v>
      </c>
      <c r="P4483">
        <v>192</v>
      </c>
      <c r="Q4483" t="s">
        <v>9009</v>
      </c>
    </row>
    <row r="4484" spans="1:17" x14ac:dyDescent="0.3">
      <c r="A4484" t="s">
        <v>4446</v>
      </c>
      <c r="B4484" t="str">
        <f>"300687"</f>
        <v>300687</v>
      </c>
      <c r="C4484" t="s">
        <v>9010</v>
      </c>
      <c r="D4484" t="s">
        <v>212</v>
      </c>
      <c r="F4484">
        <v>55596124</v>
      </c>
      <c r="G4484">
        <v>-122361601</v>
      </c>
      <c r="H4484">
        <v>13371661</v>
      </c>
      <c r="I4484">
        <v>30395822</v>
      </c>
      <c r="J4484">
        <v>29313994</v>
      </c>
      <c r="K4484">
        <v>28170097</v>
      </c>
      <c r="L4484">
        <v>-1592530</v>
      </c>
      <c r="M4484">
        <v>-28256652</v>
      </c>
      <c r="P4484">
        <v>267</v>
      </c>
      <c r="Q4484" t="s">
        <v>9011</v>
      </c>
    </row>
    <row r="4485" spans="1:17" x14ac:dyDescent="0.3">
      <c r="A4485" t="s">
        <v>4446</v>
      </c>
      <c r="B4485" t="str">
        <f>"300688"</f>
        <v>300688</v>
      </c>
      <c r="C4485" t="s">
        <v>9012</v>
      </c>
      <c r="D4485" t="s">
        <v>110</v>
      </c>
      <c r="F4485">
        <v>15634066</v>
      </c>
      <c r="G4485">
        <v>23888076</v>
      </c>
      <c r="H4485">
        <v>21880310</v>
      </c>
      <c r="I4485">
        <v>-42004270</v>
      </c>
      <c r="J4485">
        <v>9937023</v>
      </c>
      <c r="K4485">
        <v>40097120</v>
      </c>
      <c r="L4485">
        <v>54287409</v>
      </c>
      <c r="M4485">
        <v>26303042</v>
      </c>
      <c r="P4485">
        <v>83</v>
      </c>
      <c r="Q4485" t="s">
        <v>9013</v>
      </c>
    </row>
    <row r="4486" spans="1:17" x14ac:dyDescent="0.3">
      <c r="A4486" t="s">
        <v>4446</v>
      </c>
      <c r="B4486" t="str">
        <f>"300689"</f>
        <v>300689</v>
      </c>
      <c r="C4486" t="s">
        <v>9014</v>
      </c>
      <c r="D4486" t="s">
        <v>100</v>
      </c>
      <c r="F4486">
        <v>32074057</v>
      </c>
      <c r="G4486">
        <v>31069165</v>
      </c>
      <c r="H4486">
        <v>-86150895</v>
      </c>
      <c r="I4486">
        <v>-6309914</v>
      </c>
      <c r="J4486">
        <v>19193490</v>
      </c>
      <c r="K4486">
        <v>14419194</v>
      </c>
      <c r="L4486">
        <v>28070767</v>
      </c>
      <c r="M4486">
        <v>1280837</v>
      </c>
      <c r="P4486">
        <v>76</v>
      </c>
      <c r="Q4486" t="s">
        <v>9015</v>
      </c>
    </row>
    <row r="4487" spans="1:17" x14ac:dyDescent="0.3">
      <c r="A4487" t="s">
        <v>4446</v>
      </c>
      <c r="B4487" t="str">
        <f>"300690"</f>
        <v>300690</v>
      </c>
      <c r="C4487" t="s">
        <v>9016</v>
      </c>
      <c r="D4487" t="s">
        <v>188</v>
      </c>
      <c r="F4487">
        <v>-31378311</v>
      </c>
      <c r="G4487">
        <v>207265444</v>
      </c>
      <c r="H4487">
        <v>-7761020</v>
      </c>
      <c r="I4487">
        <v>56378832</v>
      </c>
      <c r="J4487">
        <v>14029553</v>
      </c>
      <c r="K4487">
        <v>84135874</v>
      </c>
      <c r="L4487">
        <v>37331093</v>
      </c>
      <c r="M4487">
        <v>47172088</v>
      </c>
      <c r="P4487">
        <v>214</v>
      </c>
      <c r="Q4487" t="s">
        <v>9017</v>
      </c>
    </row>
    <row r="4488" spans="1:17" x14ac:dyDescent="0.3">
      <c r="A4488" t="s">
        <v>4446</v>
      </c>
      <c r="B4488" t="str">
        <f>"300691"</f>
        <v>300691</v>
      </c>
      <c r="C4488" t="s">
        <v>9018</v>
      </c>
      <c r="D4488" t="s">
        <v>212</v>
      </c>
      <c r="F4488">
        <v>-280594076</v>
      </c>
      <c r="G4488">
        <v>-35677064</v>
      </c>
      <c r="H4488">
        <v>-78081957</v>
      </c>
      <c r="I4488">
        <v>-11311441</v>
      </c>
      <c r="J4488">
        <v>-27087976</v>
      </c>
      <c r="K4488">
        <v>5628625</v>
      </c>
      <c r="L4488">
        <v>-26405002</v>
      </c>
      <c r="M4488">
        <v>-40920782</v>
      </c>
      <c r="P4488">
        <v>186</v>
      </c>
      <c r="Q4488" t="s">
        <v>9019</v>
      </c>
    </row>
    <row r="4489" spans="1:17" x14ac:dyDescent="0.3">
      <c r="A4489" t="s">
        <v>4446</v>
      </c>
      <c r="B4489" t="str">
        <f>"300692"</f>
        <v>300692</v>
      </c>
      <c r="C4489" t="s">
        <v>9020</v>
      </c>
      <c r="D4489" t="s">
        <v>33</v>
      </c>
      <c r="F4489">
        <v>-313740681</v>
      </c>
      <c r="G4489">
        <v>-586563728</v>
      </c>
      <c r="H4489">
        <v>-320003999</v>
      </c>
      <c r="I4489">
        <v>-310420742</v>
      </c>
      <c r="J4489">
        <v>-93569233</v>
      </c>
      <c r="K4489">
        <v>59388242</v>
      </c>
      <c r="L4489">
        <v>-72407621</v>
      </c>
      <c r="M4489">
        <v>6090195</v>
      </c>
      <c r="P4489">
        <v>162</v>
      </c>
      <c r="Q4489" t="s">
        <v>9021</v>
      </c>
    </row>
    <row r="4490" spans="1:17" x14ac:dyDescent="0.3">
      <c r="A4490" t="s">
        <v>4446</v>
      </c>
      <c r="B4490" t="str">
        <f>"300693"</f>
        <v>300693</v>
      </c>
      <c r="C4490" t="s">
        <v>9022</v>
      </c>
      <c r="D4490" t="s">
        <v>188</v>
      </c>
      <c r="F4490">
        <v>-32320603</v>
      </c>
      <c r="G4490">
        <v>-47768907</v>
      </c>
      <c r="H4490">
        <v>62386908</v>
      </c>
      <c r="I4490">
        <v>-1009091</v>
      </c>
      <c r="J4490">
        <v>22801613</v>
      </c>
      <c r="K4490">
        <v>9838015</v>
      </c>
      <c r="L4490">
        <v>-27859849</v>
      </c>
      <c r="M4490">
        <v>35034388</v>
      </c>
      <c r="P4490">
        <v>214</v>
      </c>
      <c r="Q4490" t="s">
        <v>9023</v>
      </c>
    </row>
    <row r="4491" spans="1:17" x14ac:dyDescent="0.3">
      <c r="A4491" t="s">
        <v>4446</v>
      </c>
      <c r="B4491" t="str">
        <f>"300694"</f>
        <v>300694</v>
      </c>
      <c r="C4491" t="s">
        <v>9024</v>
      </c>
      <c r="D4491" t="s">
        <v>27</v>
      </c>
      <c r="F4491">
        <v>-13932935</v>
      </c>
      <c r="G4491">
        <v>12134552</v>
      </c>
      <c r="H4491">
        <v>-130396393</v>
      </c>
      <c r="I4491">
        <v>-151802752</v>
      </c>
      <c r="J4491">
        <v>47107987</v>
      </c>
      <c r="K4491">
        <v>-35924133</v>
      </c>
      <c r="L4491">
        <v>-50844184</v>
      </c>
      <c r="P4491">
        <v>74</v>
      </c>
      <c r="Q4491" t="s">
        <v>9025</v>
      </c>
    </row>
    <row r="4492" spans="1:17" x14ac:dyDescent="0.3">
      <c r="A4492" t="s">
        <v>4446</v>
      </c>
      <c r="B4492" t="str">
        <f>"300695"</f>
        <v>300695</v>
      </c>
      <c r="C4492" t="s">
        <v>9026</v>
      </c>
      <c r="D4492" t="s">
        <v>27</v>
      </c>
      <c r="F4492">
        <v>55323054</v>
      </c>
      <c r="G4492">
        <v>-17658337</v>
      </c>
      <c r="H4492">
        <v>63158823</v>
      </c>
      <c r="I4492">
        <v>67182956</v>
      </c>
      <c r="J4492">
        <v>158260981</v>
      </c>
      <c r="K4492">
        <v>171927470</v>
      </c>
      <c r="L4492">
        <v>100228520</v>
      </c>
      <c r="M4492">
        <v>68338804</v>
      </c>
      <c r="P4492">
        <v>125</v>
      </c>
      <c r="Q4492" t="s">
        <v>9027</v>
      </c>
    </row>
    <row r="4493" spans="1:17" x14ac:dyDescent="0.3">
      <c r="A4493" t="s">
        <v>4446</v>
      </c>
      <c r="B4493" t="str">
        <f>"300696"</f>
        <v>300696</v>
      </c>
      <c r="C4493" t="s">
        <v>9028</v>
      </c>
      <c r="D4493" t="s">
        <v>92</v>
      </c>
      <c r="F4493">
        <v>148451953</v>
      </c>
      <c r="G4493">
        <v>-92897080</v>
      </c>
      <c r="H4493">
        <v>30860468</v>
      </c>
      <c r="I4493">
        <v>-66795564</v>
      </c>
      <c r="J4493">
        <v>35790375</v>
      </c>
      <c r="K4493">
        <v>-59370028</v>
      </c>
      <c r="L4493">
        <v>29642925</v>
      </c>
      <c r="M4493">
        <v>7622622</v>
      </c>
      <c r="P4493">
        <v>223</v>
      </c>
      <c r="Q4493" t="s">
        <v>9029</v>
      </c>
    </row>
    <row r="4494" spans="1:17" x14ac:dyDescent="0.3">
      <c r="A4494" t="s">
        <v>4446</v>
      </c>
      <c r="B4494" t="str">
        <f>"300697"</f>
        <v>300697</v>
      </c>
      <c r="C4494" t="s">
        <v>9030</v>
      </c>
      <c r="D4494" t="s">
        <v>234</v>
      </c>
      <c r="F4494">
        <v>-124956782</v>
      </c>
      <c r="G4494">
        <v>-40934189</v>
      </c>
      <c r="H4494">
        <v>146856921</v>
      </c>
      <c r="I4494">
        <v>3952798</v>
      </c>
      <c r="J4494">
        <v>-41944775</v>
      </c>
      <c r="K4494">
        <v>-83835624</v>
      </c>
      <c r="L4494">
        <v>139296906</v>
      </c>
      <c r="M4494">
        <v>313075476</v>
      </c>
      <c r="P4494">
        <v>77</v>
      </c>
      <c r="Q4494" t="s">
        <v>9031</v>
      </c>
    </row>
    <row r="4495" spans="1:17" x14ac:dyDescent="0.3">
      <c r="A4495" t="s">
        <v>4446</v>
      </c>
      <c r="B4495" t="str">
        <f>"300698"</f>
        <v>300698</v>
      </c>
      <c r="C4495" t="s">
        <v>9032</v>
      </c>
      <c r="D4495" t="s">
        <v>100</v>
      </c>
      <c r="F4495">
        <v>-4779811</v>
      </c>
      <c r="G4495">
        <v>-17982783</v>
      </c>
      <c r="H4495">
        <v>4531196</v>
      </c>
      <c r="I4495">
        <v>3443812</v>
      </c>
      <c r="J4495">
        <v>-63105936</v>
      </c>
      <c r="K4495">
        <v>13852145</v>
      </c>
      <c r="L4495">
        <v>95924709</v>
      </c>
      <c r="M4495">
        <v>1817146</v>
      </c>
      <c r="P4495">
        <v>121</v>
      </c>
      <c r="Q4495" t="s">
        <v>9033</v>
      </c>
    </row>
    <row r="4496" spans="1:17" x14ac:dyDescent="0.3">
      <c r="A4496" t="s">
        <v>4446</v>
      </c>
      <c r="B4496" t="str">
        <f>"300699"</f>
        <v>300699</v>
      </c>
      <c r="C4496" t="s">
        <v>9034</v>
      </c>
      <c r="D4496" t="s">
        <v>92</v>
      </c>
      <c r="F4496">
        <v>602709153</v>
      </c>
      <c r="G4496">
        <v>375820590</v>
      </c>
      <c r="H4496">
        <v>388663548</v>
      </c>
      <c r="I4496">
        <v>51657628</v>
      </c>
      <c r="J4496">
        <v>301311699</v>
      </c>
      <c r="K4496">
        <v>-66852476</v>
      </c>
      <c r="L4496">
        <v>151334060</v>
      </c>
      <c r="M4496">
        <v>371907511</v>
      </c>
      <c r="P4496">
        <v>917</v>
      </c>
      <c r="Q4496" t="s">
        <v>9035</v>
      </c>
    </row>
    <row r="4497" spans="1:17" x14ac:dyDescent="0.3">
      <c r="A4497" t="s">
        <v>4446</v>
      </c>
      <c r="B4497" t="str">
        <f>"300700"</f>
        <v>300700</v>
      </c>
      <c r="C4497" t="s">
        <v>9036</v>
      </c>
      <c r="D4497" t="s">
        <v>78</v>
      </c>
      <c r="F4497">
        <v>-11852177</v>
      </c>
      <c r="G4497">
        <v>-59897376</v>
      </c>
      <c r="H4497">
        <v>-102365442</v>
      </c>
      <c r="I4497">
        <v>-118064924</v>
      </c>
      <c r="J4497">
        <v>-68949410</v>
      </c>
      <c r="K4497">
        <v>-37321505</v>
      </c>
      <c r="L4497">
        <v>-63118352</v>
      </c>
      <c r="M4497">
        <v>-28277578</v>
      </c>
      <c r="P4497">
        <v>140</v>
      </c>
      <c r="Q4497" t="s">
        <v>9037</v>
      </c>
    </row>
    <row r="4498" spans="1:17" x14ac:dyDescent="0.3">
      <c r="A4498" t="s">
        <v>4446</v>
      </c>
      <c r="B4498" t="str">
        <f>"300701"</f>
        <v>300701</v>
      </c>
      <c r="C4498" t="s">
        <v>9038</v>
      </c>
      <c r="D4498" t="s">
        <v>150</v>
      </c>
      <c r="F4498">
        <v>-15734641</v>
      </c>
      <c r="G4498">
        <v>139471573</v>
      </c>
      <c r="H4498">
        <v>79244089</v>
      </c>
      <c r="I4498">
        <v>56269642</v>
      </c>
      <c r="J4498">
        <v>57128936</v>
      </c>
      <c r="K4498">
        <v>48940124</v>
      </c>
      <c r="L4498">
        <v>9711252</v>
      </c>
      <c r="M4498">
        <v>30226949</v>
      </c>
      <c r="P4498">
        <v>746</v>
      </c>
      <c r="Q4498" t="s">
        <v>9039</v>
      </c>
    </row>
    <row r="4499" spans="1:17" x14ac:dyDescent="0.3">
      <c r="A4499" t="s">
        <v>4446</v>
      </c>
      <c r="B4499" t="str">
        <f>"300702"</f>
        <v>300702</v>
      </c>
      <c r="C4499" t="s">
        <v>9040</v>
      </c>
      <c r="D4499" t="s">
        <v>113</v>
      </c>
      <c r="F4499">
        <v>-997846623</v>
      </c>
      <c r="G4499">
        <v>116866982</v>
      </c>
      <c r="H4499">
        <v>74601267</v>
      </c>
      <c r="I4499">
        <v>-101151382</v>
      </c>
      <c r="J4499">
        <v>-20027305</v>
      </c>
      <c r="K4499">
        <v>57634711</v>
      </c>
      <c r="L4499">
        <v>-47668118</v>
      </c>
      <c r="M4499">
        <v>800104</v>
      </c>
      <c r="P4499">
        <v>411</v>
      </c>
      <c r="Q4499" t="s">
        <v>9041</v>
      </c>
    </row>
    <row r="4500" spans="1:17" x14ac:dyDescent="0.3">
      <c r="A4500" t="s">
        <v>4446</v>
      </c>
      <c r="B4500" t="str">
        <f>"300703"</f>
        <v>300703</v>
      </c>
      <c r="C4500" t="s">
        <v>9042</v>
      </c>
      <c r="D4500" t="s">
        <v>161</v>
      </c>
      <c r="F4500">
        <v>-149060773</v>
      </c>
      <c r="G4500">
        <v>-155936867</v>
      </c>
      <c r="H4500">
        <v>25058094</v>
      </c>
      <c r="I4500">
        <v>-39072918</v>
      </c>
      <c r="J4500">
        <v>70316193</v>
      </c>
      <c r="K4500">
        <v>63448762</v>
      </c>
      <c r="L4500">
        <v>6576048</v>
      </c>
      <c r="M4500">
        <v>-42955</v>
      </c>
      <c r="P4500">
        <v>109</v>
      </c>
      <c r="Q4500" t="s">
        <v>9043</v>
      </c>
    </row>
    <row r="4501" spans="1:17" x14ac:dyDescent="0.3">
      <c r="A4501" t="s">
        <v>4446</v>
      </c>
      <c r="B4501" t="str">
        <f>"300705"</f>
        <v>300705</v>
      </c>
      <c r="C4501" t="s">
        <v>9044</v>
      </c>
      <c r="D4501" t="s">
        <v>113</v>
      </c>
      <c r="F4501">
        <v>65208692</v>
      </c>
      <c r="G4501">
        <v>71688256</v>
      </c>
      <c r="H4501">
        <v>-88188094</v>
      </c>
      <c r="I4501">
        <v>-188889519</v>
      </c>
      <c r="J4501">
        <v>-17340877</v>
      </c>
      <c r="K4501">
        <v>23770624</v>
      </c>
      <c r="L4501">
        <v>2798690</v>
      </c>
      <c r="M4501">
        <v>4024417</v>
      </c>
      <c r="P4501">
        <v>167</v>
      </c>
      <c r="Q4501" t="s">
        <v>9045</v>
      </c>
    </row>
    <row r="4502" spans="1:17" x14ac:dyDescent="0.3">
      <c r="A4502" t="s">
        <v>4446</v>
      </c>
      <c r="B4502" t="str">
        <f>"300706"</f>
        <v>300706</v>
      </c>
      <c r="C4502" t="s">
        <v>9046</v>
      </c>
      <c r="D4502" t="s">
        <v>150</v>
      </c>
      <c r="F4502">
        <v>-77771460</v>
      </c>
      <c r="G4502">
        <v>-92210566</v>
      </c>
      <c r="H4502">
        <v>-48330325</v>
      </c>
      <c r="I4502">
        <v>-123837457</v>
      </c>
      <c r="J4502">
        <v>-67152114</v>
      </c>
      <c r="K4502">
        <v>-65211780</v>
      </c>
      <c r="L4502">
        <v>10639093</v>
      </c>
      <c r="M4502">
        <v>-7658909</v>
      </c>
      <c r="P4502">
        <v>178</v>
      </c>
      <c r="Q4502" t="s">
        <v>9047</v>
      </c>
    </row>
    <row r="4503" spans="1:17" x14ac:dyDescent="0.3">
      <c r="A4503" t="s">
        <v>4446</v>
      </c>
      <c r="B4503" t="str">
        <f>"300707"</f>
        <v>300707</v>
      </c>
      <c r="C4503" t="s">
        <v>9048</v>
      </c>
      <c r="D4503" t="s">
        <v>27</v>
      </c>
      <c r="F4503">
        <v>-115185875</v>
      </c>
      <c r="G4503">
        <v>-37248532</v>
      </c>
      <c r="H4503">
        <v>-1827212</v>
      </c>
      <c r="I4503">
        <v>-76855613</v>
      </c>
      <c r="J4503">
        <v>31486349</v>
      </c>
      <c r="K4503">
        <v>17562704</v>
      </c>
      <c r="L4503">
        <v>-10922348</v>
      </c>
      <c r="M4503">
        <v>-15719962</v>
      </c>
      <c r="P4503">
        <v>140</v>
      </c>
      <c r="Q4503" t="s">
        <v>9049</v>
      </c>
    </row>
    <row r="4504" spans="1:17" x14ac:dyDescent="0.3">
      <c r="A4504" t="s">
        <v>4446</v>
      </c>
      <c r="B4504" t="str">
        <f>"300708"</f>
        <v>300708</v>
      </c>
      <c r="C4504" t="s">
        <v>9050</v>
      </c>
      <c r="D4504" t="s">
        <v>150</v>
      </c>
      <c r="F4504">
        <v>267970541</v>
      </c>
      <c r="G4504">
        <v>-93371539</v>
      </c>
      <c r="H4504">
        <v>-112293545</v>
      </c>
      <c r="I4504">
        <v>-764122578</v>
      </c>
      <c r="J4504">
        <v>2801440</v>
      </c>
      <c r="K4504">
        <v>77277539</v>
      </c>
      <c r="L4504">
        <v>-122966666</v>
      </c>
      <c r="M4504">
        <v>-47914831</v>
      </c>
      <c r="P4504">
        <v>165</v>
      </c>
      <c r="Q4504" t="s">
        <v>9051</v>
      </c>
    </row>
    <row r="4505" spans="1:17" x14ac:dyDescent="0.3">
      <c r="A4505" t="s">
        <v>4446</v>
      </c>
      <c r="B4505" t="str">
        <f>"300709"</f>
        <v>300709</v>
      </c>
      <c r="C4505" t="s">
        <v>9052</v>
      </c>
      <c r="D4505" t="s">
        <v>150</v>
      </c>
      <c r="F4505">
        <v>-323499510</v>
      </c>
      <c r="G4505">
        <v>-331613752</v>
      </c>
      <c r="H4505">
        <v>241063912</v>
      </c>
      <c r="I4505">
        <v>-143147792</v>
      </c>
      <c r="J4505">
        <v>-92142479</v>
      </c>
      <c r="K4505">
        <v>23693198</v>
      </c>
      <c r="L4505">
        <v>-10068470</v>
      </c>
      <c r="M4505">
        <v>-30488346</v>
      </c>
      <c r="P4505">
        <v>221</v>
      </c>
      <c r="Q4505" t="s">
        <v>9053</v>
      </c>
    </row>
    <row r="4506" spans="1:17" x14ac:dyDescent="0.3">
      <c r="A4506" t="s">
        <v>4446</v>
      </c>
      <c r="B4506" t="str">
        <f>"300710"</f>
        <v>300710</v>
      </c>
      <c r="C4506" t="s">
        <v>9054</v>
      </c>
      <c r="D4506" t="s">
        <v>100</v>
      </c>
      <c r="F4506">
        <v>67105667</v>
      </c>
      <c r="G4506">
        <v>3838947</v>
      </c>
      <c r="H4506">
        <v>114132023</v>
      </c>
      <c r="I4506">
        <v>4660097</v>
      </c>
      <c r="J4506">
        <v>2894202</v>
      </c>
      <c r="K4506">
        <v>-8198530</v>
      </c>
      <c r="L4506">
        <v>-4740483</v>
      </c>
      <c r="M4506">
        <v>30097906</v>
      </c>
      <c r="P4506">
        <v>107</v>
      </c>
      <c r="Q4506" t="s">
        <v>9055</v>
      </c>
    </row>
    <row r="4507" spans="1:17" x14ac:dyDescent="0.3">
      <c r="A4507" t="s">
        <v>4446</v>
      </c>
      <c r="B4507" t="str">
        <f>"300711"</f>
        <v>300711</v>
      </c>
      <c r="C4507" t="s">
        <v>9056</v>
      </c>
      <c r="D4507" t="s">
        <v>100</v>
      </c>
      <c r="F4507">
        <v>27851582</v>
      </c>
      <c r="G4507">
        <v>63778220</v>
      </c>
      <c r="H4507">
        <v>39970951</v>
      </c>
      <c r="I4507">
        <v>-45697673</v>
      </c>
      <c r="J4507">
        <v>-40648609</v>
      </c>
      <c r="K4507">
        <v>45121757</v>
      </c>
      <c r="L4507">
        <v>28996865</v>
      </c>
      <c r="M4507">
        <v>50439142</v>
      </c>
      <c r="P4507">
        <v>130</v>
      </c>
      <c r="Q4507" t="s">
        <v>9057</v>
      </c>
    </row>
    <row r="4508" spans="1:17" x14ac:dyDescent="0.3">
      <c r="A4508" t="s">
        <v>4446</v>
      </c>
      <c r="B4508" t="str">
        <f>"300712"</f>
        <v>300712</v>
      </c>
      <c r="C4508" t="s">
        <v>9058</v>
      </c>
      <c r="D4508" t="s">
        <v>95</v>
      </c>
      <c r="F4508">
        <v>137984607</v>
      </c>
      <c r="G4508">
        <v>63392217</v>
      </c>
      <c r="H4508">
        <v>-628058894</v>
      </c>
      <c r="I4508">
        <v>-7303465</v>
      </c>
      <c r="J4508">
        <v>59423768</v>
      </c>
      <c r="K4508">
        <v>66635892</v>
      </c>
      <c r="L4508">
        <v>-30162239</v>
      </c>
      <c r="M4508">
        <v>15397288</v>
      </c>
      <c r="P4508">
        <v>125</v>
      </c>
      <c r="Q4508" t="s">
        <v>9059</v>
      </c>
    </row>
    <row r="4509" spans="1:17" x14ac:dyDescent="0.3">
      <c r="A4509" t="s">
        <v>4446</v>
      </c>
      <c r="B4509" t="str">
        <f>"300713"</f>
        <v>300713</v>
      </c>
      <c r="C4509" t="s">
        <v>9060</v>
      </c>
      <c r="D4509" t="s">
        <v>188</v>
      </c>
      <c r="F4509">
        <v>-39140288</v>
      </c>
      <c r="G4509">
        <v>-71182777</v>
      </c>
      <c r="H4509">
        <v>-37980107</v>
      </c>
      <c r="I4509">
        <v>-34865076</v>
      </c>
      <c r="J4509">
        <v>-29920426</v>
      </c>
      <c r="K4509">
        <v>7428302</v>
      </c>
      <c r="L4509">
        <v>22202229</v>
      </c>
      <c r="M4509">
        <v>20485537</v>
      </c>
      <c r="P4509">
        <v>81</v>
      </c>
      <c r="Q4509" t="s">
        <v>9061</v>
      </c>
    </row>
    <row r="4510" spans="1:17" x14ac:dyDescent="0.3">
      <c r="A4510" t="s">
        <v>4446</v>
      </c>
      <c r="B4510" t="str">
        <f>"300715"</f>
        <v>300715</v>
      </c>
      <c r="C4510" t="s">
        <v>9062</v>
      </c>
      <c r="D4510" t="s">
        <v>350</v>
      </c>
      <c r="F4510">
        <v>-730307554</v>
      </c>
      <c r="G4510">
        <v>-494617073</v>
      </c>
      <c r="H4510">
        <v>-251620172</v>
      </c>
      <c r="I4510">
        <v>-80765777</v>
      </c>
      <c r="J4510">
        <v>-32885373</v>
      </c>
      <c r="K4510">
        <v>-50274907</v>
      </c>
      <c r="L4510">
        <v>-3634519</v>
      </c>
      <c r="M4510">
        <v>18897612</v>
      </c>
      <c r="P4510">
        <v>413</v>
      </c>
      <c r="Q4510" t="s">
        <v>9063</v>
      </c>
    </row>
    <row r="4511" spans="1:17" x14ac:dyDescent="0.3">
      <c r="A4511" t="s">
        <v>4446</v>
      </c>
      <c r="B4511" t="str">
        <f>"300716"</f>
        <v>300716</v>
      </c>
      <c r="C4511" t="s">
        <v>9064</v>
      </c>
      <c r="D4511" t="s">
        <v>133</v>
      </c>
      <c r="F4511">
        <v>-64326865</v>
      </c>
      <c r="G4511">
        <v>-378342284</v>
      </c>
      <c r="H4511">
        <v>-169217086</v>
      </c>
      <c r="I4511">
        <v>-156449450</v>
      </c>
      <c r="J4511">
        <v>-149188970</v>
      </c>
      <c r="K4511">
        <v>-34050300</v>
      </c>
      <c r="L4511">
        <v>-76757339</v>
      </c>
      <c r="M4511">
        <v>-90572604</v>
      </c>
      <c r="P4511">
        <v>59</v>
      </c>
      <c r="Q4511" t="s">
        <v>9065</v>
      </c>
    </row>
    <row r="4512" spans="1:17" x14ac:dyDescent="0.3">
      <c r="A4512" t="s">
        <v>4446</v>
      </c>
      <c r="B4512" t="str">
        <f>"300717"</f>
        <v>300717</v>
      </c>
      <c r="C4512" t="s">
        <v>9066</v>
      </c>
      <c r="D4512" t="s">
        <v>133</v>
      </c>
      <c r="F4512">
        <v>6531074</v>
      </c>
      <c r="G4512">
        <v>13485195</v>
      </c>
      <c r="H4512">
        <v>-5475263</v>
      </c>
      <c r="I4512">
        <v>-62031678</v>
      </c>
      <c r="J4512">
        <v>12265544</v>
      </c>
      <c r="K4512">
        <v>10927232</v>
      </c>
      <c r="L4512">
        <v>20454291</v>
      </c>
      <c r="M4512">
        <v>7608764</v>
      </c>
      <c r="P4512">
        <v>71</v>
      </c>
      <c r="Q4512" t="s">
        <v>9067</v>
      </c>
    </row>
    <row r="4513" spans="1:17" x14ac:dyDescent="0.3">
      <c r="A4513" t="s">
        <v>4446</v>
      </c>
      <c r="B4513" t="str">
        <f>"300718"</f>
        <v>300718</v>
      </c>
      <c r="C4513" t="s">
        <v>9068</v>
      </c>
      <c r="D4513" t="s">
        <v>78</v>
      </c>
      <c r="F4513">
        <v>13298325</v>
      </c>
      <c r="G4513">
        <v>-892785</v>
      </c>
      <c r="H4513">
        <v>97128254</v>
      </c>
      <c r="I4513">
        <v>-7902942</v>
      </c>
      <c r="J4513">
        <v>33609289</v>
      </c>
      <c r="K4513">
        <v>56591410</v>
      </c>
      <c r="L4513">
        <v>43694949</v>
      </c>
      <c r="M4513">
        <v>42609124</v>
      </c>
      <c r="P4513">
        <v>100</v>
      </c>
      <c r="Q4513" t="s">
        <v>9069</v>
      </c>
    </row>
    <row r="4514" spans="1:17" x14ac:dyDescent="0.3">
      <c r="A4514" t="s">
        <v>4446</v>
      </c>
      <c r="B4514" t="str">
        <f>"300719"</f>
        <v>300719</v>
      </c>
      <c r="C4514" t="s">
        <v>9070</v>
      </c>
      <c r="D4514" t="s">
        <v>92</v>
      </c>
      <c r="F4514">
        <v>120095684</v>
      </c>
      <c r="G4514">
        <v>-31672665</v>
      </c>
      <c r="H4514">
        <v>-33536550</v>
      </c>
      <c r="I4514">
        <v>-122585909</v>
      </c>
      <c r="J4514">
        <v>-152943727</v>
      </c>
      <c r="K4514">
        <v>106945428</v>
      </c>
      <c r="L4514">
        <v>61244116</v>
      </c>
      <c r="M4514">
        <v>11951207</v>
      </c>
      <c r="P4514">
        <v>93</v>
      </c>
      <c r="Q4514" t="s">
        <v>9071</v>
      </c>
    </row>
    <row r="4515" spans="1:17" x14ac:dyDescent="0.3">
      <c r="A4515" t="s">
        <v>4446</v>
      </c>
      <c r="B4515" t="str">
        <f>"300720"</f>
        <v>300720</v>
      </c>
      <c r="C4515" t="s">
        <v>9072</v>
      </c>
      <c r="D4515" t="s">
        <v>78</v>
      </c>
      <c r="F4515">
        <v>66566726</v>
      </c>
      <c r="G4515">
        <v>73088131</v>
      </c>
      <c r="H4515">
        <v>45649422</v>
      </c>
      <c r="I4515">
        <v>17273866</v>
      </c>
      <c r="J4515">
        <v>29886455</v>
      </c>
      <c r="K4515">
        <v>18460974</v>
      </c>
      <c r="L4515">
        <v>1349644</v>
      </c>
      <c r="M4515">
        <v>15720202</v>
      </c>
      <c r="P4515">
        <v>70</v>
      </c>
      <c r="Q4515" t="s">
        <v>9073</v>
      </c>
    </row>
    <row r="4516" spans="1:17" x14ac:dyDescent="0.3">
      <c r="A4516" t="s">
        <v>4446</v>
      </c>
      <c r="B4516" t="str">
        <f>"300721"</f>
        <v>300721</v>
      </c>
      <c r="C4516" t="s">
        <v>9074</v>
      </c>
      <c r="D4516" t="s">
        <v>133</v>
      </c>
      <c r="F4516">
        <v>-19741470</v>
      </c>
      <c r="G4516">
        <v>-266308870</v>
      </c>
      <c r="H4516">
        <v>-369137275</v>
      </c>
      <c r="I4516">
        <v>-172907623</v>
      </c>
      <c r="J4516">
        <v>-59052166</v>
      </c>
      <c r="K4516">
        <v>-24975218</v>
      </c>
      <c r="L4516">
        <v>153510736</v>
      </c>
      <c r="M4516">
        <v>-23771782</v>
      </c>
      <c r="P4516">
        <v>73</v>
      </c>
      <c r="Q4516" t="s">
        <v>9075</v>
      </c>
    </row>
    <row r="4517" spans="1:17" x14ac:dyDescent="0.3">
      <c r="A4517" t="s">
        <v>4446</v>
      </c>
      <c r="B4517" t="str">
        <f>"300722"</f>
        <v>300722</v>
      </c>
      <c r="C4517" t="s">
        <v>9076</v>
      </c>
      <c r="D4517" t="s">
        <v>92</v>
      </c>
      <c r="F4517">
        <v>46185089</v>
      </c>
      <c r="G4517">
        <v>32856362</v>
      </c>
      <c r="H4517">
        <v>10170026</v>
      </c>
      <c r="I4517">
        <v>3821868</v>
      </c>
      <c r="J4517">
        <v>-20122079</v>
      </c>
      <c r="K4517">
        <v>-32364919</v>
      </c>
      <c r="L4517">
        <v>-40919020</v>
      </c>
      <c r="M4517">
        <v>-15806442</v>
      </c>
      <c r="P4517">
        <v>113</v>
      </c>
      <c r="Q4517" t="s">
        <v>9077</v>
      </c>
    </row>
    <row r="4518" spans="1:17" x14ac:dyDescent="0.3">
      <c r="A4518" t="s">
        <v>4446</v>
      </c>
      <c r="B4518" t="str">
        <f>"300723"</f>
        <v>300723</v>
      </c>
      <c r="C4518" t="s">
        <v>9078</v>
      </c>
      <c r="D4518" t="s">
        <v>113</v>
      </c>
      <c r="F4518">
        <v>-123072142</v>
      </c>
      <c r="G4518">
        <v>-38898258</v>
      </c>
      <c r="H4518">
        <v>175654450</v>
      </c>
      <c r="I4518">
        <v>-18156739</v>
      </c>
      <c r="J4518">
        <v>112890912</v>
      </c>
      <c r="K4518">
        <v>117456197</v>
      </c>
      <c r="L4518">
        <v>-7776950</v>
      </c>
      <c r="M4518">
        <v>-103357781</v>
      </c>
      <c r="P4518">
        <v>223</v>
      </c>
      <c r="Q4518" t="s">
        <v>9079</v>
      </c>
    </row>
    <row r="4519" spans="1:17" x14ac:dyDescent="0.3">
      <c r="A4519" t="s">
        <v>4446</v>
      </c>
      <c r="B4519" t="str">
        <f>"300724"</f>
        <v>300724</v>
      </c>
      <c r="C4519" t="s">
        <v>9080</v>
      </c>
      <c r="D4519" t="s">
        <v>188</v>
      </c>
      <c r="F4519">
        <v>1110391892</v>
      </c>
      <c r="G4519">
        <v>166427488</v>
      </c>
      <c r="H4519">
        <v>-372248138</v>
      </c>
      <c r="I4519">
        <v>-100969595</v>
      </c>
      <c r="J4519">
        <v>45876330</v>
      </c>
      <c r="K4519">
        <v>212272995</v>
      </c>
      <c r="L4519">
        <v>68545498</v>
      </c>
      <c r="P4519">
        <v>573</v>
      </c>
      <c r="Q4519" t="s">
        <v>9081</v>
      </c>
    </row>
    <row r="4520" spans="1:17" x14ac:dyDescent="0.3">
      <c r="A4520" t="s">
        <v>4446</v>
      </c>
      <c r="B4520" t="str">
        <f>"300725"</f>
        <v>300725</v>
      </c>
      <c r="C4520" t="s">
        <v>9082</v>
      </c>
      <c r="D4520" t="s">
        <v>113</v>
      </c>
      <c r="F4520">
        <v>-267526097</v>
      </c>
      <c r="G4520">
        <v>196343785</v>
      </c>
      <c r="H4520">
        <v>-46225731</v>
      </c>
      <c r="I4520">
        <v>111723929</v>
      </c>
      <c r="J4520">
        <v>5608673</v>
      </c>
      <c r="K4520">
        <v>-15505349</v>
      </c>
      <c r="L4520">
        <v>17820837</v>
      </c>
      <c r="M4520">
        <v>2430161</v>
      </c>
      <c r="P4520">
        <v>1116</v>
      </c>
      <c r="Q4520" t="s">
        <v>9083</v>
      </c>
    </row>
    <row r="4521" spans="1:17" x14ac:dyDescent="0.3">
      <c r="A4521" t="s">
        <v>4446</v>
      </c>
      <c r="B4521" t="str">
        <f>"300726"</f>
        <v>300726</v>
      </c>
      <c r="C4521" t="s">
        <v>9084</v>
      </c>
      <c r="D4521" t="s">
        <v>92</v>
      </c>
      <c r="F4521">
        <v>170415343</v>
      </c>
      <c r="G4521">
        <v>47808929</v>
      </c>
      <c r="H4521">
        <v>-8837444</v>
      </c>
      <c r="I4521">
        <v>-124729891</v>
      </c>
      <c r="J4521">
        <v>25808420</v>
      </c>
      <c r="K4521">
        <v>8939590</v>
      </c>
      <c r="L4521">
        <v>-23458892</v>
      </c>
      <c r="M4521">
        <v>35598897</v>
      </c>
      <c r="P4521">
        <v>750</v>
      </c>
      <c r="Q4521" t="s">
        <v>9085</v>
      </c>
    </row>
    <row r="4522" spans="1:17" x14ac:dyDescent="0.3">
      <c r="A4522" t="s">
        <v>4446</v>
      </c>
      <c r="B4522" t="str">
        <f>"300727"</f>
        <v>300727</v>
      </c>
      <c r="C4522" t="s">
        <v>9086</v>
      </c>
      <c r="D4522" t="s">
        <v>133</v>
      </c>
      <c r="F4522">
        <v>-381749</v>
      </c>
      <c r="G4522">
        <v>4527031</v>
      </c>
      <c r="H4522">
        <v>11843807</v>
      </c>
      <c r="I4522">
        <v>-40597371</v>
      </c>
      <c r="J4522">
        <v>-14977382</v>
      </c>
      <c r="K4522">
        <v>5650097</v>
      </c>
      <c r="L4522">
        <v>8788232</v>
      </c>
      <c r="M4522">
        <v>3994656</v>
      </c>
      <c r="P4522">
        <v>73</v>
      </c>
      <c r="Q4522" t="s">
        <v>9087</v>
      </c>
    </row>
    <row r="4523" spans="1:17" x14ac:dyDescent="0.3">
      <c r="A4523" t="s">
        <v>4446</v>
      </c>
      <c r="B4523" t="str">
        <f>"300728"</f>
        <v>300728</v>
      </c>
      <c r="C4523" t="s">
        <v>9088</v>
      </c>
      <c r="K4523">
        <v>57338283</v>
      </c>
      <c r="L4523">
        <v>60523883</v>
      </c>
      <c r="M4523">
        <v>155968887</v>
      </c>
      <c r="P4523">
        <v>10</v>
      </c>
      <c r="Q4523" t="s">
        <v>9089</v>
      </c>
    </row>
    <row r="4524" spans="1:17" x14ac:dyDescent="0.3">
      <c r="A4524" t="s">
        <v>4446</v>
      </c>
      <c r="B4524" t="str">
        <f>"300729"</f>
        <v>300729</v>
      </c>
      <c r="C4524" t="s">
        <v>9090</v>
      </c>
      <c r="D4524" t="s">
        <v>161</v>
      </c>
      <c r="F4524">
        <v>-45521129</v>
      </c>
      <c r="G4524">
        <v>-547132037</v>
      </c>
      <c r="H4524">
        <v>49460727</v>
      </c>
      <c r="I4524">
        <v>46046227</v>
      </c>
      <c r="J4524">
        <v>-39770631</v>
      </c>
      <c r="K4524">
        <v>-60300889</v>
      </c>
      <c r="L4524">
        <v>52354568</v>
      </c>
      <c r="M4524">
        <v>-3621938</v>
      </c>
      <c r="P4524">
        <v>220</v>
      </c>
      <c r="Q4524" t="s">
        <v>9091</v>
      </c>
    </row>
    <row r="4525" spans="1:17" x14ac:dyDescent="0.3">
      <c r="A4525" t="s">
        <v>4446</v>
      </c>
      <c r="B4525" t="str">
        <f>"300730"</f>
        <v>300730</v>
      </c>
      <c r="C4525" t="s">
        <v>9092</v>
      </c>
      <c r="D4525" t="s">
        <v>212</v>
      </c>
      <c r="F4525">
        <v>-46326445</v>
      </c>
      <c r="G4525">
        <v>10139652</v>
      </c>
      <c r="H4525">
        <v>-17771623</v>
      </c>
      <c r="I4525">
        <v>-45035351</v>
      </c>
      <c r="J4525">
        <v>-3696280</v>
      </c>
      <c r="K4525">
        <v>-4982278</v>
      </c>
      <c r="L4525">
        <v>66407067</v>
      </c>
      <c r="M4525">
        <v>5999876</v>
      </c>
      <c r="P4525">
        <v>98</v>
      </c>
      <c r="Q4525" t="s">
        <v>9093</v>
      </c>
    </row>
    <row r="4526" spans="1:17" x14ac:dyDescent="0.3">
      <c r="A4526" t="s">
        <v>4446</v>
      </c>
      <c r="B4526" t="str">
        <f>"300731"</f>
        <v>300731</v>
      </c>
      <c r="C4526" t="s">
        <v>9094</v>
      </c>
      <c r="D4526" t="s">
        <v>133</v>
      </c>
      <c r="F4526">
        <v>-55209213</v>
      </c>
      <c r="G4526">
        <v>23242348</v>
      </c>
      <c r="H4526">
        <v>34378171</v>
      </c>
      <c r="I4526">
        <v>2914992</v>
      </c>
      <c r="J4526">
        <v>24608744</v>
      </c>
      <c r="K4526">
        <v>18329970</v>
      </c>
      <c r="L4526">
        <v>52983986</v>
      </c>
      <c r="M4526">
        <v>40750849</v>
      </c>
      <c r="P4526">
        <v>186</v>
      </c>
      <c r="Q4526" t="s">
        <v>9095</v>
      </c>
    </row>
    <row r="4527" spans="1:17" x14ac:dyDescent="0.3">
      <c r="A4527" t="s">
        <v>4446</v>
      </c>
      <c r="B4527" t="str">
        <f>"300732"</f>
        <v>300732</v>
      </c>
      <c r="C4527" t="s">
        <v>9096</v>
      </c>
      <c r="D4527" t="s">
        <v>95</v>
      </c>
      <c r="F4527">
        <v>-224296130</v>
      </c>
      <c r="G4527">
        <v>151614751</v>
      </c>
      <c r="H4527">
        <v>192003306</v>
      </c>
      <c r="I4527">
        <v>-116367236</v>
      </c>
      <c r="J4527">
        <v>-76041190</v>
      </c>
      <c r="K4527">
        <v>57355822</v>
      </c>
      <c r="L4527">
        <v>-41930763</v>
      </c>
      <c r="M4527">
        <v>17386078</v>
      </c>
      <c r="P4527">
        <v>151</v>
      </c>
      <c r="Q4527" t="s">
        <v>9097</v>
      </c>
    </row>
    <row r="4528" spans="1:17" x14ac:dyDescent="0.3">
      <c r="A4528" t="s">
        <v>4446</v>
      </c>
      <c r="B4528" t="str">
        <f>"300733"</f>
        <v>300733</v>
      </c>
      <c r="C4528" t="s">
        <v>9098</v>
      </c>
      <c r="D4528" t="s">
        <v>27</v>
      </c>
      <c r="F4528">
        <v>-202972656</v>
      </c>
      <c r="G4528">
        <v>-203389825</v>
      </c>
      <c r="H4528">
        <v>-170508331</v>
      </c>
      <c r="I4528">
        <v>-39622459</v>
      </c>
      <c r="J4528">
        <v>11386596</v>
      </c>
      <c r="K4528">
        <v>50404365</v>
      </c>
      <c r="L4528">
        <v>46957612</v>
      </c>
      <c r="M4528">
        <v>28304389</v>
      </c>
      <c r="P4528">
        <v>60</v>
      </c>
      <c r="Q4528" t="s">
        <v>9099</v>
      </c>
    </row>
    <row r="4529" spans="1:17" x14ac:dyDescent="0.3">
      <c r="A4529" t="s">
        <v>4446</v>
      </c>
      <c r="B4529" t="str">
        <f>"300735"</f>
        <v>300735</v>
      </c>
      <c r="C4529" t="s">
        <v>9100</v>
      </c>
      <c r="D4529" t="s">
        <v>150</v>
      </c>
      <c r="F4529">
        <v>-960859345</v>
      </c>
      <c r="G4529">
        <v>-40846708</v>
      </c>
      <c r="H4529">
        <v>45903925</v>
      </c>
      <c r="I4529">
        <v>-153218572</v>
      </c>
      <c r="J4529">
        <v>43858586</v>
      </c>
      <c r="K4529">
        <v>-45958201</v>
      </c>
      <c r="L4529">
        <v>8290822</v>
      </c>
      <c r="M4529">
        <v>34807900</v>
      </c>
      <c r="P4529">
        <v>453</v>
      </c>
      <c r="Q4529" t="s">
        <v>9101</v>
      </c>
    </row>
    <row r="4530" spans="1:17" x14ac:dyDescent="0.3">
      <c r="A4530" t="s">
        <v>4446</v>
      </c>
      <c r="B4530" t="str">
        <f>"300736"</f>
        <v>300736</v>
      </c>
      <c r="C4530" t="s">
        <v>9102</v>
      </c>
      <c r="D4530" t="s">
        <v>150</v>
      </c>
      <c r="F4530">
        <v>43890642</v>
      </c>
      <c r="G4530">
        <v>-101982304</v>
      </c>
      <c r="H4530">
        <v>-63405804</v>
      </c>
      <c r="I4530">
        <v>30202140</v>
      </c>
      <c r="J4530">
        <v>24601300</v>
      </c>
      <c r="K4530">
        <v>60532542</v>
      </c>
      <c r="L4530">
        <v>64853140</v>
      </c>
      <c r="M4530">
        <v>1317401</v>
      </c>
      <c r="P4530">
        <v>114</v>
      </c>
      <c r="Q4530" t="s">
        <v>9103</v>
      </c>
    </row>
    <row r="4531" spans="1:17" x14ac:dyDescent="0.3">
      <c r="A4531" t="s">
        <v>4446</v>
      </c>
      <c r="B4531" t="str">
        <f>"300737"</f>
        <v>300737</v>
      </c>
      <c r="C4531" t="s">
        <v>9104</v>
      </c>
      <c r="D4531" t="s">
        <v>350</v>
      </c>
      <c r="F4531">
        <v>194792595</v>
      </c>
      <c r="G4531">
        <v>-42764884</v>
      </c>
      <c r="H4531">
        <v>-327523556</v>
      </c>
      <c r="I4531">
        <v>-538283799</v>
      </c>
      <c r="J4531">
        <v>-85909938</v>
      </c>
      <c r="K4531">
        <v>-132278490</v>
      </c>
      <c r="L4531">
        <v>-88339058</v>
      </c>
      <c r="M4531">
        <v>-18270483</v>
      </c>
      <c r="P4531">
        <v>459</v>
      </c>
      <c r="Q4531" t="s">
        <v>9105</v>
      </c>
    </row>
    <row r="4532" spans="1:17" x14ac:dyDescent="0.3">
      <c r="A4532" t="s">
        <v>4446</v>
      </c>
      <c r="B4532" t="str">
        <f>"300738"</f>
        <v>300738</v>
      </c>
      <c r="C4532" t="s">
        <v>9106</v>
      </c>
      <c r="D4532" t="s">
        <v>212</v>
      </c>
      <c r="F4532">
        <v>-1155731126</v>
      </c>
      <c r="G4532">
        <v>-527940452</v>
      </c>
      <c r="H4532">
        <v>-255907584</v>
      </c>
      <c r="I4532">
        <v>-212313530</v>
      </c>
      <c r="J4532">
        <v>-22936118</v>
      </c>
      <c r="K4532">
        <v>-60023962</v>
      </c>
      <c r="L4532">
        <v>-33184799</v>
      </c>
      <c r="M4532">
        <v>-11539908</v>
      </c>
      <c r="P4532">
        <v>301</v>
      </c>
      <c r="Q4532" t="s">
        <v>9107</v>
      </c>
    </row>
    <row r="4533" spans="1:17" x14ac:dyDescent="0.3">
      <c r="A4533" t="s">
        <v>4446</v>
      </c>
      <c r="B4533" t="str">
        <f>"300739"</f>
        <v>300739</v>
      </c>
      <c r="C4533" t="s">
        <v>9108</v>
      </c>
      <c r="D4533" t="s">
        <v>150</v>
      </c>
      <c r="F4533">
        <v>-347082393</v>
      </c>
      <c r="G4533">
        <v>-34977368</v>
      </c>
      <c r="H4533">
        <v>15261644</v>
      </c>
      <c r="I4533">
        <v>-23635650</v>
      </c>
      <c r="J4533">
        <v>20913756</v>
      </c>
      <c r="K4533">
        <v>42529355</v>
      </c>
      <c r="L4533">
        <v>9127817</v>
      </c>
      <c r="M4533">
        <v>-29695736</v>
      </c>
      <c r="P4533">
        <v>170</v>
      </c>
      <c r="Q4533" t="s">
        <v>9109</v>
      </c>
    </row>
    <row r="4534" spans="1:17" x14ac:dyDescent="0.3">
      <c r="A4534" t="s">
        <v>4446</v>
      </c>
      <c r="B4534" t="str">
        <f>"300740"</f>
        <v>300740</v>
      </c>
      <c r="C4534" t="s">
        <v>9110</v>
      </c>
      <c r="D4534" t="s">
        <v>481</v>
      </c>
      <c r="F4534">
        <v>-350677429</v>
      </c>
      <c r="G4534">
        <v>-79092034</v>
      </c>
      <c r="H4534">
        <v>-228233781</v>
      </c>
      <c r="I4534">
        <v>-136493318</v>
      </c>
      <c r="J4534">
        <v>103845102</v>
      </c>
      <c r="K4534">
        <v>-90867088</v>
      </c>
      <c r="L4534">
        <v>-14816209</v>
      </c>
      <c r="P4534">
        <v>257</v>
      </c>
      <c r="Q4534" t="s">
        <v>9111</v>
      </c>
    </row>
    <row r="4535" spans="1:17" x14ac:dyDescent="0.3">
      <c r="A4535" t="s">
        <v>4446</v>
      </c>
      <c r="B4535" t="str">
        <f>"300741"</f>
        <v>300741</v>
      </c>
      <c r="C4535" t="s">
        <v>9112</v>
      </c>
      <c r="D4535" t="s">
        <v>133</v>
      </c>
      <c r="F4535">
        <v>1117029906</v>
      </c>
      <c r="G4535">
        <v>1055508936</v>
      </c>
      <c r="H4535">
        <v>1242792896</v>
      </c>
      <c r="I4535">
        <v>1187585812</v>
      </c>
      <c r="J4535">
        <v>1422509224</v>
      </c>
      <c r="K4535">
        <v>1102727916</v>
      </c>
      <c r="L4535">
        <v>1494985399</v>
      </c>
      <c r="P4535">
        <v>458</v>
      </c>
      <c r="Q4535" t="s">
        <v>9113</v>
      </c>
    </row>
    <row r="4536" spans="1:17" x14ac:dyDescent="0.3">
      <c r="A4536" t="s">
        <v>4446</v>
      </c>
      <c r="B4536" t="str">
        <f>"300742"</f>
        <v>300742</v>
      </c>
      <c r="C4536" t="s">
        <v>9114</v>
      </c>
      <c r="D4536" t="s">
        <v>27</v>
      </c>
      <c r="F4536">
        <v>-159260629</v>
      </c>
      <c r="G4536">
        <v>-170924663</v>
      </c>
      <c r="H4536">
        <v>-509477046</v>
      </c>
      <c r="I4536">
        <v>-280577217</v>
      </c>
      <c r="J4536">
        <v>-243289151</v>
      </c>
      <c r="K4536">
        <v>-205580531</v>
      </c>
      <c r="L4536">
        <v>-121068417</v>
      </c>
      <c r="P4536">
        <v>90</v>
      </c>
      <c r="Q4536" t="s">
        <v>9115</v>
      </c>
    </row>
    <row r="4537" spans="1:17" x14ac:dyDescent="0.3">
      <c r="A4537" t="s">
        <v>4446</v>
      </c>
      <c r="B4537" t="str">
        <f>"300743"</f>
        <v>300743</v>
      </c>
      <c r="C4537" t="s">
        <v>9116</v>
      </c>
      <c r="D4537" t="s">
        <v>212</v>
      </c>
      <c r="F4537">
        <v>-41187053</v>
      </c>
      <c r="G4537">
        <v>31255826</v>
      </c>
      <c r="H4537">
        <v>6962141</v>
      </c>
      <c r="I4537">
        <v>-4055057</v>
      </c>
      <c r="J4537">
        <v>16467295</v>
      </c>
      <c r="K4537">
        <v>6674493</v>
      </c>
      <c r="L4537">
        <v>14790224</v>
      </c>
      <c r="P4537">
        <v>54</v>
      </c>
      <c r="Q4537" t="s">
        <v>9117</v>
      </c>
    </row>
    <row r="4538" spans="1:17" x14ac:dyDescent="0.3">
      <c r="A4538" t="s">
        <v>4446</v>
      </c>
      <c r="B4538" t="str">
        <f>"300745"</f>
        <v>300745</v>
      </c>
      <c r="C4538" t="s">
        <v>9118</v>
      </c>
      <c r="D4538" t="s">
        <v>27</v>
      </c>
      <c r="F4538">
        <v>-180869449</v>
      </c>
      <c r="G4538">
        <v>-142376766</v>
      </c>
      <c r="H4538">
        <v>-146888752</v>
      </c>
      <c r="I4538">
        <v>-299462747</v>
      </c>
      <c r="J4538">
        <v>90649943</v>
      </c>
      <c r="K4538">
        <v>-73815133</v>
      </c>
      <c r="L4538">
        <v>-12926698</v>
      </c>
      <c r="P4538">
        <v>76</v>
      </c>
      <c r="Q4538" t="s">
        <v>9119</v>
      </c>
    </row>
    <row r="4539" spans="1:17" x14ac:dyDescent="0.3">
      <c r="A4539" t="s">
        <v>4446</v>
      </c>
      <c r="B4539" t="str">
        <f>"300746"</f>
        <v>300746</v>
      </c>
      <c r="C4539" t="s">
        <v>9120</v>
      </c>
      <c r="D4539" t="s">
        <v>95</v>
      </c>
      <c r="F4539">
        <v>127135167</v>
      </c>
      <c r="G4539">
        <v>162645408</v>
      </c>
      <c r="H4539">
        <v>64471102</v>
      </c>
      <c r="I4539">
        <v>78140299</v>
      </c>
      <c r="J4539">
        <v>50821156</v>
      </c>
      <c r="K4539">
        <v>44619867</v>
      </c>
      <c r="L4539">
        <v>32252162</v>
      </c>
      <c r="P4539">
        <v>66</v>
      </c>
      <c r="Q4539" t="s">
        <v>9121</v>
      </c>
    </row>
    <row r="4540" spans="1:17" x14ac:dyDescent="0.3">
      <c r="A4540" t="s">
        <v>4446</v>
      </c>
      <c r="B4540" t="str">
        <f>"300747"</f>
        <v>300747</v>
      </c>
      <c r="C4540" t="s">
        <v>9122</v>
      </c>
      <c r="D4540" t="s">
        <v>78</v>
      </c>
      <c r="F4540">
        <v>-356540293</v>
      </c>
      <c r="G4540">
        <v>-204357322</v>
      </c>
      <c r="H4540">
        <v>-282201053</v>
      </c>
      <c r="I4540">
        <v>177371951</v>
      </c>
      <c r="J4540">
        <v>172608140</v>
      </c>
      <c r="K4540">
        <v>105035066</v>
      </c>
      <c r="L4540">
        <v>-50160795</v>
      </c>
      <c r="P4540">
        <v>3348</v>
      </c>
      <c r="Q4540" t="s">
        <v>9123</v>
      </c>
    </row>
    <row r="4541" spans="1:17" x14ac:dyDescent="0.3">
      <c r="A4541" t="s">
        <v>4446</v>
      </c>
      <c r="B4541" t="str">
        <f>"300748"</f>
        <v>300748</v>
      </c>
      <c r="C4541" t="s">
        <v>9124</v>
      </c>
      <c r="D4541" t="s">
        <v>234</v>
      </c>
      <c r="F4541">
        <v>-572552894</v>
      </c>
      <c r="G4541">
        <v>-22292342</v>
      </c>
      <c r="H4541">
        <v>-74951407</v>
      </c>
      <c r="I4541">
        <v>-50441987</v>
      </c>
      <c r="J4541">
        <v>6160314</v>
      </c>
      <c r="K4541">
        <v>-137546828</v>
      </c>
      <c r="L4541">
        <v>109409272</v>
      </c>
      <c r="P4541">
        <v>342</v>
      </c>
      <c r="Q4541" t="s">
        <v>9125</v>
      </c>
    </row>
    <row r="4542" spans="1:17" x14ac:dyDescent="0.3">
      <c r="A4542" t="s">
        <v>4446</v>
      </c>
      <c r="B4542" t="str">
        <f>"300749"</f>
        <v>300749</v>
      </c>
      <c r="C4542" t="s">
        <v>9126</v>
      </c>
      <c r="D4542" t="s">
        <v>161</v>
      </c>
      <c r="F4542">
        <v>-199650197</v>
      </c>
      <c r="G4542">
        <v>-22021449</v>
      </c>
      <c r="H4542">
        <v>-13582625</v>
      </c>
      <c r="I4542">
        <v>-9890714</v>
      </c>
      <c r="J4542">
        <v>68218897</v>
      </c>
      <c r="K4542">
        <v>54813648</v>
      </c>
      <c r="L4542">
        <v>47948466</v>
      </c>
      <c r="P4542">
        <v>97</v>
      </c>
      <c r="Q4542" t="s">
        <v>9127</v>
      </c>
    </row>
    <row r="4543" spans="1:17" x14ac:dyDescent="0.3">
      <c r="A4543" t="s">
        <v>4446</v>
      </c>
      <c r="B4543" t="str">
        <f>"300750"</f>
        <v>300750</v>
      </c>
      <c r="C4543" t="s">
        <v>9128</v>
      </c>
      <c r="D4543" t="s">
        <v>188</v>
      </c>
      <c r="F4543">
        <v>-856539011</v>
      </c>
      <c r="G4543">
        <v>5127571522</v>
      </c>
      <c r="H4543">
        <v>3860056401</v>
      </c>
      <c r="I4543">
        <v>4687285534</v>
      </c>
      <c r="J4543">
        <v>-4838959985</v>
      </c>
      <c r="K4543">
        <v>-686646028</v>
      </c>
      <c r="L4543">
        <v>-889252665</v>
      </c>
      <c r="P4543">
        <v>4828</v>
      </c>
      <c r="Q4543" t="s">
        <v>9129</v>
      </c>
    </row>
    <row r="4544" spans="1:17" x14ac:dyDescent="0.3">
      <c r="A4544" t="s">
        <v>4446</v>
      </c>
      <c r="B4544" t="str">
        <f>"300751"</f>
        <v>300751</v>
      </c>
      <c r="C4544" t="s">
        <v>9130</v>
      </c>
      <c r="D4544" t="s">
        <v>188</v>
      </c>
      <c r="F4544">
        <v>540808621</v>
      </c>
      <c r="G4544">
        <v>221916802</v>
      </c>
      <c r="H4544">
        <v>-242802552</v>
      </c>
      <c r="I4544">
        <v>-40328186</v>
      </c>
      <c r="J4544">
        <v>12500783</v>
      </c>
      <c r="K4544">
        <v>83117941</v>
      </c>
      <c r="L4544">
        <v>8635951</v>
      </c>
      <c r="P4544">
        <v>629</v>
      </c>
      <c r="Q4544" t="s">
        <v>9131</v>
      </c>
    </row>
    <row r="4545" spans="1:17" x14ac:dyDescent="0.3">
      <c r="A4545" t="s">
        <v>4446</v>
      </c>
      <c r="B4545" t="str">
        <f>"300752"</f>
        <v>300752</v>
      </c>
      <c r="C4545" t="s">
        <v>9132</v>
      </c>
      <c r="D4545" t="s">
        <v>150</v>
      </c>
      <c r="F4545">
        <v>-224921749</v>
      </c>
      <c r="G4545">
        <v>-235955859</v>
      </c>
      <c r="H4545">
        <v>-111601140</v>
      </c>
      <c r="I4545">
        <v>116408068</v>
      </c>
      <c r="J4545">
        <v>1042438</v>
      </c>
      <c r="K4545">
        <v>39014327</v>
      </c>
      <c r="L4545">
        <v>13329823</v>
      </c>
      <c r="P4545">
        <v>140</v>
      </c>
      <c r="Q4545" t="s">
        <v>9133</v>
      </c>
    </row>
    <row r="4546" spans="1:17" x14ac:dyDescent="0.3">
      <c r="A4546" t="s">
        <v>4446</v>
      </c>
      <c r="B4546" t="str">
        <f>"300753"</f>
        <v>300753</v>
      </c>
      <c r="C4546" t="s">
        <v>9134</v>
      </c>
      <c r="D4546" t="s">
        <v>113</v>
      </c>
      <c r="F4546">
        <v>-21185801</v>
      </c>
      <c r="G4546">
        <v>48454135</v>
      </c>
      <c r="H4546">
        <v>19377091</v>
      </c>
      <c r="I4546">
        <v>16547395</v>
      </c>
      <c r="J4546">
        <v>51410765</v>
      </c>
      <c r="K4546">
        <v>58074966</v>
      </c>
      <c r="L4546">
        <v>35006969</v>
      </c>
      <c r="P4546">
        <v>243</v>
      </c>
      <c r="Q4546" t="s">
        <v>9135</v>
      </c>
    </row>
    <row r="4547" spans="1:17" x14ac:dyDescent="0.3">
      <c r="A4547" t="s">
        <v>4446</v>
      </c>
      <c r="B4547" t="str">
        <f>"300755"</f>
        <v>300755</v>
      </c>
      <c r="C4547" t="s">
        <v>9136</v>
      </c>
      <c r="D4547" t="s">
        <v>120</v>
      </c>
      <c r="F4547">
        <v>-445595902</v>
      </c>
      <c r="G4547">
        <v>267259756</v>
      </c>
      <c r="H4547">
        <v>52758559</v>
      </c>
      <c r="I4547">
        <v>-242593977</v>
      </c>
      <c r="J4547">
        <v>363186937</v>
      </c>
      <c r="K4547">
        <v>-101775007</v>
      </c>
      <c r="L4547">
        <v>273962398</v>
      </c>
      <c r="P4547">
        <v>247</v>
      </c>
      <c r="Q4547" t="s">
        <v>9137</v>
      </c>
    </row>
    <row r="4548" spans="1:17" x14ac:dyDescent="0.3">
      <c r="A4548" t="s">
        <v>4446</v>
      </c>
      <c r="B4548" t="str">
        <f>"300756"</f>
        <v>300756</v>
      </c>
      <c r="C4548" t="s">
        <v>9138</v>
      </c>
      <c r="D4548" t="s">
        <v>161</v>
      </c>
      <c r="F4548">
        <v>-175664265</v>
      </c>
      <c r="G4548">
        <v>27675799</v>
      </c>
      <c r="H4548">
        <v>-13582750</v>
      </c>
      <c r="I4548">
        <v>96300192</v>
      </c>
      <c r="J4548">
        <v>58500872</v>
      </c>
      <c r="K4548">
        <v>68463940</v>
      </c>
      <c r="L4548">
        <v>70787380</v>
      </c>
      <c r="P4548">
        <v>76</v>
      </c>
      <c r="Q4548" t="s">
        <v>9139</v>
      </c>
    </row>
    <row r="4549" spans="1:17" x14ac:dyDescent="0.3">
      <c r="A4549" t="s">
        <v>4446</v>
      </c>
      <c r="B4549" t="str">
        <f>"300757"</f>
        <v>300757</v>
      </c>
      <c r="C4549" t="s">
        <v>9140</v>
      </c>
      <c r="D4549" t="s">
        <v>78</v>
      </c>
      <c r="F4549">
        <v>-286831617</v>
      </c>
      <c r="G4549">
        <v>-184944289</v>
      </c>
      <c r="H4549">
        <v>-196261037</v>
      </c>
      <c r="I4549">
        <v>-31197659</v>
      </c>
      <c r="J4549">
        <v>5839933</v>
      </c>
      <c r="K4549">
        <v>24829717</v>
      </c>
      <c r="L4549">
        <v>-6069206</v>
      </c>
      <c r="P4549">
        <v>76</v>
      </c>
      <c r="Q4549" t="s">
        <v>9141</v>
      </c>
    </row>
    <row r="4550" spans="1:17" x14ac:dyDescent="0.3">
      <c r="A4550" t="s">
        <v>4446</v>
      </c>
      <c r="B4550" t="str">
        <f>"300758"</f>
        <v>300758</v>
      </c>
      <c r="C4550" t="s">
        <v>9142</v>
      </c>
      <c r="D4550" t="s">
        <v>133</v>
      </c>
      <c r="F4550">
        <v>11404184</v>
      </c>
      <c r="G4550">
        <v>-139991300</v>
      </c>
      <c r="H4550">
        <v>-98240169</v>
      </c>
      <c r="I4550">
        <v>-22352984</v>
      </c>
      <c r="J4550">
        <v>51237728</v>
      </c>
      <c r="K4550">
        <v>63933334</v>
      </c>
      <c r="L4550">
        <v>25064539</v>
      </c>
      <c r="P4550">
        <v>104</v>
      </c>
      <c r="Q4550" t="s">
        <v>9143</v>
      </c>
    </row>
    <row r="4551" spans="1:17" x14ac:dyDescent="0.3">
      <c r="A4551" t="s">
        <v>4446</v>
      </c>
      <c r="B4551" t="str">
        <f>"300759"</f>
        <v>300759</v>
      </c>
      <c r="C4551" t="s">
        <v>9144</v>
      </c>
      <c r="D4551" t="s">
        <v>113</v>
      </c>
      <c r="F4551">
        <v>-33166748</v>
      </c>
      <c r="G4551">
        <v>335982385</v>
      </c>
      <c r="H4551">
        <v>187416031</v>
      </c>
      <c r="I4551">
        <v>118654716</v>
      </c>
      <c r="J4551">
        <v>-382091777</v>
      </c>
      <c r="K4551">
        <v>-819313048</v>
      </c>
      <c r="L4551">
        <v>-41310682</v>
      </c>
      <c r="P4551">
        <v>1082</v>
      </c>
      <c r="Q4551" t="s">
        <v>9145</v>
      </c>
    </row>
    <row r="4552" spans="1:17" x14ac:dyDescent="0.3">
      <c r="A4552" t="s">
        <v>4446</v>
      </c>
      <c r="B4552" t="str">
        <f>"300760"</f>
        <v>300760</v>
      </c>
      <c r="C4552" t="s">
        <v>9146</v>
      </c>
      <c r="D4552" t="s">
        <v>113</v>
      </c>
      <c r="F4552">
        <v>7617889365</v>
      </c>
      <c r="G4552">
        <v>7690226720</v>
      </c>
      <c r="H4552">
        <v>3948829359</v>
      </c>
      <c r="I4552">
        <v>3359610601</v>
      </c>
      <c r="J4552">
        <v>2844613308</v>
      </c>
      <c r="K4552">
        <v>2664319147</v>
      </c>
      <c r="L4552">
        <v>1434036511</v>
      </c>
      <c r="P4552">
        <v>4595</v>
      </c>
      <c r="Q4552" t="s">
        <v>9147</v>
      </c>
    </row>
    <row r="4553" spans="1:17" x14ac:dyDescent="0.3">
      <c r="A4553" t="s">
        <v>4446</v>
      </c>
      <c r="B4553" t="str">
        <f>"300761"</f>
        <v>300761</v>
      </c>
      <c r="C4553" t="s">
        <v>9148</v>
      </c>
      <c r="D4553" t="s">
        <v>205</v>
      </c>
      <c r="F4553">
        <v>-2007627971</v>
      </c>
      <c r="G4553">
        <v>-2010922495</v>
      </c>
      <c r="H4553">
        <v>889732932</v>
      </c>
      <c r="I4553">
        <v>887106557</v>
      </c>
      <c r="J4553">
        <v>427557470</v>
      </c>
      <c r="K4553">
        <v>352736025</v>
      </c>
      <c r="L4553">
        <v>412465145</v>
      </c>
      <c r="P4553">
        <v>369</v>
      </c>
      <c r="Q4553" t="s">
        <v>9149</v>
      </c>
    </row>
    <row r="4554" spans="1:17" x14ac:dyDescent="0.3">
      <c r="A4554" t="s">
        <v>4446</v>
      </c>
      <c r="B4554" t="str">
        <f>"300762"</f>
        <v>300762</v>
      </c>
      <c r="C4554" t="s">
        <v>9150</v>
      </c>
      <c r="D4554" t="s">
        <v>92</v>
      </c>
      <c r="F4554">
        <v>54904720</v>
      </c>
      <c r="G4554">
        <v>-18673635</v>
      </c>
      <c r="H4554">
        <v>-12771120</v>
      </c>
      <c r="I4554">
        <v>-43493859</v>
      </c>
      <c r="J4554">
        <v>-54687425</v>
      </c>
      <c r="K4554">
        <v>-92580600</v>
      </c>
      <c r="P4554">
        <v>182</v>
      </c>
      <c r="Q4554" t="s">
        <v>9151</v>
      </c>
    </row>
    <row r="4555" spans="1:17" x14ac:dyDescent="0.3">
      <c r="A4555" t="s">
        <v>4446</v>
      </c>
      <c r="B4555" t="str">
        <f>"300763"</f>
        <v>300763</v>
      </c>
      <c r="C4555" t="s">
        <v>9152</v>
      </c>
      <c r="D4555" t="s">
        <v>188</v>
      </c>
      <c r="F4555">
        <v>-1027693856</v>
      </c>
      <c r="G4555">
        <v>62440353</v>
      </c>
      <c r="H4555">
        <v>42332953</v>
      </c>
      <c r="I4555">
        <v>64723946</v>
      </c>
      <c r="J4555">
        <v>138425663</v>
      </c>
      <c r="K4555">
        <v>26896524</v>
      </c>
      <c r="P4555">
        <v>583</v>
      </c>
      <c r="Q4555" t="s">
        <v>9153</v>
      </c>
    </row>
    <row r="4556" spans="1:17" x14ac:dyDescent="0.3">
      <c r="A4556" t="s">
        <v>4446</v>
      </c>
      <c r="B4556" t="str">
        <f>"300765"</f>
        <v>300765</v>
      </c>
      <c r="C4556" t="s">
        <v>9154</v>
      </c>
      <c r="D4556" t="s">
        <v>113</v>
      </c>
      <c r="F4556">
        <v>105970038</v>
      </c>
      <c r="G4556">
        <v>234166461</v>
      </c>
      <c r="H4556">
        <v>209707492</v>
      </c>
      <c r="I4556">
        <v>100813829</v>
      </c>
      <c r="J4556">
        <v>-39939299</v>
      </c>
      <c r="K4556">
        <v>-9336715</v>
      </c>
      <c r="P4556">
        <v>173</v>
      </c>
      <c r="Q4556" t="s">
        <v>9155</v>
      </c>
    </row>
    <row r="4557" spans="1:17" x14ac:dyDescent="0.3">
      <c r="A4557" t="s">
        <v>4446</v>
      </c>
      <c r="B4557" t="str">
        <f>"300766"</f>
        <v>300766</v>
      </c>
      <c r="C4557" t="s">
        <v>9156</v>
      </c>
      <c r="D4557" t="s">
        <v>212</v>
      </c>
      <c r="F4557">
        <v>107931309</v>
      </c>
      <c r="G4557">
        <v>-66615946</v>
      </c>
      <c r="H4557">
        <v>-167198881</v>
      </c>
      <c r="I4557">
        <v>176948427</v>
      </c>
      <c r="J4557">
        <v>98944028</v>
      </c>
      <c r="K4557">
        <v>31504706</v>
      </c>
      <c r="P4557">
        <v>141</v>
      </c>
      <c r="Q4557" t="s">
        <v>9157</v>
      </c>
    </row>
    <row r="4558" spans="1:17" x14ac:dyDescent="0.3">
      <c r="A4558" t="s">
        <v>4446</v>
      </c>
      <c r="B4558" t="str">
        <f>"300767"</f>
        <v>300767</v>
      </c>
      <c r="C4558" t="s">
        <v>9158</v>
      </c>
      <c r="D4558" t="s">
        <v>133</v>
      </c>
      <c r="F4558">
        <v>-394860634</v>
      </c>
      <c r="G4558">
        <v>-35677607</v>
      </c>
      <c r="H4558">
        <v>-92766204</v>
      </c>
      <c r="I4558">
        <v>34655946</v>
      </c>
      <c r="J4558">
        <v>18796212</v>
      </c>
      <c r="K4558">
        <v>32328236</v>
      </c>
      <c r="P4558">
        <v>198</v>
      </c>
      <c r="Q4558" t="s">
        <v>9159</v>
      </c>
    </row>
    <row r="4559" spans="1:17" x14ac:dyDescent="0.3">
      <c r="A4559" t="s">
        <v>4446</v>
      </c>
      <c r="B4559" t="str">
        <f>"300768"</f>
        <v>300768</v>
      </c>
      <c r="C4559" t="s">
        <v>9160</v>
      </c>
      <c r="D4559" t="s">
        <v>212</v>
      </c>
      <c r="F4559">
        <v>208235396</v>
      </c>
      <c r="G4559">
        <v>184665137</v>
      </c>
      <c r="H4559">
        <v>262744330</v>
      </c>
      <c r="I4559">
        <v>210664662</v>
      </c>
      <c r="J4559">
        <v>151694282</v>
      </c>
      <c r="K4559">
        <v>80147918</v>
      </c>
      <c r="P4559">
        <v>240</v>
      </c>
      <c r="Q4559" t="s">
        <v>9161</v>
      </c>
    </row>
    <row r="4560" spans="1:17" x14ac:dyDescent="0.3">
      <c r="A4560" t="s">
        <v>4446</v>
      </c>
      <c r="B4560" t="str">
        <f>"300769"</f>
        <v>300769</v>
      </c>
      <c r="C4560" t="s">
        <v>9162</v>
      </c>
      <c r="D4560" t="s">
        <v>188</v>
      </c>
      <c r="F4560">
        <v>-1430112369</v>
      </c>
      <c r="G4560">
        <v>-662041209</v>
      </c>
      <c r="H4560">
        <v>-65624206</v>
      </c>
      <c r="I4560">
        <v>116306375</v>
      </c>
      <c r="J4560">
        <v>-253890323</v>
      </c>
      <c r="K4560">
        <v>-108662705</v>
      </c>
      <c r="P4560">
        <v>325</v>
      </c>
      <c r="Q4560" t="s">
        <v>9163</v>
      </c>
    </row>
    <row r="4561" spans="1:17" x14ac:dyDescent="0.3">
      <c r="A4561" t="s">
        <v>4446</v>
      </c>
      <c r="B4561" t="str">
        <f>"300770"</f>
        <v>300770</v>
      </c>
      <c r="C4561" t="s">
        <v>9164</v>
      </c>
      <c r="D4561" t="s">
        <v>89</v>
      </c>
      <c r="F4561">
        <v>840467724</v>
      </c>
      <c r="G4561">
        <v>339004815</v>
      </c>
      <c r="H4561">
        <v>291134843</v>
      </c>
      <c r="I4561">
        <v>179513961</v>
      </c>
      <c r="J4561">
        <v>159364959</v>
      </c>
      <c r="K4561">
        <v>45900788</v>
      </c>
      <c r="P4561">
        <v>634</v>
      </c>
      <c r="Q4561" t="s">
        <v>9165</v>
      </c>
    </row>
    <row r="4562" spans="1:17" x14ac:dyDescent="0.3">
      <c r="A4562" t="s">
        <v>4446</v>
      </c>
      <c r="B4562" t="str">
        <f>"300771"</f>
        <v>300771</v>
      </c>
      <c r="C4562" t="s">
        <v>9166</v>
      </c>
      <c r="D4562" t="s">
        <v>212</v>
      </c>
      <c r="F4562">
        <v>-39561208</v>
      </c>
      <c r="G4562">
        <v>154888198</v>
      </c>
      <c r="H4562">
        <v>167644181</v>
      </c>
      <c r="I4562">
        <v>103701334</v>
      </c>
      <c r="J4562">
        <v>105266391</v>
      </c>
      <c r="K4562">
        <v>-19695089</v>
      </c>
      <c r="P4562">
        <v>229</v>
      </c>
      <c r="Q4562" t="s">
        <v>9167</v>
      </c>
    </row>
    <row r="4563" spans="1:17" x14ac:dyDescent="0.3">
      <c r="A4563" t="s">
        <v>4446</v>
      </c>
      <c r="B4563" t="str">
        <f>"300772"</f>
        <v>300772</v>
      </c>
      <c r="C4563" t="s">
        <v>9168</v>
      </c>
      <c r="D4563" t="s">
        <v>188</v>
      </c>
      <c r="F4563">
        <v>1183656652</v>
      </c>
      <c r="G4563">
        <v>-1377171458</v>
      </c>
      <c r="H4563">
        <v>1231303338</v>
      </c>
      <c r="I4563">
        <v>82778921</v>
      </c>
      <c r="J4563">
        <v>482966886</v>
      </c>
      <c r="K4563">
        <v>-267166675</v>
      </c>
      <c r="P4563">
        <v>178</v>
      </c>
      <c r="Q4563" t="s">
        <v>9169</v>
      </c>
    </row>
    <row r="4564" spans="1:17" x14ac:dyDescent="0.3">
      <c r="A4564" t="s">
        <v>4446</v>
      </c>
      <c r="B4564" t="str">
        <f>"300773"</f>
        <v>300773</v>
      </c>
      <c r="C4564" t="s">
        <v>9170</v>
      </c>
      <c r="D4564" t="s">
        <v>75</v>
      </c>
      <c r="F4564">
        <v>804681319</v>
      </c>
      <c r="G4564">
        <v>772804844</v>
      </c>
      <c r="H4564">
        <v>653546263</v>
      </c>
      <c r="I4564">
        <v>338445533</v>
      </c>
      <c r="J4564">
        <v>-464717708</v>
      </c>
      <c r="K4564">
        <v>-23659065</v>
      </c>
      <c r="P4564">
        <v>473</v>
      </c>
      <c r="Q4564" t="s">
        <v>9171</v>
      </c>
    </row>
    <row r="4565" spans="1:17" x14ac:dyDescent="0.3">
      <c r="A4565" t="s">
        <v>4446</v>
      </c>
      <c r="B4565" t="str">
        <f>"300774"</f>
        <v>300774</v>
      </c>
      <c r="C4565" t="s">
        <v>9172</v>
      </c>
      <c r="D4565" t="s">
        <v>33</v>
      </c>
      <c r="F4565">
        <v>-206128214</v>
      </c>
      <c r="G4565">
        <v>81247545</v>
      </c>
      <c r="H4565">
        <v>1256555</v>
      </c>
      <c r="I4565">
        <v>43864418</v>
      </c>
      <c r="J4565">
        <v>-63927847</v>
      </c>
      <c r="P4565">
        <v>25</v>
      </c>
      <c r="Q4565" t="s">
        <v>9173</v>
      </c>
    </row>
    <row r="4566" spans="1:17" x14ac:dyDescent="0.3">
      <c r="A4566" t="s">
        <v>4446</v>
      </c>
      <c r="B4566" t="str">
        <f>"300775"</f>
        <v>300775</v>
      </c>
      <c r="C4566" t="s">
        <v>9174</v>
      </c>
      <c r="D4566" t="s">
        <v>92</v>
      </c>
      <c r="F4566">
        <v>237404093</v>
      </c>
      <c r="G4566">
        <v>-234994648</v>
      </c>
      <c r="H4566">
        <v>83384787</v>
      </c>
      <c r="I4566">
        <v>49154884</v>
      </c>
      <c r="J4566">
        <v>181523717</v>
      </c>
      <c r="K4566">
        <v>-55427172</v>
      </c>
      <c r="P4566">
        <v>187</v>
      </c>
      <c r="Q4566" t="s">
        <v>9175</v>
      </c>
    </row>
    <row r="4567" spans="1:17" x14ac:dyDescent="0.3">
      <c r="A4567" t="s">
        <v>4446</v>
      </c>
      <c r="B4567" t="str">
        <f>"300776"</f>
        <v>300776</v>
      </c>
      <c r="C4567" t="s">
        <v>9176</v>
      </c>
      <c r="D4567" t="s">
        <v>188</v>
      </c>
      <c r="F4567">
        <v>100434233</v>
      </c>
      <c r="G4567">
        <v>78740799</v>
      </c>
      <c r="H4567">
        <v>68551688</v>
      </c>
      <c r="I4567">
        <v>89433952</v>
      </c>
      <c r="J4567">
        <v>10827421</v>
      </c>
      <c r="K4567">
        <v>25417702</v>
      </c>
      <c r="P4567">
        <v>399</v>
      </c>
      <c r="Q4567" t="s">
        <v>9177</v>
      </c>
    </row>
    <row r="4568" spans="1:17" x14ac:dyDescent="0.3">
      <c r="A4568" t="s">
        <v>4446</v>
      </c>
      <c r="B4568" t="str">
        <f>"300777"</f>
        <v>300777</v>
      </c>
      <c r="C4568" t="s">
        <v>9178</v>
      </c>
      <c r="D4568" t="s">
        <v>92</v>
      </c>
      <c r="F4568">
        <v>136277524</v>
      </c>
      <c r="G4568">
        <v>179624779</v>
      </c>
      <c r="H4568">
        <v>-45270349</v>
      </c>
      <c r="I4568">
        <v>-23228447</v>
      </c>
      <c r="J4568">
        <v>-30925756</v>
      </c>
      <c r="K4568">
        <v>-78452570</v>
      </c>
      <c r="P4568">
        <v>371</v>
      </c>
      <c r="Q4568" t="s">
        <v>9179</v>
      </c>
    </row>
    <row r="4569" spans="1:17" x14ac:dyDescent="0.3">
      <c r="A4569" t="s">
        <v>4446</v>
      </c>
      <c r="B4569" t="str">
        <f>"300778"</f>
        <v>300778</v>
      </c>
      <c r="C4569" t="s">
        <v>9180</v>
      </c>
      <c r="D4569" t="s">
        <v>95</v>
      </c>
      <c r="F4569">
        <v>-39151097</v>
      </c>
      <c r="G4569">
        <v>54256393</v>
      </c>
      <c r="H4569">
        <v>90543885</v>
      </c>
      <c r="I4569">
        <v>89183560</v>
      </c>
      <c r="J4569">
        <v>78194752</v>
      </c>
      <c r="K4569">
        <v>105280546</v>
      </c>
      <c r="P4569">
        <v>104</v>
      </c>
      <c r="Q4569" t="s">
        <v>9181</v>
      </c>
    </row>
    <row r="4570" spans="1:17" x14ac:dyDescent="0.3">
      <c r="A4570" t="s">
        <v>4446</v>
      </c>
      <c r="B4570" t="str">
        <f>"300779"</f>
        <v>300779</v>
      </c>
      <c r="C4570" t="s">
        <v>9182</v>
      </c>
      <c r="D4570" t="s">
        <v>33</v>
      </c>
      <c r="F4570">
        <v>-454491466</v>
      </c>
      <c r="G4570">
        <v>-69465346</v>
      </c>
      <c r="H4570">
        <v>8965046</v>
      </c>
      <c r="I4570">
        <v>26634868</v>
      </c>
      <c r="J4570">
        <v>30189416</v>
      </c>
      <c r="K4570">
        <v>7618804</v>
      </c>
      <c r="P4570">
        <v>62</v>
      </c>
      <c r="Q4570" t="s">
        <v>9183</v>
      </c>
    </row>
    <row r="4571" spans="1:17" x14ac:dyDescent="0.3">
      <c r="A4571" t="s">
        <v>4446</v>
      </c>
      <c r="B4571" t="str">
        <f>"300780"</f>
        <v>300780</v>
      </c>
      <c r="C4571" t="s">
        <v>9184</v>
      </c>
      <c r="D4571" t="s">
        <v>78</v>
      </c>
      <c r="F4571">
        <v>-393148905</v>
      </c>
      <c r="G4571">
        <v>-125875820</v>
      </c>
      <c r="H4571">
        <v>-139587723</v>
      </c>
      <c r="I4571">
        <v>50707420</v>
      </c>
      <c r="J4571">
        <v>-31899186</v>
      </c>
      <c r="K4571">
        <v>34058237</v>
      </c>
      <c r="P4571">
        <v>56</v>
      </c>
      <c r="Q4571" t="s">
        <v>9185</v>
      </c>
    </row>
    <row r="4572" spans="1:17" x14ac:dyDescent="0.3">
      <c r="A4572" t="s">
        <v>4446</v>
      </c>
      <c r="B4572" t="str">
        <f>"300781"</f>
        <v>300781</v>
      </c>
      <c r="C4572" t="s">
        <v>9186</v>
      </c>
      <c r="D4572" t="s">
        <v>89</v>
      </c>
      <c r="F4572">
        <v>23521267</v>
      </c>
      <c r="G4572">
        <v>58151767</v>
      </c>
      <c r="H4572">
        <v>15294167</v>
      </c>
      <c r="I4572">
        <v>19536569</v>
      </c>
      <c r="J4572">
        <v>20916251</v>
      </c>
      <c r="K4572">
        <v>-23206974</v>
      </c>
      <c r="P4572">
        <v>100</v>
      </c>
      <c r="Q4572" t="s">
        <v>9187</v>
      </c>
    </row>
    <row r="4573" spans="1:17" x14ac:dyDescent="0.3">
      <c r="A4573" t="s">
        <v>4446</v>
      </c>
      <c r="B4573" t="str">
        <f>"300782"</f>
        <v>300782</v>
      </c>
      <c r="C4573" t="s">
        <v>9188</v>
      </c>
      <c r="D4573" t="s">
        <v>150</v>
      </c>
      <c r="F4573">
        <v>-1708590178</v>
      </c>
      <c r="G4573">
        <v>852006664</v>
      </c>
      <c r="H4573">
        <v>-40628956</v>
      </c>
      <c r="I4573">
        <v>105516995</v>
      </c>
      <c r="J4573">
        <v>112829349</v>
      </c>
      <c r="K4573">
        <v>89981625</v>
      </c>
      <c r="P4573">
        <v>1610</v>
      </c>
      <c r="Q4573" t="s">
        <v>9189</v>
      </c>
    </row>
    <row r="4574" spans="1:17" x14ac:dyDescent="0.3">
      <c r="A4574" t="s">
        <v>4446</v>
      </c>
      <c r="B4574" t="str">
        <f>"300783"</f>
        <v>300783</v>
      </c>
      <c r="C4574" t="s">
        <v>9190</v>
      </c>
      <c r="D4574" t="s">
        <v>123</v>
      </c>
      <c r="F4574">
        <v>526610219</v>
      </c>
      <c r="G4574">
        <v>875009612</v>
      </c>
      <c r="H4574">
        <v>-544057592</v>
      </c>
      <c r="I4574">
        <v>392950714</v>
      </c>
      <c r="J4574">
        <v>261665291</v>
      </c>
      <c r="K4574">
        <v>-9329042</v>
      </c>
      <c r="P4574">
        <v>731</v>
      </c>
      <c r="Q4574" t="s">
        <v>9191</v>
      </c>
    </row>
    <row r="4575" spans="1:17" x14ac:dyDescent="0.3">
      <c r="A4575" t="s">
        <v>4446</v>
      </c>
      <c r="B4575" t="str">
        <f>"300785"</f>
        <v>300785</v>
      </c>
      <c r="C4575" t="s">
        <v>9192</v>
      </c>
      <c r="D4575" t="s">
        <v>89</v>
      </c>
      <c r="F4575">
        <v>-47646884</v>
      </c>
      <c r="G4575">
        <v>102438222</v>
      </c>
      <c r="H4575">
        <v>1730457</v>
      </c>
      <c r="I4575">
        <v>-151689275</v>
      </c>
      <c r="J4575">
        <v>96131625</v>
      </c>
      <c r="K4575">
        <v>23943507</v>
      </c>
      <c r="P4575">
        <v>332</v>
      </c>
      <c r="Q4575" t="s">
        <v>9193</v>
      </c>
    </row>
    <row r="4576" spans="1:17" x14ac:dyDescent="0.3">
      <c r="A4576" t="s">
        <v>4446</v>
      </c>
      <c r="B4576" t="str">
        <f>"300786"</f>
        <v>300786</v>
      </c>
      <c r="C4576" t="s">
        <v>9194</v>
      </c>
      <c r="D4576" t="s">
        <v>33</v>
      </c>
      <c r="F4576">
        <v>-343898364</v>
      </c>
      <c r="G4576">
        <v>-21872175</v>
      </c>
      <c r="H4576">
        <v>12655653</v>
      </c>
      <c r="I4576">
        <v>-2140075</v>
      </c>
      <c r="J4576">
        <v>31867035</v>
      </c>
      <c r="K4576">
        <v>-8453258</v>
      </c>
      <c r="P4576">
        <v>95</v>
      </c>
      <c r="Q4576" t="s">
        <v>9195</v>
      </c>
    </row>
    <row r="4577" spans="1:17" x14ac:dyDescent="0.3">
      <c r="A4577" t="s">
        <v>4446</v>
      </c>
      <c r="B4577" t="str">
        <f>"300787"</f>
        <v>300787</v>
      </c>
      <c r="C4577" t="s">
        <v>9196</v>
      </c>
      <c r="D4577" t="s">
        <v>150</v>
      </c>
      <c r="F4577">
        <v>-347418725</v>
      </c>
      <c r="G4577">
        <v>-424102782</v>
      </c>
      <c r="H4577">
        <v>-87455138</v>
      </c>
      <c r="I4577">
        <v>6050240</v>
      </c>
      <c r="J4577">
        <v>81380375</v>
      </c>
      <c r="K4577">
        <v>45009863</v>
      </c>
      <c r="P4577">
        <v>87</v>
      </c>
      <c r="Q4577" t="s">
        <v>9197</v>
      </c>
    </row>
    <row r="4578" spans="1:17" x14ac:dyDescent="0.3">
      <c r="A4578" t="s">
        <v>4446</v>
      </c>
      <c r="B4578" t="str">
        <f>"300788"</f>
        <v>300788</v>
      </c>
      <c r="C4578" t="s">
        <v>9198</v>
      </c>
      <c r="D4578" t="s">
        <v>89</v>
      </c>
      <c r="F4578">
        <v>251767962</v>
      </c>
      <c r="G4578">
        <v>305051991</v>
      </c>
      <c r="H4578">
        <v>259625667</v>
      </c>
      <c r="I4578">
        <v>181475453</v>
      </c>
      <c r="J4578">
        <v>110801882</v>
      </c>
      <c r="K4578">
        <v>89729669</v>
      </c>
      <c r="P4578">
        <v>347</v>
      </c>
      <c r="Q4578" t="s">
        <v>9199</v>
      </c>
    </row>
    <row r="4579" spans="1:17" x14ac:dyDescent="0.3">
      <c r="A4579" t="s">
        <v>4446</v>
      </c>
      <c r="B4579" t="str">
        <f>"300789"</f>
        <v>300789</v>
      </c>
      <c r="C4579" t="s">
        <v>9200</v>
      </c>
      <c r="D4579" t="s">
        <v>212</v>
      </c>
      <c r="F4579">
        <v>22462527</v>
      </c>
      <c r="G4579">
        <v>38512078</v>
      </c>
      <c r="H4579">
        <v>-148249583</v>
      </c>
      <c r="I4579">
        <v>49013668</v>
      </c>
      <c r="J4579">
        <v>-6856376</v>
      </c>
      <c r="K4579">
        <v>47864811</v>
      </c>
      <c r="P4579">
        <v>79</v>
      </c>
      <c r="Q4579" t="s">
        <v>9201</v>
      </c>
    </row>
    <row r="4580" spans="1:17" x14ac:dyDescent="0.3">
      <c r="A4580" t="s">
        <v>4446</v>
      </c>
      <c r="B4580" t="str">
        <f>"300790"</f>
        <v>300790</v>
      </c>
      <c r="C4580" t="s">
        <v>9202</v>
      </c>
      <c r="D4580" t="s">
        <v>212</v>
      </c>
      <c r="F4580">
        <v>-279718164</v>
      </c>
      <c r="G4580">
        <v>-612348831</v>
      </c>
      <c r="H4580">
        <v>-75352848</v>
      </c>
      <c r="I4580">
        <v>-156017321</v>
      </c>
      <c r="J4580">
        <v>-172368051</v>
      </c>
      <c r="K4580">
        <v>-60586885</v>
      </c>
      <c r="P4580">
        <v>159</v>
      </c>
      <c r="Q4580" t="s">
        <v>9203</v>
      </c>
    </row>
    <row r="4581" spans="1:17" x14ac:dyDescent="0.3">
      <c r="A4581" t="s">
        <v>4446</v>
      </c>
      <c r="B4581" t="str">
        <f>"300791"</f>
        <v>300791</v>
      </c>
      <c r="C4581" t="s">
        <v>9204</v>
      </c>
      <c r="D4581" t="s">
        <v>123</v>
      </c>
      <c r="F4581">
        <v>-182852127</v>
      </c>
      <c r="G4581">
        <v>96449226</v>
      </c>
      <c r="H4581">
        <v>64892765</v>
      </c>
      <c r="I4581">
        <v>-55837463</v>
      </c>
      <c r="J4581">
        <v>-110248718</v>
      </c>
      <c r="K4581">
        <v>-170673078</v>
      </c>
      <c r="P4581">
        <v>286</v>
      </c>
      <c r="Q4581" t="s">
        <v>9205</v>
      </c>
    </row>
    <row r="4582" spans="1:17" x14ac:dyDescent="0.3">
      <c r="A4582" t="s">
        <v>4446</v>
      </c>
      <c r="B4582" t="str">
        <f>"300792"</f>
        <v>300792</v>
      </c>
      <c r="C4582" t="s">
        <v>9206</v>
      </c>
      <c r="D4582" t="s">
        <v>120</v>
      </c>
      <c r="F4582">
        <v>-99523006</v>
      </c>
      <c r="G4582">
        <v>347268403</v>
      </c>
      <c r="H4582">
        <v>59864176</v>
      </c>
      <c r="I4582">
        <v>86744795</v>
      </c>
      <c r="J4582">
        <v>28273120</v>
      </c>
      <c r="K4582">
        <v>14188489</v>
      </c>
      <c r="P4582">
        <v>369</v>
      </c>
      <c r="Q4582" t="s">
        <v>9207</v>
      </c>
    </row>
    <row r="4583" spans="1:17" x14ac:dyDescent="0.3">
      <c r="A4583" t="s">
        <v>4446</v>
      </c>
      <c r="B4583" t="str">
        <f>"300793"</f>
        <v>300793</v>
      </c>
      <c r="C4583" t="s">
        <v>9208</v>
      </c>
      <c r="D4583" t="s">
        <v>150</v>
      </c>
      <c r="F4583">
        <v>-416197672</v>
      </c>
      <c r="G4583">
        <v>-70798786</v>
      </c>
      <c r="H4583">
        <v>-33146353</v>
      </c>
      <c r="I4583">
        <v>152583273</v>
      </c>
      <c r="J4583">
        <v>86123896</v>
      </c>
      <c r="K4583">
        <v>-115019692</v>
      </c>
      <c r="P4583">
        <v>144</v>
      </c>
      <c r="Q4583" t="s">
        <v>9209</v>
      </c>
    </row>
    <row r="4584" spans="1:17" x14ac:dyDescent="0.3">
      <c r="A4584" t="s">
        <v>4446</v>
      </c>
      <c r="B4584" t="str">
        <f>"300795"</f>
        <v>300795</v>
      </c>
      <c r="C4584" t="s">
        <v>9210</v>
      </c>
      <c r="D4584" t="s">
        <v>110</v>
      </c>
      <c r="F4584">
        <v>-17914574</v>
      </c>
      <c r="G4584">
        <v>-18026379</v>
      </c>
      <c r="H4584">
        <v>55700644</v>
      </c>
      <c r="I4584">
        <v>52309607</v>
      </c>
      <c r="J4584">
        <v>61826183</v>
      </c>
      <c r="K4584">
        <v>46444968</v>
      </c>
      <c r="P4584">
        <v>109</v>
      </c>
      <c r="Q4584" t="s">
        <v>9211</v>
      </c>
    </row>
    <row r="4585" spans="1:17" x14ac:dyDescent="0.3">
      <c r="A4585" t="s">
        <v>4446</v>
      </c>
      <c r="B4585" t="str">
        <f>"300796"</f>
        <v>300796</v>
      </c>
      <c r="C4585" t="s">
        <v>9212</v>
      </c>
      <c r="D4585" t="s">
        <v>133</v>
      </c>
      <c r="F4585">
        <v>-119438047</v>
      </c>
      <c r="G4585">
        <v>-62905212</v>
      </c>
      <c r="H4585">
        <v>-47715668</v>
      </c>
      <c r="I4585">
        <v>4530363</v>
      </c>
      <c r="J4585">
        <v>-47514309</v>
      </c>
      <c r="K4585">
        <v>3657187</v>
      </c>
      <c r="P4585">
        <v>45</v>
      </c>
      <c r="Q4585" t="s">
        <v>9213</v>
      </c>
    </row>
    <row r="4586" spans="1:17" x14ac:dyDescent="0.3">
      <c r="A4586" t="s">
        <v>4446</v>
      </c>
      <c r="B4586" t="str">
        <f>"300797"</f>
        <v>300797</v>
      </c>
      <c r="C4586" t="s">
        <v>9214</v>
      </c>
      <c r="D4586" t="s">
        <v>103</v>
      </c>
      <c r="F4586">
        <v>-22675893</v>
      </c>
      <c r="G4586">
        <v>30657249</v>
      </c>
      <c r="H4586">
        <v>21964868</v>
      </c>
      <c r="I4586">
        <v>10380595</v>
      </c>
      <c r="J4586">
        <v>6687286</v>
      </c>
      <c r="K4586">
        <v>10089705</v>
      </c>
      <c r="P4586">
        <v>67</v>
      </c>
      <c r="Q4586" t="s">
        <v>9215</v>
      </c>
    </row>
    <row r="4587" spans="1:17" x14ac:dyDescent="0.3">
      <c r="A4587" t="s">
        <v>4446</v>
      </c>
      <c r="B4587" t="str">
        <f>"300798"</f>
        <v>300798</v>
      </c>
      <c r="C4587" t="s">
        <v>9216</v>
      </c>
      <c r="D4587" t="s">
        <v>133</v>
      </c>
      <c r="F4587">
        <v>-53535227</v>
      </c>
      <c r="G4587">
        <v>42894745</v>
      </c>
      <c r="H4587">
        <v>29461137</v>
      </c>
      <c r="I4587">
        <v>10234034</v>
      </c>
      <c r="J4587">
        <v>-5938914</v>
      </c>
      <c r="K4587">
        <v>-3243389</v>
      </c>
      <c r="P4587">
        <v>55</v>
      </c>
      <c r="Q4587" t="s">
        <v>9217</v>
      </c>
    </row>
    <row r="4588" spans="1:17" x14ac:dyDescent="0.3">
      <c r="A4588" t="s">
        <v>4446</v>
      </c>
      <c r="B4588" t="str">
        <f>"300799"</f>
        <v>300799</v>
      </c>
      <c r="C4588" t="s">
        <v>9218</v>
      </c>
      <c r="D4588" t="s">
        <v>212</v>
      </c>
      <c r="F4588">
        <v>-103114222</v>
      </c>
      <c r="G4588">
        <v>106787328</v>
      </c>
      <c r="H4588">
        <v>-105409697</v>
      </c>
      <c r="I4588">
        <v>33569535</v>
      </c>
      <c r="J4588">
        <v>4012185</v>
      </c>
      <c r="K4588">
        <v>-48823137</v>
      </c>
      <c r="P4588">
        <v>140</v>
      </c>
      <c r="Q4588" t="s">
        <v>9219</v>
      </c>
    </row>
    <row r="4589" spans="1:17" x14ac:dyDescent="0.3">
      <c r="A4589" t="s">
        <v>4446</v>
      </c>
      <c r="B4589" t="str">
        <f>"300800"</f>
        <v>300800</v>
      </c>
      <c r="C4589" t="s">
        <v>9220</v>
      </c>
      <c r="D4589" t="s">
        <v>33</v>
      </c>
      <c r="F4589">
        <v>35933405</v>
      </c>
      <c r="G4589">
        <v>186017854</v>
      </c>
      <c r="H4589">
        <v>194856213</v>
      </c>
      <c r="I4589">
        <v>83370999</v>
      </c>
      <c r="J4589">
        <v>102766797</v>
      </c>
      <c r="K4589">
        <v>59195232</v>
      </c>
      <c r="P4589">
        <v>362</v>
      </c>
      <c r="Q4589" t="s">
        <v>9221</v>
      </c>
    </row>
    <row r="4590" spans="1:17" x14ac:dyDescent="0.3">
      <c r="A4590" t="s">
        <v>4446</v>
      </c>
      <c r="B4590" t="str">
        <f>"300801"</f>
        <v>300801</v>
      </c>
      <c r="C4590" t="s">
        <v>9222</v>
      </c>
      <c r="D4590" t="s">
        <v>133</v>
      </c>
      <c r="F4590">
        <v>138991826</v>
      </c>
      <c r="G4590">
        <v>60122025</v>
      </c>
      <c r="H4590">
        <v>-10592557</v>
      </c>
      <c r="I4590">
        <v>109132582</v>
      </c>
      <c r="J4590">
        <v>90160052</v>
      </c>
      <c r="K4590">
        <v>-43219597</v>
      </c>
      <c r="P4590">
        <v>113</v>
      </c>
      <c r="Q4590" t="s">
        <v>9223</v>
      </c>
    </row>
    <row r="4591" spans="1:17" x14ac:dyDescent="0.3">
      <c r="A4591" t="s">
        <v>4446</v>
      </c>
      <c r="B4591" t="str">
        <f>"300802"</f>
        <v>300802</v>
      </c>
      <c r="C4591" t="s">
        <v>9224</v>
      </c>
      <c r="D4591" t="s">
        <v>78</v>
      </c>
      <c r="F4591">
        <v>-8943174</v>
      </c>
      <c r="G4591">
        <v>18000046</v>
      </c>
      <c r="H4591">
        <v>64577614</v>
      </c>
      <c r="I4591">
        <v>60993573</v>
      </c>
      <c r="J4591">
        <v>9958945</v>
      </c>
      <c r="K4591">
        <v>6316468</v>
      </c>
      <c r="P4591">
        <v>182</v>
      </c>
      <c r="Q4591" t="s">
        <v>9225</v>
      </c>
    </row>
    <row r="4592" spans="1:17" x14ac:dyDescent="0.3">
      <c r="A4592" t="s">
        <v>4446</v>
      </c>
      <c r="B4592" t="str">
        <f>"300803"</f>
        <v>300803</v>
      </c>
      <c r="C4592" t="s">
        <v>9226</v>
      </c>
      <c r="D4592" t="s">
        <v>212</v>
      </c>
      <c r="F4592">
        <v>357866911</v>
      </c>
      <c r="G4592">
        <v>216253014</v>
      </c>
      <c r="H4592">
        <v>40867335</v>
      </c>
      <c r="I4592">
        <v>158324804</v>
      </c>
      <c r="J4592">
        <v>-39172358</v>
      </c>
      <c r="K4592">
        <v>185722412</v>
      </c>
      <c r="P4592">
        <v>195</v>
      </c>
      <c r="Q4592" t="s">
        <v>9227</v>
      </c>
    </row>
    <row r="4593" spans="1:17" x14ac:dyDescent="0.3">
      <c r="A4593" t="s">
        <v>4446</v>
      </c>
      <c r="B4593" t="str">
        <f>"300805"</f>
        <v>300805</v>
      </c>
      <c r="C4593" t="s">
        <v>9228</v>
      </c>
      <c r="D4593" t="s">
        <v>89</v>
      </c>
      <c r="F4593">
        <v>97462915</v>
      </c>
      <c r="G4593">
        <v>197216873</v>
      </c>
      <c r="H4593">
        <v>171150063</v>
      </c>
      <c r="I4593">
        <v>151529135</v>
      </c>
      <c r="J4593">
        <v>-6766935</v>
      </c>
      <c r="K4593">
        <v>5684976</v>
      </c>
      <c r="P4593">
        <v>71</v>
      </c>
      <c r="Q4593" t="s">
        <v>9229</v>
      </c>
    </row>
    <row r="4594" spans="1:17" x14ac:dyDescent="0.3">
      <c r="A4594" t="s">
        <v>4446</v>
      </c>
      <c r="B4594" t="str">
        <f>"300806"</f>
        <v>300806</v>
      </c>
      <c r="C4594" t="s">
        <v>9230</v>
      </c>
      <c r="D4594" t="s">
        <v>133</v>
      </c>
      <c r="F4594">
        <v>-515390692</v>
      </c>
      <c r="G4594">
        <v>-505633299</v>
      </c>
      <c r="H4594">
        <v>-103517628</v>
      </c>
      <c r="I4594">
        <v>77599796</v>
      </c>
      <c r="J4594">
        <v>119000302</v>
      </c>
      <c r="K4594">
        <v>70804876</v>
      </c>
      <c r="P4594">
        <v>168</v>
      </c>
      <c r="Q4594" t="s">
        <v>9231</v>
      </c>
    </row>
    <row r="4595" spans="1:17" x14ac:dyDescent="0.3">
      <c r="A4595" t="s">
        <v>4446</v>
      </c>
      <c r="B4595" t="str">
        <f>"300807"</f>
        <v>300807</v>
      </c>
      <c r="C4595" t="s">
        <v>9232</v>
      </c>
      <c r="D4595" t="s">
        <v>212</v>
      </c>
      <c r="F4595">
        <v>-117971621</v>
      </c>
      <c r="G4595">
        <v>-71622063</v>
      </c>
      <c r="H4595">
        <v>-39846426</v>
      </c>
      <c r="I4595">
        <v>18007018</v>
      </c>
      <c r="J4595">
        <v>7549272</v>
      </c>
      <c r="K4595">
        <v>-46328775</v>
      </c>
      <c r="P4595">
        <v>103</v>
      </c>
      <c r="Q4595" t="s">
        <v>9233</v>
      </c>
    </row>
    <row r="4596" spans="1:17" x14ac:dyDescent="0.3">
      <c r="A4596" t="s">
        <v>4446</v>
      </c>
      <c r="B4596" t="str">
        <f>"300808"</f>
        <v>300808</v>
      </c>
      <c r="C4596" t="s">
        <v>9234</v>
      </c>
      <c r="D4596" t="s">
        <v>150</v>
      </c>
      <c r="F4596">
        <v>-116537476</v>
      </c>
      <c r="G4596">
        <v>-89673339</v>
      </c>
      <c r="H4596">
        <v>-119312674</v>
      </c>
      <c r="I4596">
        <v>-21805863</v>
      </c>
      <c r="J4596">
        <v>23437899</v>
      </c>
      <c r="K4596">
        <v>35901063</v>
      </c>
      <c r="P4596">
        <v>55</v>
      </c>
      <c r="Q4596" t="s">
        <v>9235</v>
      </c>
    </row>
    <row r="4597" spans="1:17" x14ac:dyDescent="0.3">
      <c r="A4597" t="s">
        <v>4446</v>
      </c>
      <c r="B4597" t="str">
        <f>"300809"</f>
        <v>300809</v>
      </c>
      <c r="C4597" t="s">
        <v>9236</v>
      </c>
      <c r="D4597" t="s">
        <v>78</v>
      </c>
      <c r="F4597">
        <v>15979669</v>
      </c>
      <c r="G4597">
        <v>83795052</v>
      </c>
      <c r="H4597">
        <v>110841861</v>
      </c>
      <c r="I4597">
        <v>40775089</v>
      </c>
      <c r="J4597">
        <v>163457886</v>
      </c>
      <c r="K4597">
        <v>-4897607</v>
      </c>
      <c r="P4597">
        <v>110</v>
      </c>
      <c r="Q4597" t="s">
        <v>9237</v>
      </c>
    </row>
    <row r="4598" spans="1:17" x14ac:dyDescent="0.3">
      <c r="A4598" t="s">
        <v>4446</v>
      </c>
      <c r="B4598" t="str">
        <f>"300810"</f>
        <v>300810</v>
      </c>
      <c r="C4598" t="s">
        <v>9238</v>
      </c>
      <c r="D4598" t="s">
        <v>92</v>
      </c>
      <c r="F4598">
        <v>-103861501</v>
      </c>
      <c r="G4598">
        <v>-102816718</v>
      </c>
      <c r="H4598">
        <v>2136441</v>
      </c>
      <c r="I4598">
        <v>29484836</v>
      </c>
      <c r="J4598">
        <v>40727284</v>
      </c>
      <c r="K4598">
        <v>-43990107</v>
      </c>
      <c r="P4598">
        <v>57</v>
      </c>
      <c r="Q4598" t="s">
        <v>9239</v>
      </c>
    </row>
    <row r="4599" spans="1:17" x14ac:dyDescent="0.3">
      <c r="A4599" t="s">
        <v>4446</v>
      </c>
      <c r="B4599" t="str">
        <f>"300811"</f>
        <v>300811</v>
      </c>
      <c r="C4599" t="s">
        <v>9240</v>
      </c>
      <c r="D4599" t="s">
        <v>234</v>
      </c>
      <c r="F4599">
        <v>-147559339</v>
      </c>
      <c r="G4599">
        <v>-46515789</v>
      </c>
      <c r="H4599">
        <v>32283017</v>
      </c>
      <c r="I4599">
        <v>-7814081</v>
      </c>
      <c r="J4599">
        <v>-22206857</v>
      </c>
      <c r="K4599">
        <v>-6994115</v>
      </c>
      <c r="P4599">
        <v>163</v>
      </c>
      <c r="Q4599" t="s">
        <v>9241</v>
      </c>
    </row>
    <row r="4600" spans="1:17" x14ac:dyDescent="0.3">
      <c r="A4600" t="s">
        <v>4446</v>
      </c>
      <c r="B4600" t="str">
        <f>"300812"</f>
        <v>300812</v>
      </c>
      <c r="C4600" t="s">
        <v>9242</v>
      </c>
      <c r="D4600" t="s">
        <v>150</v>
      </c>
      <c r="F4600">
        <v>-75557857</v>
      </c>
      <c r="G4600">
        <v>-162171504</v>
      </c>
      <c r="H4600">
        <v>70938361</v>
      </c>
      <c r="I4600">
        <v>39072861</v>
      </c>
      <c r="J4600">
        <v>30501992</v>
      </c>
      <c r="K4600">
        <v>23169765</v>
      </c>
      <c r="P4600">
        <v>111</v>
      </c>
      <c r="Q4600" t="s">
        <v>9243</v>
      </c>
    </row>
    <row r="4601" spans="1:17" x14ac:dyDescent="0.3">
      <c r="A4601" t="s">
        <v>4446</v>
      </c>
      <c r="B4601" t="str">
        <f>"300813"</f>
        <v>300813</v>
      </c>
      <c r="C4601" t="s">
        <v>9244</v>
      </c>
      <c r="D4601" t="s">
        <v>78</v>
      </c>
      <c r="F4601">
        <v>10128366</v>
      </c>
      <c r="G4601">
        <v>99281554</v>
      </c>
      <c r="H4601">
        <v>6674801</v>
      </c>
      <c r="I4601">
        <v>-4936652</v>
      </c>
      <c r="J4601">
        <v>-3498748</v>
      </c>
      <c r="K4601">
        <v>17335872</v>
      </c>
      <c r="P4601">
        <v>106</v>
      </c>
      <c r="Q4601" t="s">
        <v>9245</v>
      </c>
    </row>
    <row r="4602" spans="1:17" x14ac:dyDescent="0.3">
      <c r="A4602" t="s">
        <v>4446</v>
      </c>
      <c r="B4602" t="str">
        <f>"300814"</f>
        <v>300814</v>
      </c>
      <c r="C4602" t="s">
        <v>9246</v>
      </c>
      <c r="D4602" t="s">
        <v>150</v>
      </c>
      <c r="F4602">
        <v>-93316718</v>
      </c>
      <c r="G4602">
        <v>-24206256</v>
      </c>
      <c r="H4602">
        <v>21843018</v>
      </c>
      <c r="I4602">
        <v>39494438</v>
      </c>
      <c r="J4602">
        <v>30241738</v>
      </c>
      <c r="P4602">
        <v>14</v>
      </c>
      <c r="Q4602" t="s">
        <v>9247</v>
      </c>
    </row>
    <row r="4603" spans="1:17" x14ac:dyDescent="0.3">
      <c r="A4603" t="s">
        <v>4446</v>
      </c>
      <c r="B4603" t="str">
        <f>"300815"</f>
        <v>300815</v>
      </c>
      <c r="C4603" t="s">
        <v>9248</v>
      </c>
      <c r="D4603" t="s">
        <v>33</v>
      </c>
      <c r="F4603">
        <v>159981847</v>
      </c>
      <c r="G4603">
        <v>137493091</v>
      </c>
      <c r="H4603">
        <v>156139888</v>
      </c>
      <c r="I4603">
        <v>-150744467</v>
      </c>
      <c r="J4603">
        <v>-58113940</v>
      </c>
      <c r="K4603">
        <v>-23142173</v>
      </c>
      <c r="P4603">
        <v>345</v>
      </c>
      <c r="Q4603" t="s">
        <v>9249</v>
      </c>
    </row>
    <row r="4604" spans="1:17" x14ac:dyDescent="0.3">
      <c r="A4604" t="s">
        <v>4446</v>
      </c>
      <c r="B4604" t="str">
        <f>"300816"</f>
        <v>300816</v>
      </c>
      <c r="C4604" t="s">
        <v>9250</v>
      </c>
      <c r="D4604" t="s">
        <v>27</v>
      </c>
      <c r="F4604">
        <v>-57520876</v>
      </c>
      <c r="G4604">
        <v>-40334803</v>
      </c>
      <c r="H4604">
        <v>64456579</v>
      </c>
      <c r="I4604">
        <v>45532182</v>
      </c>
      <c r="J4604">
        <v>-14609829</v>
      </c>
      <c r="K4604">
        <v>-27041941</v>
      </c>
      <c r="P4604">
        <v>151</v>
      </c>
      <c r="Q4604" t="s">
        <v>9251</v>
      </c>
    </row>
    <row r="4605" spans="1:17" x14ac:dyDescent="0.3">
      <c r="A4605" t="s">
        <v>4446</v>
      </c>
      <c r="B4605" t="str">
        <f>"300817"</f>
        <v>300817</v>
      </c>
      <c r="C4605" t="s">
        <v>9252</v>
      </c>
      <c r="D4605" t="s">
        <v>78</v>
      </c>
      <c r="F4605">
        <v>-56469102</v>
      </c>
      <c r="G4605">
        <v>-54115280</v>
      </c>
      <c r="H4605">
        <v>42057631</v>
      </c>
      <c r="I4605">
        <v>37832090</v>
      </c>
      <c r="J4605">
        <v>22952947</v>
      </c>
      <c r="K4605">
        <v>15081124</v>
      </c>
      <c r="P4605">
        <v>63</v>
      </c>
      <c r="Q4605" t="s">
        <v>9253</v>
      </c>
    </row>
    <row r="4606" spans="1:17" x14ac:dyDescent="0.3">
      <c r="A4606" t="s">
        <v>4446</v>
      </c>
      <c r="B4606" t="str">
        <f>"300818"</f>
        <v>300818</v>
      </c>
      <c r="C4606" t="s">
        <v>9254</v>
      </c>
      <c r="D4606" t="s">
        <v>78</v>
      </c>
      <c r="F4606">
        <v>-362879162</v>
      </c>
      <c r="G4606">
        <v>294532263</v>
      </c>
      <c r="H4606">
        <v>3480354</v>
      </c>
      <c r="I4606">
        <v>20488081</v>
      </c>
      <c r="J4606">
        <v>27052505</v>
      </c>
      <c r="K4606">
        <v>38625226</v>
      </c>
      <c r="P4606">
        <v>92</v>
      </c>
      <c r="Q4606" t="s">
        <v>9255</v>
      </c>
    </row>
    <row r="4607" spans="1:17" x14ac:dyDescent="0.3">
      <c r="A4607" t="s">
        <v>4446</v>
      </c>
      <c r="B4607" t="str">
        <f>"300819"</f>
        <v>300819</v>
      </c>
      <c r="C4607" t="s">
        <v>9256</v>
      </c>
      <c r="D4607" t="s">
        <v>227</v>
      </c>
      <c r="F4607">
        <v>-125837279</v>
      </c>
      <c r="G4607">
        <v>12179597</v>
      </c>
      <c r="H4607">
        <v>45530143</v>
      </c>
      <c r="I4607">
        <v>30846758</v>
      </c>
      <c r="J4607">
        <v>51328058</v>
      </c>
      <c r="K4607">
        <v>60683257</v>
      </c>
      <c r="P4607">
        <v>51</v>
      </c>
      <c r="Q4607" t="s">
        <v>9257</v>
      </c>
    </row>
    <row r="4608" spans="1:17" x14ac:dyDescent="0.3">
      <c r="A4608" t="s">
        <v>4446</v>
      </c>
      <c r="B4608" t="str">
        <f>"300820"</f>
        <v>300820</v>
      </c>
      <c r="C4608" t="s">
        <v>9258</v>
      </c>
      <c r="D4608" t="s">
        <v>188</v>
      </c>
      <c r="F4608">
        <v>-56692551</v>
      </c>
      <c r="G4608">
        <v>43541871</v>
      </c>
      <c r="H4608">
        <v>76487488</v>
      </c>
      <c r="I4608">
        <v>75397818</v>
      </c>
      <c r="J4608">
        <v>30710626</v>
      </c>
      <c r="K4608">
        <v>36512801</v>
      </c>
      <c r="P4608">
        <v>369</v>
      </c>
      <c r="Q4608" t="s">
        <v>9259</v>
      </c>
    </row>
    <row r="4609" spans="1:17" x14ac:dyDescent="0.3">
      <c r="A4609" t="s">
        <v>4446</v>
      </c>
      <c r="B4609" t="str">
        <f>"300821"</f>
        <v>300821</v>
      </c>
      <c r="C4609" t="s">
        <v>9260</v>
      </c>
      <c r="D4609" t="s">
        <v>133</v>
      </c>
      <c r="F4609">
        <v>-568000575</v>
      </c>
      <c r="G4609">
        <v>40242397</v>
      </c>
      <c r="H4609">
        <v>475548454</v>
      </c>
      <c r="I4609">
        <v>711172930</v>
      </c>
      <c r="J4609">
        <v>361390394</v>
      </c>
      <c r="P4609">
        <v>159</v>
      </c>
      <c r="Q4609" t="s">
        <v>9261</v>
      </c>
    </row>
    <row r="4610" spans="1:17" x14ac:dyDescent="0.3">
      <c r="A4610" t="s">
        <v>4446</v>
      </c>
      <c r="B4610" t="str">
        <f>"300822"</f>
        <v>300822</v>
      </c>
      <c r="C4610" t="s">
        <v>9262</v>
      </c>
      <c r="D4610" t="s">
        <v>150</v>
      </c>
      <c r="F4610">
        <v>-358506786</v>
      </c>
      <c r="G4610">
        <v>59022503</v>
      </c>
      <c r="H4610">
        <v>116862510</v>
      </c>
      <c r="I4610">
        <v>-9012351</v>
      </c>
      <c r="J4610">
        <v>29336333</v>
      </c>
      <c r="P4610">
        <v>131</v>
      </c>
      <c r="Q4610" t="s">
        <v>9263</v>
      </c>
    </row>
    <row r="4611" spans="1:17" x14ac:dyDescent="0.3">
      <c r="A4611" t="s">
        <v>4446</v>
      </c>
      <c r="B4611" t="str">
        <f>"300823"</f>
        <v>300823</v>
      </c>
      <c r="C4611" t="s">
        <v>9264</v>
      </c>
      <c r="D4611" t="s">
        <v>78</v>
      </c>
      <c r="F4611">
        <v>-8382220</v>
      </c>
      <c r="G4611">
        <v>5218833</v>
      </c>
      <c r="H4611">
        <v>84259938</v>
      </c>
      <c r="I4611">
        <v>25243571</v>
      </c>
      <c r="J4611">
        <v>58573150</v>
      </c>
      <c r="P4611">
        <v>109</v>
      </c>
      <c r="Q4611" t="s">
        <v>9265</v>
      </c>
    </row>
    <row r="4612" spans="1:17" x14ac:dyDescent="0.3">
      <c r="A4612" t="s">
        <v>4446</v>
      </c>
      <c r="B4612" t="str">
        <f>"300824"</f>
        <v>300824</v>
      </c>
      <c r="C4612" t="s">
        <v>9266</v>
      </c>
      <c r="D4612" t="s">
        <v>126</v>
      </c>
      <c r="F4612">
        <v>27611669</v>
      </c>
      <c r="G4612">
        <v>74881402</v>
      </c>
      <c r="H4612">
        <v>73000242</v>
      </c>
      <c r="I4612">
        <v>43739396</v>
      </c>
      <c r="J4612">
        <v>29423143</v>
      </c>
      <c r="K4612">
        <v>66518651</v>
      </c>
      <c r="P4612">
        <v>167</v>
      </c>
      <c r="Q4612" t="s">
        <v>9267</v>
      </c>
    </row>
    <row r="4613" spans="1:17" x14ac:dyDescent="0.3">
      <c r="A4613" t="s">
        <v>4446</v>
      </c>
      <c r="B4613" t="str">
        <f>"300825"</f>
        <v>300825</v>
      </c>
      <c r="C4613" t="s">
        <v>9268</v>
      </c>
      <c r="D4613" t="s">
        <v>27</v>
      </c>
      <c r="F4613">
        <v>28096954</v>
      </c>
      <c r="G4613">
        <v>-61179170</v>
      </c>
      <c r="H4613">
        <v>-24468533</v>
      </c>
      <c r="I4613">
        <v>16972591</v>
      </c>
      <c r="J4613">
        <v>31044773</v>
      </c>
      <c r="P4613">
        <v>93</v>
      </c>
      <c r="Q4613" t="s">
        <v>9269</v>
      </c>
    </row>
    <row r="4614" spans="1:17" x14ac:dyDescent="0.3">
      <c r="A4614" t="s">
        <v>4446</v>
      </c>
      <c r="B4614" t="str">
        <f>"300826"</f>
        <v>300826</v>
      </c>
      <c r="C4614" t="s">
        <v>9270</v>
      </c>
      <c r="D4614" t="s">
        <v>95</v>
      </c>
      <c r="F4614">
        <v>107585233</v>
      </c>
      <c r="G4614">
        <v>48547371</v>
      </c>
      <c r="H4614">
        <v>33029309</v>
      </c>
      <c r="I4614">
        <v>43556966</v>
      </c>
      <c r="J4614">
        <v>66280595</v>
      </c>
      <c r="P4614">
        <v>61</v>
      </c>
      <c r="Q4614" t="s">
        <v>9271</v>
      </c>
    </row>
    <row r="4615" spans="1:17" x14ac:dyDescent="0.3">
      <c r="A4615" t="s">
        <v>4446</v>
      </c>
      <c r="B4615" t="str">
        <f>"300827"</f>
        <v>300827</v>
      </c>
      <c r="C4615" t="s">
        <v>9272</v>
      </c>
      <c r="D4615" t="s">
        <v>188</v>
      </c>
      <c r="F4615">
        <v>-24783503</v>
      </c>
      <c r="G4615">
        <v>-19555445</v>
      </c>
      <c r="H4615">
        <v>82783903</v>
      </c>
      <c r="I4615">
        <v>150181139</v>
      </c>
      <c r="J4615">
        <v>24079356</v>
      </c>
      <c r="P4615">
        <v>233</v>
      </c>
      <c r="Q4615" t="s">
        <v>9273</v>
      </c>
    </row>
    <row r="4616" spans="1:17" x14ac:dyDescent="0.3">
      <c r="A4616" t="s">
        <v>4446</v>
      </c>
      <c r="B4616" t="str">
        <f>"300828"</f>
        <v>300828</v>
      </c>
      <c r="C4616" t="s">
        <v>9274</v>
      </c>
      <c r="D4616" t="s">
        <v>78</v>
      </c>
      <c r="F4616">
        <v>-14005644</v>
      </c>
      <c r="G4616">
        <v>41308353</v>
      </c>
      <c r="H4616">
        <v>-55667616</v>
      </c>
      <c r="I4616">
        <v>-27752200</v>
      </c>
      <c r="J4616">
        <v>1155034</v>
      </c>
      <c r="P4616">
        <v>92</v>
      </c>
      <c r="Q4616" t="s">
        <v>9275</v>
      </c>
    </row>
    <row r="4617" spans="1:17" x14ac:dyDescent="0.3">
      <c r="A4617" t="s">
        <v>4446</v>
      </c>
      <c r="B4617" t="str">
        <f>"300829"</f>
        <v>300829</v>
      </c>
      <c r="C4617" t="s">
        <v>9276</v>
      </c>
      <c r="D4617" t="s">
        <v>133</v>
      </c>
      <c r="F4617">
        <v>-294600926</v>
      </c>
      <c r="G4617">
        <v>19598936</v>
      </c>
      <c r="H4617">
        <v>-22880482</v>
      </c>
      <c r="I4617">
        <v>-36910364</v>
      </c>
      <c r="J4617">
        <v>8956448</v>
      </c>
      <c r="P4617">
        <v>126</v>
      </c>
      <c r="Q4617" t="s">
        <v>9277</v>
      </c>
    </row>
    <row r="4618" spans="1:17" x14ac:dyDescent="0.3">
      <c r="A4618" t="s">
        <v>4446</v>
      </c>
      <c r="B4618" t="str">
        <f>"300830"</f>
        <v>300830</v>
      </c>
      <c r="C4618" t="s">
        <v>9278</v>
      </c>
      <c r="D4618" t="s">
        <v>212</v>
      </c>
      <c r="F4618">
        <v>45226054</v>
      </c>
      <c r="G4618">
        <v>-61919221</v>
      </c>
      <c r="H4618">
        <v>-57290951</v>
      </c>
      <c r="I4618">
        <v>61734453</v>
      </c>
      <c r="J4618">
        <v>3889511</v>
      </c>
      <c r="K4618">
        <v>7517223</v>
      </c>
      <c r="P4618">
        <v>74</v>
      </c>
      <c r="Q4618" t="s">
        <v>9279</v>
      </c>
    </row>
    <row r="4619" spans="1:17" x14ac:dyDescent="0.3">
      <c r="A4619" t="s">
        <v>4446</v>
      </c>
      <c r="B4619" t="str">
        <f>"300831"</f>
        <v>300831</v>
      </c>
      <c r="C4619" t="s">
        <v>9280</v>
      </c>
      <c r="D4619" t="s">
        <v>150</v>
      </c>
      <c r="F4619">
        <v>-3691722</v>
      </c>
      <c r="G4619">
        <v>125495563</v>
      </c>
      <c r="H4619">
        <v>82638571</v>
      </c>
      <c r="I4619">
        <v>108848398</v>
      </c>
      <c r="J4619">
        <v>93698032</v>
      </c>
      <c r="P4619">
        <v>129</v>
      </c>
      <c r="Q4619" t="s">
        <v>9281</v>
      </c>
    </row>
    <row r="4620" spans="1:17" x14ac:dyDescent="0.3">
      <c r="A4620" t="s">
        <v>4446</v>
      </c>
      <c r="B4620" t="str">
        <f>"300832"</f>
        <v>300832</v>
      </c>
      <c r="C4620" t="s">
        <v>9282</v>
      </c>
      <c r="D4620" t="s">
        <v>113</v>
      </c>
      <c r="F4620">
        <v>430522654</v>
      </c>
      <c r="G4620">
        <v>723615140</v>
      </c>
      <c r="H4620">
        <v>505028859</v>
      </c>
      <c r="I4620">
        <v>417978218</v>
      </c>
      <c r="J4620">
        <v>348557120</v>
      </c>
      <c r="P4620">
        <v>515</v>
      </c>
      <c r="Q4620" t="s">
        <v>9283</v>
      </c>
    </row>
    <row r="4621" spans="1:17" x14ac:dyDescent="0.3">
      <c r="A4621" t="s">
        <v>4446</v>
      </c>
      <c r="B4621" t="str">
        <f>"300833"</f>
        <v>300833</v>
      </c>
      <c r="C4621" t="s">
        <v>9284</v>
      </c>
      <c r="D4621" t="s">
        <v>78</v>
      </c>
      <c r="F4621">
        <v>27549142</v>
      </c>
      <c r="G4621">
        <v>41969424</v>
      </c>
      <c r="H4621">
        <v>131902847</v>
      </c>
      <c r="I4621">
        <v>120235173</v>
      </c>
      <c r="J4621">
        <v>49405223</v>
      </c>
      <c r="P4621">
        <v>89</v>
      </c>
      <c r="Q4621" t="s">
        <v>9285</v>
      </c>
    </row>
    <row r="4622" spans="1:17" x14ac:dyDescent="0.3">
      <c r="A4622" t="s">
        <v>4446</v>
      </c>
      <c r="B4622" t="str">
        <f>"300834"</f>
        <v>300834</v>
      </c>
      <c r="C4622" t="s">
        <v>9286</v>
      </c>
      <c r="D4622" t="s">
        <v>133</v>
      </c>
      <c r="F4622">
        <v>87277003</v>
      </c>
      <c r="G4622">
        <v>181456961</v>
      </c>
      <c r="H4622">
        <v>-68872867</v>
      </c>
      <c r="I4622">
        <v>82128689</v>
      </c>
      <c r="J4622">
        <v>-64971005</v>
      </c>
      <c r="P4622">
        <v>19</v>
      </c>
      <c r="Q4622" t="s">
        <v>9287</v>
      </c>
    </row>
    <row r="4623" spans="1:17" x14ac:dyDescent="0.3">
      <c r="A4623" t="s">
        <v>4446</v>
      </c>
      <c r="B4623" t="str">
        <f>"300835"</f>
        <v>300835</v>
      </c>
      <c r="C4623" t="s">
        <v>9288</v>
      </c>
      <c r="D4623" t="s">
        <v>234</v>
      </c>
      <c r="F4623">
        <v>-54459979</v>
      </c>
      <c r="G4623">
        <v>-29902311</v>
      </c>
      <c r="H4623">
        <v>1493669</v>
      </c>
      <c r="I4623">
        <v>13129421</v>
      </c>
      <c r="J4623">
        <v>17484634</v>
      </c>
      <c r="P4623">
        <v>68</v>
      </c>
      <c r="Q4623" t="s">
        <v>9289</v>
      </c>
    </row>
    <row r="4624" spans="1:17" x14ac:dyDescent="0.3">
      <c r="A4624" t="s">
        <v>4446</v>
      </c>
      <c r="B4624" t="str">
        <f>"300836"</f>
        <v>300836</v>
      </c>
      <c r="C4624" t="s">
        <v>9290</v>
      </c>
      <c r="D4624" t="s">
        <v>78</v>
      </c>
      <c r="F4624">
        <v>-159592057</v>
      </c>
      <c r="G4624">
        <v>-64592736</v>
      </c>
      <c r="H4624">
        <v>-23689297</v>
      </c>
      <c r="I4624">
        <v>29725872</v>
      </c>
      <c r="J4624">
        <v>-32359552</v>
      </c>
      <c r="P4624">
        <v>61</v>
      </c>
      <c r="Q4624" t="s">
        <v>9291</v>
      </c>
    </row>
    <row r="4625" spans="1:17" x14ac:dyDescent="0.3">
      <c r="A4625" t="s">
        <v>4446</v>
      </c>
      <c r="B4625" t="str">
        <f>"300837"</f>
        <v>300837</v>
      </c>
      <c r="C4625" t="s">
        <v>9292</v>
      </c>
      <c r="D4625" t="s">
        <v>78</v>
      </c>
      <c r="F4625">
        <v>-8190184</v>
      </c>
      <c r="G4625">
        <v>37035333</v>
      </c>
      <c r="H4625">
        <v>40725504</v>
      </c>
      <c r="I4625">
        <v>57479448</v>
      </c>
      <c r="J4625">
        <v>54962454</v>
      </c>
      <c r="P4625">
        <v>155</v>
      </c>
      <c r="Q4625" t="s">
        <v>9293</v>
      </c>
    </row>
    <row r="4626" spans="1:17" x14ac:dyDescent="0.3">
      <c r="A4626" t="s">
        <v>4446</v>
      </c>
      <c r="B4626" t="str">
        <f>"300838"</f>
        <v>300838</v>
      </c>
      <c r="C4626" t="s">
        <v>9294</v>
      </c>
      <c r="D4626" t="s">
        <v>78</v>
      </c>
      <c r="F4626">
        <v>-65303118</v>
      </c>
      <c r="G4626">
        <v>-2264399</v>
      </c>
      <c r="H4626">
        <v>8432001</v>
      </c>
      <c r="I4626">
        <v>32632748</v>
      </c>
      <c r="J4626">
        <v>31921179</v>
      </c>
      <c r="P4626">
        <v>39</v>
      </c>
      <c r="Q4626" t="s">
        <v>9295</v>
      </c>
    </row>
    <row r="4627" spans="1:17" x14ac:dyDescent="0.3">
      <c r="A4627" t="s">
        <v>4446</v>
      </c>
      <c r="B4627" t="str">
        <f>"300839"</f>
        <v>300839</v>
      </c>
      <c r="C4627" t="s">
        <v>9296</v>
      </c>
      <c r="D4627" t="s">
        <v>70</v>
      </c>
      <c r="F4627">
        <v>-57613647</v>
      </c>
      <c r="G4627">
        <v>-286367781</v>
      </c>
      <c r="H4627">
        <v>-342917129</v>
      </c>
      <c r="I4627">
        <v>-117444147</v>
      </c>
      <c r="J4627">
        <v>68514329</v>
      </c>
      <c r="P4627">
        <v>58</v>
      </c>
      <c r="Q4627" t="s">
        <v>9297</v>
      </c>
    </row>
    <row r="4628" spans="1:17" x14ac:dyDescent="0.3">
      <c r="A4628" t="s">
        <v>4446</v>
      </c>
      <c r="B4628" t="str">
        <f>"300840"</f>
        <v>300840</v>
      </c>
      <c r="C4628" t="s">
        <v>9298</v>
      </c>
      <c r="D4628" t="s">
        <v>227</v>
      </c>
      <c r="F4628">
        <v>43926295</v>
      </c>
      <c r="G4628">
        <v>-69178725</v>
      </c>
      <c r="H4628">
        <v>62897041</v>
      </c>
      <c r="I4628">
        <v>16995386</v>
      </c>
      <c r="J4628">
        <v>78561635</v>
      </c>
      <c r="K4628">
        <v>-13253957</v>
      </c>
      <c r="P4628">
        <v>64</v>
      </c>
      <c r="Q4628" t="s">
        <v>9299</v>
      </c>
    </row>
    <row r="4629" spans="1:17" x14ac:dyDescent="0.3">
      <c r="A4629" t="s">
        <v>4446</v>
      </c>
      <c r="B4629" t="str">
        <f>"300841"</f>
        <v>300841</v>
      </c>
      <c r="C4629" t="s">
        <v>9300</v>
      </c>
      <c r="D4629" t="s">
        <v>113</v>
      </c>
      <c r="F4629">
        <v>-184603673</v>
      </c>
      <c r="G4629">
        <v>233943904</v>
      </c>
      <c r="H4629">
        <v>158760638</v>
      </c>
      <c r="I4629">
        <v>22778184</v>
      </c>
      <c r="J4629">
        <v>85573127</v>
      </c>
      <c r="K4629">
        <v>787880</v>
      </c>
      <c r="P4629">
        <v>314</v>
      </c>
      <c r="Q4629" t="s">
        <v>9301</v>
      </c>
    </row>
    <row r="4630" spans="1:17" x14ac:dyDescent="0.3">
      <c r="A4630" t="s">
        <v>4446</v>
      </c>
      <c r="B4630" t="str">
        <f>"300842"</f>
        <v>300842</v>
      </c>
      <c r="C4630" t="s">
        <v>9302</v>
      </c>
      <c r="D4630" t="s">
        <v>188</v>
      </c>
      <c r="F4630">
        <v>-344602549</v>
      </c>
      <c r="G4630">
        <v>-555449834</v>
      </c>
      <c r="H4630">
        <v>52164968</v>
      </c>
      <c r="I4630">
        <v>33907976</v>
      </c>
      <c r="J4630">
        <v>-325067989</v>
      </c>
      <c r="K4630">
        <v>-27605453</v>
      </c>
      <c r="P4630">
        <v>131</v>
      </c>
      <c r="Q4630" t="s">
        <v>9303</v>
      </c>
    </row>
    <row r="4631" spans="1:17" x14ac:dyDescent="0.3">
      <c r="A4631" t="s">
        <v>4446</v>
      </c>
      <c r="B4631" t="str">
        <f>"300843"</f>
        <v>300843</v>
      </c>
      <c r="C4631" t="s">
        <v>9304</v>
      </c>
      <c r="D4631" t="s">
        <v>150</v>
      </c>
      <c r="F4631">
        <v>-96980913</v>
      </c>
      <c r="G4631">
        <v>-47694746</v>
      </c>
      <c r="H4631">
        <v>34001431</v>
      </c>
      <c r="I4631">
        <v>29752525</v>
      </c>
      <c r="J4631">
        <v>7720904</v>
      </c>
      <c r="K4631">
        <v>19566356</v>
      </c>
      <c r="P4631">
        <v>80</v>
      </c>
      <c r="Q4631" t="s">
        <v>9305</v>
      </c>
    </row>
    <row r="4632" spans="1:17" x14ac:dyDescent="0.3">
      <c r="A4632" t="s">
        <v>4446</v>
      </c>
      <c r="B4632" t="str">
        <f>"300844"</f>
        <v>300844</v>
      </c>
      <c r="C4632" t="s">
        <v>9306</v>
      </c>
      <c r="D4632" t="s">
        <v>95</v>
      </c>
      <c r="F4632">
        <v>-118087905</v>
      </c>
      <c r="G4632">
        <v>64679857</v>
      </c>
      <c r="H4632">
        <v>21726505</v>
      </c>
      <c r="I4632">
        <v>33695526</v>
      </c>
      <c r="J4632">
        <v>42222141</v>
      </c>
      <c r="P4632">
        <v>16</v>
      </c>
      <c r="Q4632" t="s">
        <v>9307</v>
      </c>
    </row>
    <row r="4633" spans="1:17" x14ac:dyDescent="0.3">
      <c r="A4633" t="s">
        <v>4446</v>
      </c>
      <c r="B4633" t="str">
        <f>"300845"</f>
        <v>300845</v>
      </c>
      <c r="C4633" t="s">
        <v>9308</v>
      </c>
      <c r="D4633" t="s">
        <v>212</v>
      </c>
      <c r="F4633">
        <v>-36098620</v>
      </c>
      <c r="G4633">
        <v>-50628517</v>
      </c>
      <c r="H4633">
        <v>46649240</v>
      </c>
      <c r="I4633">
        <v>37644661</v>
      </c>
      <c r="J4633">
        <v>-2585939</v>
      </c>
      <c r="K4633">
        <v>9342642</v>
      </c>
      <c r="P4633">
        <v>83</v>
      </c>
      <c r="Q4633" t="s">
        <v>9309</v>
      </c>
    </row>
    <row r="4634" spans="1:17" x14ac:dyDescent="0.3">
      <c r="A4634" t="s">
        <v>4446</v>
      </c>
      <c r="B4634" t="str">
        <f>"300846"</f>
        <v>300846</v>
      </c>
      <c r="C4634" t="s">
        <v>9310</v>
      </c>
      <c r="D4634" t="s">
        <v>212</v>
      </c>
      <c r="F4634">
        <v>-347873513</v>
      </c>
      <c r="G4634">
        <v>-248928654</v>
      </c>
      <c r="H4634">
        <v>-58005870</v>
      </c>
      <c r="I4634">
        <v>-19743788</v>
      </c>
      <c r="J4634">
        <v>37284012</v>
      </c>
      <c r="K4634">
        <v>-3869225</v>
      </c>
      <c r="P4634">
        <v>78</v>
      </c>
      <c r="Q4634" t="s">
        <v>9311</v>
      </c>
    </row>
    <row r="4635" spans="1:17" x14ac:dyDescent="0.3">
      <c r="A4635" t="s">
        <v>4446</v>
      </c>
      <c r="B4635" t="str">
        <f>"300847"</f>
        <v>300847</v>
      </c>
      <c r="C4635" t="s">
        <v>9312</v>
      </c>
      <c r="D4635" t="s">
        <v>133</v>
      </c>
      <c r="F4635">
        <v>52196257</v>
      </c>
      <c r="G4635">
        <v>68840020</v>
      </c>
      <c r="H4635">
        <v>55966620</v>
      </c>
      <c r="I4635">
        <v>67951339</v>
      </c>
      <c r="J4635">
        <v>-11958615</v>
      </c>
      <c r="K4635">
        <v>51506393</v>
      </c>
      <c r="P4635">
        <v>53</v>
      </c>
      <c r="Q4635" t="s">
        <v>9313</v>
      </c>
    </row>
    <row r="4636" spans="1:17" x14ac:dyDescent="0.3">
      <c r="A4636" t="s">
        <v>4446</v>
      </c>
      <c r="B4636" t="str">
        <f>"300848"</f>
        <v>300848</v>
      </c>
      <c r="C4636" t="s">
        <v>9314</v>
      </c>
      <c r="D4636" t="s">
        <v>133</v>
      </c>
      <c r="F4636">
        <v>-41014530</v>
      </c>
      <c r="G4636">
        <v>99951456</v>
      </c>
      <c r="H4636">
        <v>62283866</v>
      </c>
      <c r="I4636">
        <v>-33895345</v>
      </c>
      <c r="J4636">
        <v>76348998</v>
      </c>
      <c r="K4636">
        <v>64486397</v>
      </c>
      <c r="P4636">
        <v>125</v>
      </c>
      <c r="Q4636" t="s">
        <v>9315</v>
      </c>
    </row>
    <row r="4637" spans="1:17" x14ac:dyDescent="0.3">
      <c r="A4637" t="s">
        <v>4446</v>
      </c>
      <c r="B4637" t="str">
        <f>"300849"</f>
        <v>300849</v>
      </c>
      <c r="C4637" t="s">
        <v>9316</v>
      </c>
      <c r="D4637" t="s">
        <v>481</v>
      </c>
      <c r="F4637">
        <v>-99955468</v>
      </c>
      <c r="G4637">
        <v>-55421764</v>
      </c>
      <c r="H4637">
        <v>40275812</v>
      </c>
      <c r="I4637">
        <v>22639840</v>
      </c>
      <c r="J4637">
        <v>27648682</v>
      </c>
      <c r="K4637">
        <v>32377629</v>
      </c>
      <c r="P4637">
        <v>44</v>
      </c>
      <c r="Q4637" t="s">
        <v>9317</v>
      </c>
    </row>
    <row r="4638" spans="1:17" x14ac:dyDescent="0.3">
      <c r="A4638" t="s">
        <v>4446</v>
      </c>
      <c r="B4638" t="str">
        <f>"300850"</f>
        <v>300850</v>
      </c>
      <c r="C4638" t="s">
        <v>9318</v>
      </c>
      <c r="D4638" t="s">
        <v>188</v>
      </c>
      <c r="F4638">
        <v>-913285864</v>
      </c>
      <c r="G4638">
        <v>-69041118</v>
      </c>
      <c r="H4638">
        <v>-35326959</v>
      </c>
      <c r="I4638">
        <v>11424939</v>
      </c>
      <c r="J4638">
        <v>31028353</v>
      </c>
      <c r="K4638">
        <v>-6672640</v>
      </c>
      <c r="P4638">
        <v>264</v>
      </c>
      <c r="Q4638" t="s">
        <v>9319</v>
      </c>
    </row>
    <row r="4639" spans="1:17" x14ac:dyDescent="0.3">
      <c r="A4639" t="s">
        <v>4446</v>
      </c>
      <c r="B4639" t="str">
        <f>"300851"</f>
        <v>300851</v>
      </c>
      <c r="C4639" t="s">
        <v>9320</v>
      </c>
      <c r="D4639" t="s">
        <v>78</v>
      </c>
      <c r="F4639">
        <v>-10393799</v>
      </c>
      <c r="G4639">
        <v>54712108</v>
      </c>
      <c r="H4639">
        <v>88113173</v>
      </c>
      <c r="I4639">
        <v>-22593811</v>
      </c>
      <c r="J4639">
        <v>118488326</v>
      </c>
      <c r="K4639">
        <v>51774538</v>
      </c>
      <c r="P4639">
        <v>45</v>
      </c>
      <c r="Q4639" t="s">
        <v>9321</v>
      </c>
    </row>
    <row r="4640" spans="1:17" x14ac:dyDescent="0.3">
      <c r="A4640" t="s">
        <v>4446</v>
      </c>
      <c r="B4640" t="str">
        <f>"300852"</f>
        <v>300852</v>
      </c>
      <c r="C4640" t="s">
        <v>9322</v>
      </c>
      <c r="D4640" t="s">
        <v>150</v>
      </c>
      <c r="F4640">
        <v>-142945028</v>
      </c>
      <c r="G4640">
        <v>23517869</v>
      </c>
      <c r="H4640">
        <v>32529730</v>
      </c>
      <c r="I4640">
        <v>2407629</v>
      </c>
      <c r="J4640">
        <v>7716715</v>
      </c>
      <c r="K4640">
        <v>10706784</v>
      </c>
      <c r="P4640">
        <v>104</v>
      </c>
      <c r="Q4640" t="s">
        <v>9323</v>
      </c>
    </row>
    <row r="4641" spans="1:17" x14ac:dyDescent="0.3">
      <c r="A4641" t="s">
        <v>4446</v>
      </c>
      <c r="B4641" t="str">
        <f>"300853"</f>
        <v>300853</v>
      </c>
      <c r="C4641" t="s">
        <v>9324</v>
      </c>
      <c r="D4641" t="s">
        <v>78</v>
      </c>
      <c r="F4641">
        <v>-150833233</v>
      </c>
      <c r="G4641">
        <v>-120692866</v>
      </c>
      <c r="H4641">
        <v>-35077751</v>
      </c>
      <c r="I4641">
        <v>-6087729</v>
      </c>
      <c r="J4641">
        <v>28836055</v>
      </c>
      <c r="K4641">
        <v>47556537</v>
      </c>
      <c r="P4641">
        <v>143</v>
      </c>
      <c r="Q4641" t="s">
        <v>9325</v>
      </c>
    </row>
    <row r="4642" spans="1:17" x14ac:dyDescent="0.3">
      <c r="A4642" t="s">
        <v>4446</v>
      </c>
      <c r="B4642" t="str">
        <f>"300854"</f>
        <v>300854</v>
      </c>
      <c r="C4642" t="s">
        <v>9326</v>
      </c>
      <c r="D4642" t="s">
        <v>33</v>
      </c>
      <c r="F4642">
        <v>-60534821</v>
      </c>
      <c r="G4642">
        <v>46348860</v>
      </c>
      <c r="H4642">
        <v>-13636325</v>
      </c>
      <c r="I4642">
        <v>8741430</v>
      </c>
      <c r="J4642">
        <v>-78431423</v>
      </c>
      <c r="P4642">
        <v>19</v>
      </c>
      <c r="Q4642" t="s">
        <v>9327</v>
      </c>
    </row>
    <row r="4643" spans="1:17" x14ac:dyDescent="0.3">
      <c r="A4643" t="s">
        <v>4446</v>
      </c>
      <c r="B4643" t="str">
        <f>"300855"</f>
        <v>300855</v>
      </c>
      <c r="C4643" t="s">
        <v>9328</v>
      </c>
      <c r="D4643" t="s">
        <v>234</v>
      </c>
      <c r="F4643">
        <v>-3816510</v>
      </c>
      <c r="G4643">
        <v>59600742</v>
      </c>
      <c r="H4643">
        <v>103766241</v>
      </c>
      <c r="I4643">
        <v>72599169</v>
      </c>
      <c r="J4643">
        <v>72013600</v>
      </c>
      <c r="K4643">
        <v>41368612</v>
      </c>
      <c r="P4643">
        <v>140</v>
      </c>
      <c r="Q4643" t="s">
        <v>9329</v>
      </c>
    </row>
    <row r="4644" spans="1:17" x14ac:dyDescent="0.3">
      <c r="A4644" t="s">
        <v>4446</v>
      </c>
      <c r="B4644" t="str">
        <f>"300856"</f>
        <v>300856</v>
      </c>
      <c r="C4644" t="s">
        <v>9330</v>
      </c>
      <c r="D4644" t="s">
        <v>481</v>
      </c>
      <c r="F4644">
        <v>-57398619</v>
      </c>
      <c r="G4644">
        <v>7792403</v>
      </c>
      <c r="H4644">
        <v>75393325</v>
      </c>
      <c r="I4644">
        <v>22462889</v>
      </c>
      <c r="J4644">
        <v>-40455034</v>
      </c>
      <c r="K4644">
        <v>-8805544</v>
      </c>
      <c r="P4644">
        <v>131</v>
      </c>
      <c r="Q4644" t="s">
        <v>9331</v>
      </c>
    </row>
    <row r="4645" spans="1:17" x14ac:dyDescent="0.3">
      <c r="A4645" t="s">
        <v>4446</v>
      </c>
      <c r="B4645" t="str">
        <f>"300857"</f>
        <v>300857</v>
      </c>
      <c r="C4645" t="s">
        <v>9332</v>
      </c>
      <c r="D4645" t="s">
        <v>150</v>
      </c>
      <c r="F4645">
        <v>-58822839</v>
      </c>
      <c r="G4645">
        <v>-158630122</v>
      </c>
      <c r="H4645">
        <v>63987912</v>
      </c>
      <c r="I4645">
        <v>-124715513</v>
      </c>
      <c r="J4645">
        <v>-73451997</v>
      </c>
      <c r="K4645">
        <v>23956280</v>
      </c>
      <c r="P4645">
        <v>59</v>
      </c>
      <c r="Q4645" t="s">
        <v>9333</v>
      </c>
    </row>
    <row r="4646" spans="1:17" x14ac:dyDescent="0.3">
      <c r="A4646" t="s">
        <v>4446</v>
      </c>
      <c r="B4646" t="str">
        <f>"300858"</f>
        <v>300858</v>
      </c>
      <c r="C4646" t="s">
        <v>9334</v>
      </c>
      <c r="D4646" t="s">
        <v>133</v>
      </c>
      <c r="F4646">
        <v>52277012</v>
      </c>
      <c r="G4646">
        <v>45408866</v>
      </c>
      <c r="H4646">
        <v>52421785</v>
      </c>
      <c r="I4646">
        <v>-6362118</v>
      </c>
      <c r="J4646">
        <v>36752342</v>
      </c>
      <c r="P4646">
        <v>77</v>
      </c>
      <c r="Q4646" t="s">
        <v>9335</v>
      </c>
    </row>
    <row r="4647" spans="1:17" x14ac:dyDescent="0.3">
      <c r="A4647" t="s">
        <v>4446</v>
      </c>
      <c r="B4647" t="str">
        <f>"300859"</f>
        <v>300859</v>
      </c>
      <c r="C4647" t="s">
        <v>9336</v>
      </c>
      <c r="D4647" t="s">
        <v>110</v>
      </c>
      <c r="F4647">
        <v>48875778</v>
      </c>
      <c r="G4647">
        <v>-56523523</v>
      </c>
      <c r="H4647">
        <v>87941065</v>
      </c>
      <c r="I4647">
        <v>57776379</v>
      </c>
      <c r="J4647">
        <v>98545864</v>
      </c>
      <c r="K4647">
        <v>115780775</v>
      </c>
      <c r="L4647">
        <v>40748637</v>
      </c>
      <c r="P4647">
        <v>69</v>
      </c>
      <c r="Q4647" t="s">
        <v>9337</v>
      </c>
    </row>
    <row r="4648" spans="1:17" x14ac:dyDescent="0.3">
      <c r="A4648" t="s">
        <v>4446</v>
      </c>
      <c r="B4648" t="str">
        <f>"300860"</f>
        <v>300860</v>
      </c>
      <c r="C4648" t="s">
        <v>9338</v>
      </c>
      <c r="D4648" t="s">
        <v>110</v>
      </c>
      <c r="F4648">
        <v>18725393</v>
      </c>
      <c r="G4648">
        <v>73791115</v>
      </c>
      <c r="H4648">
        <v>149860985</v>
      </c>
      <c r="I4648">
        <v>124581794</v>
      </c>
      <c r="J4648">
        <v>108054550</v>
      </c>
      <c r="K4648">
        <v>96897747</v>
      </c>
      <c r="L4648">
        <v>110871</v>
      </c>
      <c r="P4648">
        <v>95</v>
      </c>
      <c r="Q4648" t="s">
        <v>9339</v>
      </c>
    </row>
    <row r="4649" spans="1:17" x14ac:dyDescent="0.3">
      <c r="A4649" t="s">
        <v>4446</v>
      </c>
      <c r="B4649" t="str">
        <f>"300861"</f>
        <v>300861</v>
      </c>
      <c r="C4649" t="s">
        <v>9340</v>
      </c>
      <c r="D4649" t="s">
        <v>78</v>
      </c>
      <c r="F4649">
        <v>284557628</v>
      </c>
      <c r="G4649">
        <v>230296141</v>
      </c>
      <c r="H4649">
        <v>345195267</v>
      </c>
      <c r="I4649">
        <v>952469476</v>
      </c>
      <c r="J4649">
        <v>56878283</v>
      </c>
      <c r="K4649">
        <v>-134214000</v>
      </c>
      <c r="L4649">
        <v>-7491400</v>
      </c>
      <c r="P4649">
        <v>147</v>
      </c>
      <c r="Q4649" t="s">
        <v>9341</v>
      </c>
    </row>
    <row r="4650" spans="1:17" x14ac:dyDescent="0.3">
      <c r="A4650" t="s">
        <v>4446</v>
      </c>
      <c r="B4650" t="str">
        <f>"300862"</f>
        <v>300862</v>
      </c>
      <c r="C4650" t="s">
        <v>9342</v>
      </c>
      <c r="D4650" t="s">
        <v>78</v>
      </c>
      <c r="F4650">
        <v>-47672160</v>
      </c>
      <c r="G4650">
        <v>31682825</v>
      </c>
      <c r="H4650">
        <v>63391767</v>
      </c>
      <c r="I4650">
        <v>31697960</v>
      </c>
      <c r="J4650">
        <v>36042207</v>
      </c>
      <c r="K4650">
        <v>38920278</v>
      </c>
      <c r="P4650">
        <v>68</v>
      </c>
      <c r="Q4650" t="s">
        <v>9343</v>
      </c>
    </row>
    <row r="4651" spans="1:17" x14ac:dyDescent="0.3">
      <c r="A4651" t="s">
        <v>4446</v>
      </c>
      <c r="B4651" t="str">
        <f>"300863"</f>
        <v>300863</v>
      </c>
      <c r="C4651" t="s">
        <v>9344</v>
      </c>
      <c r="D4651" t="s">
        <v>27</v>
      </c>
      <c r="F4651">
        <v>-499806417</v>
      </c>
      <c r="G4651">
        <v>-453402351</v>
      </c>
      <c r="H4651">
        <v>14723132</v>
      </c>
      <c r="I4651">
        <v>50995408</v>
      </c>
      <c r="J4651">
        <v>-69337085</v>
      </c>
      <c r="K4651">
        <v>28770047</v>
      </c>
      <c r="P4651">
        <v>75</v>
      </c>
      <c r="Q4651" t="s">
        <v>9345</v>
      </c>
    </row>
    <row r="4652" spans="1:17" x14ac:dyDescent="0.3">
      <c r="A4652" t="s">
        <v>4446</v>
      </c>
      <c r="B4652" t="str">
        <f>"300864"</f>
        <v>300864</v>
      </c>
      <c r="C4652" t="s">
        <v>9346</v>
      </c>
      <c r="D4652" t="s">
        <v>33</v>
      </c>
      <c r="F4652">
        <v>69406874</v>
      </c>
      <c r="G4652">
        <v>95035388</v>
      </c>
      <c r="H4652">
        <v>140779464</v>
      </c>
      <c r="I4652">
        <v>31331096</v>
      </c>
      <c r="J4652">
        <v>36563227</v>
      </c>
      <c r="K4652">
        <v>15648100</v>
      </c>
      <c r="P4652">
        <v>121</v>
      </c>
      <c r="Q4652" t="s">
        <v>9347</v>
      </c>
    </row>
    <row r="4653" spans="1:17" x14ac:dyDescent="0.3">
      <c r="A4653" t="s">
        <v>4446</v>
      </c>
      <c r="B4653" t="str">
        <f>"300865"</f>
        <v>300865</v>
      </c>
      <c r="C4653" t="s">
        <v>9348</v>
      </c>
      <c r="D4653" t="s">
        <v>78</v>
      </c>
      <c r="F4653">
        <v>-157914465</v>
      </c>
      <c r="G4653">
        <v>-104039815</v>
      </c>
      <c r="H4653">
        <v>39952170</v>
      </c>
      <c r="I4653">
        <v>73234020</v>
      </c>
      <c r="J4653">
        <v>65277586</v>
      </c>
      <c r="K4653">
        <v>40731618</v>
      </c>
      <c r="P4653">
        <v>43</v>
      </c>
      <c r="Q4653" t="s">
        <v>9349</v>
      </c>
    </row>
    <row r="4654" spans="1:17" x14ac:dyDescent="0.3">
      <c r="A4654" t="s">
        <v>4446</v>
      </c>
      <c r="B4654" t="str">
        <f>"300866"</f>
        <v>300866</v>
      </c>
      <c r="C4654" t="s">
        <v>9350</v>
      </c>
      <c r="D4654" t="s">
        <v>150</v>
      </c>
      <c r="F4654">
        <v>242012095</v>
      </c>
      <c r="G4654">
        <v>157665047</v>
      </c>
      <c r="H4654">
        <v>355131844</v>
      </c>
      <c r="I4654">
        <v>330499095</v>
      </c>
      <c r="J4654">
        <v>33527167</v>
      </c>
      <c r="K4654">
        <v>202684692</v>
      </c>
      <c r="P4654">
        <v>311</v>
      </c>
      <c r="Q4654" t="s">
        <v>9351</v>
      </c>
    </row>
    <row r="4655" spans="1:17" x14ac:dyDescent="0.3">
      <c r="A4655" t="s">
        <v>4446</v>
      </c>
      <c r="B4655" t="str">
        <f>"300867"</f>
        <v>300867</v>
      </c>
      <c r="C4655" t="s">
        <v>9352</v>
      </c>
      <c r="D4655" t="s">
        <v>33</v>
      </c>
      <c r="F4655">
        <v>-722926509</v>
      </c>
      <c r="G4655">
        <v>-950903798</v>
      </c>
      <c r="H4655">
        <v>-150819872</v>
      </c>
      <c r="I4655">
        <v>-230975001</v>
      </c>
      <c r="J4655">
        <v>-312754483</v>
      </c>
      <c r="K4655">
        <v>-425678478</v>
      </c>
      <c r="P4655">
        <v>103</v>
      </c>
      <c r="Q4655" t="s">
        <v>9353</v>
      </c>
    </row>
    <row r="4656" spans="1:17" x14ac:dyDescent="0.3">
      <c r="A4656" t="s">
        <v>4446</v>
      </c>
      <c r="B4656" t="str">
        <f>"300868"</f>
        <v>300868</v>
      </c>
      <c r="C4656" t="s">
        <v>9354</v>
      </c>
      <c r="D4656" t="s">
        <v>150</v>
      </c>
      <c r="F4656">
        <v>-109431575</v>
      </c>
      <c r="G4656">
        <v>31888220</v>
      </c>
      <c r="H4656">
        <v>128047170</v>
      </c>
      <c r="I4656">
        <v>35861545</v>
      </c>
      <c r="J4656">
        <v>35892893</v>
      </c>
      <c r="K4656">
        <v>28795111</v>
      </c>
      <c r="P4656">
        <v>40</v>
      </c>
      <c r="Q4656" t="s">
        <v>9355</v>
      </c>
    </row>
    <row r="4657" spans="1:17" x14ac:dyDescent="0.3">
      <c r="A4657" t="s">
        <v>4446</v>
      </c>
      <c r="B4657" t="str">
        <f>"300869"</f>
        <v>300869</v>
      </c>
      <c r="C4657" t="s">
        <v>9356</v>
      </c>
      <c r="D4657" t="s">
        <v>113</v>
      </c>
      <c r="F4657">
        <v>-101538202</v>
      </c>
      <c r="G4657">
        <v>509074434</v>
      </c>
      <c r="H4657">
        <v>42807100</v>
      </c>
      <c r="I4657">
        <v>18031286</v>
      </c>
      <c r="J4657">
        <v>114554192</v>
      </c>
      <c r="K4657">
        <v>116990101</v>
      </c>
      <c r="L4657">
        <v>21342611</v>
      </c>
      <c r="P4657">
        <v>174</v>
      </c>
      <c r="Q4657" t="s">
        <v>9357</v>
      </c>
    </row>
    <row r="4658" spans="1:17" x14ac:dyDescent="0.3">
      <c r="A4658" t="s">
        <v>4446</v>
      </c>
      <c r="B4658" t="str">
        <f>"300870"</f>
        <v>300870</v>
      </c>
      <c r="C4658" t="s">
        <v>9358</v>
      </c>
      <c r="D4658" t="s">
        <v>188</v>
      </c>
      <c r="F4658">
        <v>-356746682</v>
      </c>
      <c r="G4658">
        <v>25522548</v>
      </c>
      <c r="H4658">
        <v>7407260</v>
      </c>
      <c r="I4658">
        <v>7536831</v>
      </c>
      <c r="J4658">
        <v>63763434</v>
      </c>
      <c r="K4658">
        <v>15667550</v>
      </c>
      <c r="P4658">
        <v>131</v>
      </c>
      <c r="Q4658" t="s">
        <v>9359</v>
      </c>
    </row>
    <row r="4659" spans="1:17" x14ac:dyDescent="0.3">
      <c r="A4659" t="s">
        <v>4446</v>
      </c>
      <c r="B4659" t="str">
        <f>"300871"</f>
        <v>300871</v>
      </c>
      <c r="C4659" t="s">
        <v>9360</v>
      </c>
      <c r="D4659" t="s">
        <v>205</v>
      </c>
      <c r="F4659">
        <v>-444301280</v>
      </c>
      <c r="G4659">
        <v>-182305764</v>
      </c>
      <c r="H4659">
        <v>-17703835</v>
      </c>
      <c r="I4659">
        <v>-12920402</v>
      </c>
      <c r="J4659">
        <v>24394455</v>
      </c>
      <c r="K4659">
        <v>32063500</v>
      </c>
      <c r="P4659">
        <v>84</v>
      </c>
      <c r="Q4659" t="s">
        <v>9361</v>
      </c>
    </row>
    <row r="4660" spans="1:17" x14ac:dyDescent="0.3">
      <c r="A4660" t="s">
        <v>4446</v>
      </c>
      <c r="B4660" t="str">
        <f>"300872"</f>
        <v>300872</v>
      </c>
      <c r="C4660" t="s">
        <v>9362</v>
      </c>
      <c r="D4660" t="s">
        <v>212</v>
      </c>
      <c r="F4660">
        <v>-261885382</v>
      </c>
      <c r="G4660">
        <v>-195264567</v>
      </c>
      <c r="H4660">
        <v>-25623949</v>
      </c>
      <c r="I4660">
        <v>-155913418</v>
      </c>
      <c r="J4660">
        <v>-155121337</v>
      </c>
      <c r="P4660">
        <v>74</v>
      </c>
      <c r="Q4660" t="s">
        <v>9363</v>
      </c>
    </row>
    <row r="4661" spans="1:17" x14ac:dyDescent="0.3">
      <c r="A4661" t="s">
        <v>4446</v>
      </c>
      <c r="B4661" t="str">
        <f>"300873"</f>
        <v>300873</v>
      </c>
      <c r="C4661" t="s">
        <v>9364</v>
      </c>
      <c r="D4661" t="s">
        <v>22</v>
      </c>
      <c r="F4661">
        <v>205360423</v>
      </c>
      <c r="G4661">
        <v>158496558</v>
      </c>
      <c r="H4661">
        <v>117121287</v>
      </c>
      <c r="I4661">
        <v>78806214</v>
      </c>
      <c r="J4661">
        <v>65268266</v>
      </c>
      <c r="K4661">
        <v>132534651</v>
      </c>
      <c r="P4661">
        <v>88</v>
      </c>
      <c r="Q4661" t="s">
        <v>9365</v>
      </c>
    </row>
    <row r="4662" spans="1:17" x14ac:dyDescent="0.3">
      <c r="A4662" t="s">
        <v>4446</v>
      </c>
      <c r="B4662" t="str">
        <f>"300875"</f>
        <v>300875</v>
      </c>
      <c r="C4662" t="s">
        <v>9366</v>
      </c>
      <c r="D4662" t="s">
        <v>92</v>
      </c>
      <c r="F4662">
        <v>43956101</v>
      </c>
      <c r="G4662">
        <v>-138057809</v>
      </c>
      <c r="H4662">
        <v>76857319</v>
      </c>
      <c r="I4662">
        <v>-86427411</v>
      </c>
      <c r="J4662">
        <v>4367479</v>
      </c>
      <c r="K4662">
        <v>-2930549</v>
      </c>
      <c r="P4662">
        <v>106</v>
      </c>
      <c r="Q4662" t="s">
        <v>9367</v>
      </c>
    </row>
    <row r="4663" spans="1:17" x14ac:dyDescent="0.3">
      <c r="A4663" t="s">
        <v>4446</v>
      </c>
      <c r="B4663" t="str">
        <f>"300876"</f>
        <v>300876</v>
      </c>
      <c r="C4663" t="s">
        <v>9368</v>
      </c>
      <c r="D4663" t="s">
        <v>133</v>
      </c>
      <c r="F4663">
        <v>-80908580</v>
      </c>
      <c r="G4663">
        <v>15758159</v>
      </c>
      <c r="H4663">
        <v>44989689</v>
      </c>
      <c r="I4663">
        <v>33868503</v>
      </c>
      <c r="J4663">
        <v>30235000</v>
      </c>
      <c r="P4663">
        <v>67</v>
      </c>
      <c r="Q4663" t="s">
        <v>9369</v>
      </c>
    </row>
    <row r="4664" spans="1:17" x14ac:dyDescent="0.3">
      <c r="A4664" t="s">
        <v>4446</v>
      </c>
      <c r="B4664" t="str">
        <f>"300877"</f>
        <v>300877</v>
      </c>
      <c r="C4664" t="s">
        <v>9370</v>
      </c>
      <c r="D4664" t="s">
        <v>227</v>
      </c>
      <c r="F4664">
        <v>-153824335</v>
      </c>
      <c r="G4664">
        <v>112216603</v>
      </c>
      <c r="H4664">
        <v>51963277</v>
      </c>
      <c r="I4664">
        <v>89928301</v>
      </c>
      <c r="J4664">
        <v>-69575535</v>
      </c>
      <c r="K4664">
        <v>-31574844</v>
      </c>
      <c r="P4664">
        <v>75</v>
      </c>
      <c r="Q4664" t="s">
        <v>9371</v>
      </c>
    </row>
    <row r="4665" spans="1:17" x14ac:dyDescent="0.3">
      <c r="A4665" t="s">
        <v>4446</v>
      </c>
      <c r="B4665" t="str">
        <f>"300878"</f>
        <v>300878</v>
      </c>
      <c r="C4665" t="s">
        <v>9372</v>
      </c>
      <c r="D4665" t="s">
        <v>113</v>
      </c>
      <c r="F4665">
        <v>-238610927</v>
      </c>
      <c r="G4665">
        <v>-109497738</v>
      </c>
      <c r="H4665">
        <v>-2214214</v>
      </c>
      <c r="I4665">
        <v>-67155898</v>
      </c>
      <c r="J4665">
        <v>-13028640</v>
      </c>
      <c r="P4665">
        <v>132</v>
      </c>
      <c r="Q4665" t="s">
        <v>9373</v>
      </c>
    </row>
    <row r="4666" spans="1:17" x14ac:dyDescent="0.3">
      <c r="A4666" t="s">
        <v>4446</v>
      </c>
      <c r="B4666" t="str">
        <f>"300879"</f>
        <v>300879</v>
      </c>
      <c r="C4666" t="s">
        <v>9374</v>
      </c>
      <c r="D4666" t="s">
        <v>78</v>
      </c>
      <c r="F4666">
        <v>-413657214</v>
      </c>
      <c r="G4666">
        <v>-45265496</v>
      </c>
      <c r="H4666">
        <v>-254090735</v>
      </c>
      <c r="I4666">
        <v>-101299673</v>
      </c>
      <c r="J4666">
        <v>11977155</v>
      </c>
      <c r="K4666">
        <v>-7738984</v>
      </c>
      <c r="P4666">
        <v>52</v>
      </c>
      <c r="Q4666" t="s">
        <v>9375</v>
      </c>
    </row>
    <row r="4667" spans="1:17" x14ac:dyDescent="0.3">
      <c r="A4667" t="s">
        <v>4446</v>
      </c>
      <c r="B4667" t="str">
        <f>"300880"</f>
        <v>300880</v>
      </c>
      <c r="C4667" t="s">
        <v>9376</v>
      </c>
      <c r="D4667" t="s">
        <v>188</v>
      </c>
      <c r="F4667">
        <v>-67679107</v>
      </c>
      <c r="G4667">
        <v>-23631624</v>
      </c>
      <c r="H4667">
        <v>83991080</v>
      </c>
      <c r="I4667">
        <v>76573514</v>
      </c>
      <c r="J4667">
        <v>34281114</v>
      </c>
      <c r="K4667">
        <v>20733309</v>
      </c>
      <c r="P4667">
        <v>54</v>
      </c>
      <c r="Q4667" t="s">
        <v>9377</v>
      </c>
    </row>
    <row r="4668" spans="1:17" x14ac:dyDescent="0.3">
      <c r="A4668" t="s">
        <v>4446</v>
      </c>
      <c r="B4668" t="str">
        <f>"300881"</f>
        <v>300881</v>
      </c>
      <c r="C4668" t="s">
        <v>9378</v>
      </c>
      <c r="D4668" t="s">
        <v>38</v>
      </c>
      <c r="F4668">
        <v>-339024677</v>
      </c>
      <c r="G4668">
        <v>-73087661</v>
      </c>
      <c r="H4668">
        <v>61782959</v>
      </c>
      <c r="I4668">
        <v>56244372</v>
      </c>
      <c r="J4668">
        <v>42949465</v>
      </c>
      <c r="K4668">
        <v>-30758321</v>
      </c>
      <c r="P4668">
        <v>31</v>
      </c>
      <c r="Q4668" t="s">
        <v>9379</v>
      </c>
    </row>
    <row r="4669" spans="1:17" x14ac:dyDescent="0.3">
      <c r="A4669" t="s">
        <v>4446</v>
      </c>
      <c r="B4669" t="str">
        <f>"300882"</f>
        <v>300882</v>
      </c>
      <c r="C4669" t="s">
        <v>9380</v>
      </c>
      <c r="D4669" t="s">
        <v>188</v>
      </c>
      <c r="F4669">
        <v>5516916</v>
      </c>
      <c r="G4669">
        <v>-150818940</v>
      </c>
      <c r="H4669">
        <v>169956806</v>
      </c>
      <c r="I4669">
        <v>35105027</v>
      </c>
      <c r="J4669">
        <v>97233950</v>
      </c>
      <c r="K4669">
        <v>68829329</v>
      </c>
      <c r="P4669">
        <v>41</v>
      </c>
      <c r="Q4669" t="s">
        <v>9381</v>
      </c>
    </row>
    <row r="4670" spans="1:17" x14ac:dyDescent="0.3">
      <c r="A4670" t="s">
        <v>4446</v>
      </c>
      <c r="B4670" t="str">
        <f>"300883"</f>
        <v>300883</v>
      </c>
      <c r="C4670" t="s">
        <v>9382</v>
      </c>
      <c r="D4670" t="s">
        <v>161</v>
      </c>
      <c r="F4670">
        <v>-253617758</v>
      </c>
      <c r="G4670">
        <v>37351893</v>
      </c>
      <c r="H4670">
        <v>88156209</v>
      </c>
      <c r="I4670">
        <v>42453303</v>
      </c>
      <c r="J4670">
        <v>28236424</v>
      </c>
      <c r="K4670">
        <v>-136040082</v>
      </c>
      <c r="P4670">
        <v>37</v>
      </c>
      <c r="Q4670" t="s">
        <v>9383</v>
      </c>
    </row>
    <row r="4671" spans="1:17" x14ac:dyDescent="0.3">
      <c r="A4671" t="s">
        <v>4446</v>
      </c>
      <c r="B4671" t="str">
        <f>"300884"</f>
        <v>300884</v>
      </c>
      <c r="C4671" t="s">
        <v>9384</v>
      </c>
      <c r="D4671" t="s">
        <v>212</v>
      </c>
      <c r="F4671">
        <v>-53102501</v>
      </c>
      <c r="G4671">
        <v>53829373</v>
      </c>
      <c r="H4671">
        <v>27575615</v>
      </c>
      <c r="I4671">
        <v>9091992</v>
      </c>
      <c r="J4671">
        <v>-108788</v>
      </c>
      <c r="K4671">
        <v>-52622</v>
      </c>
      <c r="P4671">
        <v>68</v>
      </c>
      <c r="Q4671" t="s">
        <v>9385</v>
      </c>
    </row>
    <row r="4672" spans="1:17" x14ac:dyDescent="0.3">
      <c r="A4672" t="s">
        <v>4446</v>
      </c>
      <c r="B4672" t="str">
        <f>"300885"</f>
        <v>300885</v>
      </c>
      <c r="C4672" t="s">
        <v>9386</v>
      </c>
      <c r="D4672" t="s">
        <v>78</v>
      </c>
      <c r="F4672">
        <v>33532815</v>
      </c>
      <c r="G4672">
        <v>23483726</v>
      </c>
      <c r="H4672">
        <v>55803850</v>
      </c>
      <c r="I4672">
        <v>-1399371</v>
      </c>
      <c r="J4672">
        <v>18725123</v>
      </c>
      <c r="K4672">
        <v>22380288</v>
      </c>
      <c r="P4672">
        <v>45</v>
      </c>
      <c r="Q4672" t="s">
        <v>9387</v>
      </c>
    </row>
    <row r="4673" spans="1:17" x14ac:dyDescent="0.3">
      <c r="A4673" t="s">
        <v>4446</v>
      </c>
      <c r="B4673" t="str">
        <f>"300886"</f>
        <v>300886</v>
      </c>
      <c r="C4673" t="s">
        <v>9388</v>
      </c>
      <c r="D4673" t="s">
        <v>481</v>
      </c>
      <c r="F4673">
        <v>-18069488</v>
      </c>
      <c r="G4673">
        <v>-2433307</v>
      </c>
      <c r="H4673">
        <v>2123362</v>
      </c>
      <c r="I4673">
        <v>-864723</v>
      </c>
      <c r="J4673">
        <v>5294169</v>
      </c>
      <c r="K4673">
        <v>12780658</v>
      </c>
      <c r="P4673">
        <v>49</v>
      </c>
      <c r="Q4673" t="s">
        <v>9389</v>
      </c>
    </row>
    <row r="4674" spans="1:17" x14ac:dyDescent="0.3">
      <c r="A4674" t="s">
        <v>4446</v>
      </c>
      <c r="B4674" t="str">
        <f>"300887"</f>
        <v>300887</v>
      </c>
      <c r="C4674" t="s">
        <v>9390</v>
      </c>
      <c r="D4674" t="s">
        <v>110</v>
      </c>
      <c r="F4674">
        <v>-440815895</v>
      </c>
      <c r="G4674">
        <v>-119836854</v>
      </c>
      <c r="H4674">
        <v>21660257</v>
      </c>
      <c r="I4674">
        <v>-10288849</v>
      </c>
      <c r="J4674">
        <v>-80309645</v>
      </c>
      <c r="K4674">
        <v>1232173</v>
      </c>
      <c r="P4674">
        <v>117</v>
      </c>
      <c r="Q4674" t="s">
        <v>9391</v>
      </c>
    </row>
    <row r="4675" spans="1:17" x14ac:dyDescent="0.3">
      <c r="A4675" t="s">
        <v>4446</v>
      </c>
      <c r="B4675" t="str">
        <f>"300888"</f>
        <v>300888</v>
      </c>
      <c r="C4675" t="s">
        <v>9392</v>
      </c>
      <c r="D4675" t="s">
        <v>481</v>
      </c>
      <c r="F4675">
        <v>319352921</v>
      </c>
      <c r="G4675">
        <v>4440540764</v>
      </c>
      <c r="H4675">
        <v>187235709</v>
      </c>
      <c r="I4675">
        <v>-169205389</v>
      </c>
      <c r="J4675">
        <v>-170612884</v>
      </c>
      <c r="K4675">
        <v>168736247</v>
      </c>
      <c r="P4675">
        <v>457</v>
      </c>
      <c r="Q4675" t="s">
        <v>9393</v>
      </c>
    </row>
    <row r="4676" spans="1:17" x14ac:dyDescent="0.3">
      <c r="A4676" t="s">
        <v>4446</v>
      </c>
      <c r="B4676" t="str">
        <f>"300889"</f>
        <v>300889</v>
      </c>
      <c r="C4676" t="s">
        <v>9394</v>
      </c>
      <c r="D4676" t="s">
        <v>150</v>
      </c>
      <c r="F4676">
        <v>-5633274</v>
      </c>
      <c r="G4676">
        <v>-90317212</v>
      </c>
      <c r="H4676">
        <v>102600610</v>
      </c>
      <c r="I4676">
        <v>70019975</v>
      </c>
      <c r="J4676">
        <v>-11144142</v>
      </c>
      <c r="K4676">
        <v>27718</v>
      </c>
      <c r="P4676">
        <v>37</v>
      </c>
      <c r="Q4676" t="s">
        <v>9395</v>
      </c>
    </row>
    <row r="4677" spans="1:17" x14ac:dyDescent="0.3">
      <c r="A4677" t="s">
        <v>4446</v>
      </c>
      <c r="B4677" t="str">
        <f>"300890"</f>
        <v>300890</v>
      </c>
      <c r="C4677" t="s">
        <v>9396</v>
      </c>
      <c r="D4677" t="s">
        <v>188</v>
      </c>
      <c r="F4677">
        <v>-103476568</v>
      </c>
      <c r="G4677">
        <v>-69917264</v>
      </c>
      <c r="H4677">
        <v>64334604</v>
      </c>
      <c r="I4677">
        <v>-114983469</v>
      </c>
      <c r="J4677">
        <v>-208352209</v>
      </c>
      <c r="K4677">
        <v>-52020070</v>
      </c>
      <c r="P4677">
        <v>63</v>
      </c>
      <c r="Q4677" t="s">
        <v>9397</v>
      </c>
    </row>
    <row r="4678" spans="1:17" x14ac:dyDescent="0.3">
      <c r="A4678" t="s">
        <v>4446</v>
      </c>
      <c r="B4678" t="str">
        <f>"300891"</f>
        <v>300891</v>
      </c>
      <c r="C4678" t="s">
        <v>9398</v>
      </c>
      <c r="D4678" t="s">
        <v>133</v>
      </c>
      <c r="F4678">
        <v>-84105388</v>
      </c>
      <c r="G4678">
        <v>-53161611</v>
      </c>
      <c r="H4678">
        <v>114780434</v>
      </c>
      <c r="I4678">
        <v>32244578</v>
      </c>
      <c r="J4678">
        <v>81337043</v>
      </c>
      <c r="K4678">
        <v>72024164</v>
      </c>
      <c r="P4678">
        <v>59</v>
      </c>
      <c r="Q4678" t="s">
        <v>9399</v>
      </c>
    </row>
    <row r="4679" spans="1:17" x14ac:dyDescent="0.3">
      <c r="A4679" t="s">
        <v>4446</v>
      </c>
      <c r="B4679" t="str">
        <f>"300892"</f>
        <v>300892</v>
      </c>
      <c r="C4679" t="s">
        <v>9400</v>
      </c>
      <c r="D4679" t="s">
        <v>120</v>
      </c>
      <c r="F4679">
        <v>161954172</v>
      </c>
      <c r="G4679">
        <v>125838781</v>
      </c>
      <c r="H4679">
        <v>66990701</v>
      </c>
      <c r="I4679">
        <v>-37108655</v>
      </c>
      <c r="J4679">
        <v>15233256</v>
      </c>
      <c r="K4679">
        <v>-30265385</v>
      </c>
      <c r="P4679">
        <v>99</v>
      </c>
      <c r="Q4679" t="s">
        <v>9401</v>
      </c>
    </row>
    <row r="4680" spans="1:17" x14ac:dyDescent="0.3">
      <c r="A4680" t="s">
        <v>4446</v>
      </c>
      <c r="B4680" t="str">
        <f>"300893"</f>
        <v>300893</v>
      </c>
      <c r="C4680" t="s">
        <v>9402</v>
      </c>
      <c r="D4680" t="s">
        <v>27</v>
      </c>
      <c r="F4680">
        <v>-105884756</v>
      </c>
      <c r="G4680">
        <v>-16073374</v>
      </c>
      <c r="H4680">
        <v>50857091</v>
      </c>
      <c r="I4680">
        <v>36150600</v>
      </c>
      <c r="J4680">
        <v>9030964</v>
      </c>
      <c r="P4680">
        <v>49</v>
      </c>
      <c r="Q4680" t="s">
        <v>9403</v>
      </c>
    </row>
    <row r="4681" spans="1:17" x14ac:dyDescent="0.3">
      <c r="A4681" t="s">
        <v>4446</v>
      </c>
      <c r="B4681" t="str">
        <f>"300894"</f>
        <v>300894</v>
      </c>
      <c r="C4681" t="s">
        <v>9404</v>
      </c>
      <c r="D4681" t="s">
        <v>126</v>
      </c>
      <c r="F4681">
        <v>428065008</v>
      </c>
      <c r="G4681">
        <v>255170786</v>
      </c>
      <c r="H4681">
        <v>191273908</v>
      </c>
      <c r="I4681">
        <v>-2936133</v>
      </c>
      <c r="J4681">
        <v>107036924</v>
      </c>
      <c r="K4681">
        <v>102362759</v>
      </c>
      <c r="P4681">
        <v>232</v>
      </c>
      <c r="Q4681" t="s">
        <v>9405</v>
      </c>
    </row>
    <row r="4682" spans="1:17" x14ac:dyDescent="0.3">
      <c r="A4682" t="s">
        <v>4446</v>
      </c>
      <c r="B4682" t="str">
        <f>"300895"</f>
        <v>300895</v>
      </c>
      <c r="C4682" t="s">
        <v>9406</v>
      </c>
      <c r="D4682" t="s">
        <v>212</v>
      </c>
      <c r="F4682">
        <v>-181328984</v>
      </c>
      <c r="G4682">
        <v>-4142977</v>
      </c>
      <c r="H4682">
        <v>-85053371</v>
      </c>
      <c r="I4682">
        <v>-12088840</v>
      </c>
      <c r="J4682">
        <v>3446455</v>
      </c>
      <c r="K4682">
        <v>20899385</v>
      </c>
      <c r="P4682">
        <v>48</v>
      </c>
      <c r="Q4682" t="s">
        <v>9407</v>
      </c>
    </row>
    <row r="4683" spans="1:17" x14ac:dyDescent="0.3">
      <c r="A4683" t="s">
        <v>4446</v>
      </c>
      <c r="B4683" t="str">
        <f>"300896"</f>
        <v>300896</v>
      </c>
      <c r="C4683" t="s">
        <v>9408</v>
      </c>
      <c r="D4683" t="s">
        <v>481</v>
      </c>
      <c r="F4683">
        <v>919755646</v>
      </c>
      <c r="G4683">
        <v>393585796</v>
      </c>
      <c r="H4683">
        <v>277121675</v>
      </c>
      <c r="I4683">
        <v>96335553</v>
      </c>
      <c r="J4683">
        <v>41566805</v>
      </c>
      <c r="K4683">
        <v>662271</v>
      </c>
      <c r="P4683">
        <v>1332</v>
      </c>
      <c r="Q4683" t="s">
        <v>9409</v>
      </c>
    </row>
    <row r="4684" spans="1:17" x14ac:dyDescent="0.3">
      <c r="A4684" t="s">
        <v>4446</v>
      </c>
      <c r="B4684" t="str">
        <f>"300897"</f>
        <v>300897</v>
      </c>
      <c r="C4684" t="s">
        <v>9410</v>
      </c>
      <c r="D4684" t="s">
        <v>78</v>
      </c>
      <c r="F4684">
        <v>-82753814</v>
      </c>
      <c r="G4684">
        <v>-39543556</v>
      </c>
      <c r="H4684">
        <v>7462639</v>
      </c>
      <c r="I4684">
        <v>29167574</v>
      </c>
      <c r="J4684">
        <v>28457137</v>
      </c>
      <c r="K4684">
        <v>3177723</v>
      </c>
      <c r="P4684">
        <v>50</v>
      </c>
      <c r="Q4684" t="s">
        <v>9411</v>
      </c>
    </row>
    <row r="4685" spans="1:17" x14ac:dyDescent="0.3">
      <c r="A4685" t="s">
        <v>4446</v>
      </c>
      <c r="B4685" t="str">
        <f>"300898"</f>
        <v>300898</v>
      </c>
      <c r="C4685" t="s">
        <v>9412</v>
      </c>
      <c r="D4685" t="s">
        <v>123</v>
      </c>
      <c r="F4685">
        <v>42446385</v>
      </c>
      <c r="G4685">
        <v>29825595</v>
      </c>
      <c r="H4685">
        <v>75723512</v>
      </c>
      <c r="I4685">
        <v>70421899</v>
      </c>
      <c r="J4685">
        <v>-89146818</v>
      </c>
      <c r="K4685">
        <v>19794459</v>
      </c>
      <c r="P4685">
        <v>73</v>
      </c>
      <c r="Q4685" t="s">
        <v>9413</v>
      </c>
    </row>
    <row r="4686" spans="1:17" x14ac:dyDescent="0.3">
      <c r="A4686" t="s">
        <v>4446</v>
      </c>
      <c r="B4686" t="str">
        <f>"300899"</f>
        <v>300899</v>
      </c>
      <c r="C4686" t="s">
        <v>9414</v>
      </c>
      <c r="D4686" t="s">
        <v>33</v>
      </c>
      <c r="F4686">
        <v>42548610</v>
      </c>
      <c r="G4686">
        <v>-9161448</v>
      </c>
      <c r="H4686">
        <v>22936662</v>
      </c>
      <c r="I4686">
        <v>11084714</v>
      </c>
      <c r="J4686">
        <v>-49110852</v>
      </c>
      <c r="K4686">
        <v>21634219</v>
      </c>
      <c r="P4686">
        <v>58</v>
      </c>
      <c r="Q4686" t="s">
        <v>9415</v>
      </c>
    </row>
    <row r="4687" spans="1:17" x14ac:dyDescent="0.3">
      <c r="A4687" t="s">
        <v>4446</v>
      </c>
      <c r="B4687" t="str">
        <f>"300900"</f>
        <v>300900</v>
      </c>
      <c r="C4687" t="s">
        <v>9416</v>
      </c>
      <c r="D4687" t="s">
        <v>92</v>
      </c>
      <c r="F4687">
        <v>-414083510</v>
      </c>
      <c r="G4687">
        <v>-182719422</v>
      </c>
      <c r="H4687">
        <v>-34098986</v>
      </c>
      <c r="I4687">
        <v>-96503060</v>
      </c>
      <c r="J4687">
        <v>-24913582</v>
      </c>
      <c r="K4687">
        <v>-64222300</v>
      </c>
      <c r="P4687">
        <v>76</v>
      </c>
      <c r="Q4687" t="s">
        <v>9417</v>
      </c>
    </row>
    <row r="4688" spans="1:17" x14ac:dyDescent="0.3">
      <c r="A4688" t="s">
        <v>4446</v>
      </c>
      <c r="B4688" t="str">
        <f>"300901"</f>
        <v>300901</v>
      </c>
      <c r="C4688" t="s">
        <v>9418</v>
      </c>
      <c r="D4688" t="s">
        <v>227</v>
      </c>
      <c r="F4688">
        <v>-124232912</v>
      </c>
      <c r="G4688">
        <v>67931532</v>
      </c>
      <c r="H4688">
        <v>44143992</v>
      </c>
      <c r="I4688">
        <v>63599046</v>
      </c>
      <c r="J4688">
        <v>36759495</v>
      </c>
      <c r="K4688">
        <v>31500114</v>
      </c>
      <c r="P4688">
        <v>45</v>
      </c>
      <c r="Q4688" t="s">
        <v>9419</v>
      </c>
    </row>
    <row r="4689" spans="1:17" x14ac:dyDescent="0.3">
      <c r="A4689" t="s">
        <v>4446</v>
      </c>
      <c r="B4689" t="str">
        <f>"300902"</f>
        <v>300902</v>
      </c>
      <c r="C4689" t="s">
        <v>9420</v>
      </c>
      <c r="D4689" t="s">
        <v>78</v>
      </c>
      <c r="F4689">
        <v>-14095212</v>
      </c>
      <c r="G4689">
        <v>-70023952</v>
      </c>
      <c r="H4689">
        <v>8494392</v>
      </c>
      <c r="I4689">
        <v>32944917</v>
      </c>
      <c r="J4689">
        <v>46624044</v>
      </c>
      <c r="K4689">
        <v>43693753</v>
      </c>
      <c r="P4689">
        <v>40</v>
      </c>
      <c r="Q4689" t="s">
        <v>9421</v>
      </c>
    </row>
    <row r="4690" spans="1:17" x14ac:dyDescent="0.3">
      <c r="A4690" t="s">
        <v>4446</v>
      </c>
      <c r="B4690" t="str">
        <f>"300903"</f>
        <v>300903</v>
      </c>
      <c r="C4690" t="s">
        <v>9422</v>
      </c>
      <c r="D4690" t="s">
        <v>150</v>
      </c>
      <c r="F4690">
        <v>-451520117</v>
      </c>
      <c r="G4690">
        <v>24098435</v>
      </c>
      <c r="H4690">
        <v>33317839</v>
      </c>
      <c r="I4690">
        <v>21613725</v>
      </c>
      <c r="J4690">
        <v>-90547835</v>
      </c>
      <c r="K4690">
        <v>50993252</v>
      </c>
      <c r="P4690">
        <v>61</v>
      </c>
      <c r="Q4690" t="s">
        <v>9423</v>
      </c>
    </row>
    <row r="4691" spans="1:17" x14ac:dyDescent="0.3">
      <c r="A4691" t="s">
        <v>4446</v>
      </c>
      <c r="B4691" t="str">
        <f>"300905"</f>
        <v>300905</v>
      </c>
      <c r="C4691" t="s">
        <v>9424</v>
      </c>
      <c r="D4691" t="s">
        <v>133</v>
      </c>
      <c r="F4691">
        <v>-202807583</v>
      </c>
      <c r="G4691">
        <v>-19409576</v>
      </c>
      <c r="H4691">
        <v>55422769</v>
      </c>
      <c r="I4691">
        <v>21527150</v>
      </c>
      <c r="J4691">
        <v>9432804</v>
      </c>
      <c r="K4691">
        <v>41562395</v>
      </c>
      <c r="P4691">
        <v>54</v>
      </c>
      <c r="Q4691" t="s">
        <v>9425</v>
      </c>
    </row>
    <row r="4692" spans="1:17" x14ac:dyDescent="0.3">
      <c r="A4692" t="s">
        <v>4446</v>
      </c>
      <c r="B4692" t="str">
        <f>"300906"</f>
        <v>300906</v>
      </c>
      <c r="C4692" t="s">
        <v>9426</v>
      </c>
      <c r="D4692" t="s">
        <v>78</v>
      </c>
      <c r="F4692">
        <v>31272295</v>
      </c>
      <c r="G4692">
        <v>36463317</v>
      </c>
      <c r="H4692">
        <v>34140267</v>
      </c>
      <c r="I4692">
        <v>25790459</v>
      </c>
      <c r="J4692">
        <v>47042193</v>
      </c>
      <c r="K4692">
        <v>14843544</v>
      </c>
      <c r="P4692">
        <v>60</v>
      </c>
      <c r="Q4692" t="s">
        <v>9427</v>
      </c>
    </row>
    <row r="4693" spans="1:17" x14ac:dyDescent="0.3">
      <c r="A4693" t="s">
        <v>4446</v>
      </c>
      <c r="B4693" t="str">
        <f>"300907"</f>
        <v>300907</v>
      </c>
      <c r="C4693" t="s">
        <v>9428</v>
      </c>
      <c r="D4693" t="s">
        <v>188</v>
      </c>
      <c r="F4693">
        <v>-171921636</v>
      </c>
      <c r="G4693">
        <v>6092877</v>
      </c>
      <c r="H4693">
        <v>2858567</v>
      </c>
      <c r="I4693">
        <v>-60884225</v>
      </c>
      <c r="J4693">
        <v>42546459</v>
      </c>
      <c r="K4693">
        <v>51463300</v>
      </c>
      <c r="P4693">
        <v>36</v>
      </c>
      <c r="Q4693" t="s">
        <v>9429</v>
      </c>
    </row>
    <row r="4694" spans="1:17" x14ac:dyDescent="0.3">
      <c r="A4694" t="s">
        <v>4446</v>
      </c>
      <c r="B4694" t="str">
        <f>"300908"</f>
        <v>300908</v>
      </c>
      <c r="C4694" t="s">
        <v>9430</v>
      </c>
      <c r="D4694" t="s">
        <v>123</v>
      </c>
      <c r="F4694">
        <v>-115992477</v>
      </c>
      <c r="G4694">
        <v>73860729</v>
      </c>
      <c r="H4694">
        <v>155233443</v>
      </c>
      <c r="I4694">
        <v>119450637</v>
      </c>
      <c r="J4694">
        <v>84145607</v>
      </c>
      <c r="K4694">
        <v>24003059</v>
      </c>
      <c r="P4694">
        <v>173</v>
      </c>
      <c r="Q4694" t="s">
        <v>9431</v>
      </c>
    </row>
    <row r="4695" spans="1:17" x14ac:dyDescent="0.3">
      <c r="A4695" t="s">
        <v>4446</v>
      </c>
      <c r="B4695" t="str">
        <f>"300909"</f>
        <v>300909</v>
      </c>
      <c r="C4695" t="s">
        <v>9432</v>
      </c>
      <c r="D4695" t="s">
        <v>150</v>
      </c>
      <c r="F4695">
        <v>-124363011</v>
      </c>
      <c r="G4695">
        <v>23057100</v>
      </c>
      <c r="H4695">
        <v>-87142581</v>
      </c>
      <c r="I4695">
        <v>-17959143</v>
      </c>
      <c r="J4695">
        <v>6404590</v>
      </c>
      <c r="K4695">
        <v>295001</v>
      </c>
      <c r="P4695">
        <v>65</v>
      </c>
      <c r="Q4695" t="s">
        <v>9433</v>
      </c>
    </row>
    <row r="4696" spans="1:17" x14ac:dyDescent="0.3">
      <c r="A4696" t="s">
        <v>4446</v>
      </c>
      <c r="B4696" t="str">
        <f>"300910"</f>
        <v>300910</v>
      </c>
      <c r="C4696" t="s">
        <v>9434</v>
      </c>
      <c r="D4696" t="s">
        <v>133</v>
      </c>
      <c r="F4696">
        <v>-136248575</v>
      </c>
      <c r="G4696">
        <v>184537257</v>
      </c>
      <c r="H4696">
        <v>33881791</v>
      </c>
      <c r="I4696">
        <v>304036</v>
      </c>
      <c r="J4696">
        <v>-77510848</v>
      </c>
      <c r="K4696">
        <v>34817600</v>
      </c>
      <c r="P4696">
        <v>116</v>
      </c>
      <c r="Q4696" t="s">
        <v>9435</v>
      </c>
    </row>
    <row r="4697" spans="1:17" x14ac:dyDescent="0.3">
      <c r="A4697" t="s">
        <v>4446</v>
      </c>
      <c r="B4697" t="str">
        <f>"300911"</f>
        <v>300911</v>
      </c>
      <c r="C4697" t="s">
        <v>9436</v>
      </c>
      <c r="D4697" t="s">
        <v>126</v>
      </c>
      <c r="F4697">
        <v>212725434</v>
      </c>
      <c r="G4697">
        <v>174366852</v>
      </c>
      <c r="H4697">
        <v>85042960</v>
      </c>
      <c r="I4697">
        <v>22362482</v>
      </c>
      <c r="J4697">
        <v>99507755</v>
      </c>
      <c r="K4697">
        <v>35666917</v>
      </c>
      <c r="P4697">
        <v>151</v>
      </c>
      <c r="Q4697" t="s">
        <v>9437</v>
      </c>
    </row>
    <row r="4698" spans="1:17" x14ac:dyDescent="0.3">
      <c r="A4698" t="s">
        <v>4446</v>
      </c>
      <c r="B4698" t="str">
        <f>"300912"</f>
        <v>300912</v>
      </c>
      <c r="C4698" t="s">
        <v>9438</v>
      </c>
      <c r="D4698" t="s">
        <v>27</v>
      </c>
      <c r="F4698">
        <v>-130808780</v>
      </c>
      <c r="G4698">
        <v>23417997</v>
      </c>
      <c r="H4698">
        <v>-51344019</v>
      </c>
      <c r="I4698">
        <v>141857163</v>
      </c>
      <c r="J4698">
        <v>-13006357</v>
      </c>
      <c r="K4698">
        <v>-30956095</v>
      </c>
      <c r="P4698">
        <v>39</v>
      </c>
      <c r="Q4698" t="s">
        <v>9439</v>
      </c>
    </row>
    <row r="4699" spans="1:17" x14ac:dyDescent="0.3">
      <c r="A4699" t="s">
        <v>4446</v>
      </c>
      <c r="B4699" t="str">
        <f>"300913"</f>
        <v>300913</v>
      </c>
      <c r="C4699" t="s">
        <v>9440</v>
      </c>
      <c r="D4699" t="s">
        <v>100</v>
      </c>
      <c r="F4699">
        <v>-67220940</v>
      </c>
      <c r="G4699">
        <v>7090661</v>
      </c>
      <c r="H4699">
        <v>27659709</v>
      </c>
      <c r="I4699">
        <v>17010400</v>
      </c>
      <c r="J4699">
        <v>-24477895</v>
      </c>
      <c r="K4699">
        <v>-10958930</v>
      </c>
      <c r="P4699">
        <v>33</v>
      </c>
      <c r="Q4699" t="s">
        <v>9441</v>
      </c>
    </row>
    <row r="4700" spans="1:17" x14ac:dyDescent="0.3">
      <c r="A4700" t="s">
        <v>4446</v>
      </c>
      <c r="B4700" t="str">
        <f>"300915"</f>
        <v>300915</v>
      </c>
      <c r="C4700" t="s">
        <v>9442</v>
      </c>
      <c r="D4700" t="s">
        <v>123</v>
      </c>
      <c r="F4700">
        <v>29863234</v>
      </c>
      <c r="G4700">
        <v>59330180</v>
      </c>
      <c r="H4700">
        <v>51940980</v>
      </c>
      <c r="I4700">
        <v>21527923</v>
      </c>
      <c r="J4700">
        <v>63447871</v>
      </c>
      <c r="K4700">
        <v>85932201</v>
      </c>
      <c r="P4700">
        <v>102</v>
      </c>
      <c r="Q4700" t="s">
        <v>9443</v>
      </c>
    </row>
    <row r="4701" spans="1:17" x14ac:dyDescent="0.3">
      <c r="A4701" t="s">
        <v>4446</v>
      </c>
      <c r="B4701" t="str">
        <f>"300916"</f>
        <v>300916</v>
      </c>
      <c r="C4701" t="s">
        <v>9444</v>
      </c>
      <c r="D4701" t="s">
        <v>150</v>
      </c>
      <c r="F4701">
        <v>99738603</v>
      </c>
      <c r="G4701">
        <v>104095659</v>
      </c>
      <c r="H4701">
        <v>-8146597</v>
      </c>
      <c r="I4701">
        <v>-16365531</v>
      </c>
      <c r="J4701">
        <v>34470237</v>
      </c>
      <c r="K4701">
        <v>15838562</v>
      </c>
      <c r="P4701">
        <v>79</v>
      </c>
      <c r="Q4701" t="s">
        <v>9445</v>
      </c>
    </row>
    <row r="4702" spans="1:17" x14ac:dyDescent="0.3">
      <c r="A4702" t="s">
        <v>4446</v>
      </c>
      <c r="B4702" t="str">
        <f>"300917"</f>
        <v>300917</v>
      </c>
      <c r="C4702" t="s">
        <v>9446</v>
      </c>
      <c r="D4702" t="s">
        <v>30</v>
      </c>
      <c r="F4702">
        <v>160224866</v>
      </c>
      <c r="G4702">
        <v>98846270</v>
      </c>
      <c r="H4702">
        <v>54536860</v>
      </c>
      <c r="I4702">
        <v>46425760</v>
      </c>
      <c r="J4702">
        <v>57203813</v>
      </c>
      <c r="K4702">
        <v>-48976528</v>
      </c>
      <c r="P4702">
        <v>80</v>
      </c>
      <c r="Q4702" t="s">
        <v>9447</v>
      </c>
    </row>
    <row r="4703" spans="1:17" x14ac:dyDescent="0.3">
      <c r="A4703" t="s">
        <v>4446</v>
      </c>
      <c r="B4703" t="str">
        <f>"300918"</f>
        <v>300918</v>
      </c>
      <c r="C4703" t="s">
        <v>9448</v>
      </c>
      <c r="D4703" t="s">
        <v>227</v>
      </c>
      <c r="F4703">
        <v>201020160</v>
      </c>
      <c r="G4703">
        <v>353605970</v>
      </c>
      <c r="H4703">
        <v>245561041</v>
      </c>
      <c r="I4703">
        <v>44417334</v>
      </c>
      <c r="J4703">
        <v>-30144255</v>
      </c>
      <c r="K4703">
        <v>5426360</v>
      </c>
      <c r="P4703">
        <v>38</v>
      </c>
      <c r="Q4703" t="s">
        <v>9449</v>
      </c>
    </row>
    <row r="4704" spans="1:17" x14ac:dyDescent="0.3">
      <c r="A4704" t="s">
        <v>4446</v>
      </c>
      <c r="B4704" t="str">
        <f>"300919"</f>
        <v>300919</v>
      </c>
      <c r="C4704" t="s">
        <v>9450</v>
      </c>
      <c r="D4704" t="s">
        <v>188</v>
      </c>
      <c r="F4704">
        <v>-6654219247</v>
      </c>
      <c r="G4704">
        <v>-582687280</v>
      </c>
      <c r="H4704">
        <v>-764725116</v>
      </c>
      <c r="I4704">
        <v>-793627992</v>
      </c>
      <c r="J4704">
        <v>-470764424</v>
      </c>
      <c r="P4704">
        <v>175</v>
      </c>
      <c r="Q4704" t="s">
        <v>9451</v>
      </c>
    </row>
    <row r="4705" spans="1:17" x14ac:dyDescent="0.3">
      <c r="A4705" t="s">
        <v>4446</v>
      </c>
      <c r="B4705" t="str">
        <f>"300920"</f>
        <v>300920</v>
      </c>
      <c r="C4705" t="s">
        <v>9452</v>
      </c>
      <c r="D4705" t="s">
        <v>133</v>
      </c>
      <c r="F4705">
        <v>-84231542</v>
      </c>
      <c r="G4705">
        <v>-5238401</v>
      </c>
      <c r="H4705">
        <v>3136975</v>
      </c>
      <c r="I4705">
        <v>-29391940</v>
      </c>
      <c r="J4705">
        <v>17709749</v>
      </c>
      <c r="K4705">
        <v>-16122200</v>
      </c>
      <c r="P4705">
        <v>46</v>
      </c>
      <c r="Q4705" t="s">
        <v>9453</v>
      </c>
    </row>
    <row r="4706" spans="1:17" x14ac:dyDescent="0.3">
      <c r="A4706" t="s">
        <v>4446</v>
      </c>
      <c r="B4706" t="str">
        <f>"300921"</f>
        <v>300921</v>
      </c>
      <c r="C4706" t="s">
        <v>9454</v>
      </c>
      <c r="D4706" t="s">
        <v>100</v>
      </c>
      <c r="F4706">
        <v>16967507</v>
      </c>
      <c r="G4706">
        <v>71752461</v>
      </c>
      <c r="H4706">
        <v>40071631</v>
      </c>
      <c r="I4706">
        <v>42448181</v>
      </c>
      <c r="J4706">
        <v>8104085</v>
      </c>
      <c r="K4706">
        <v>15900762</v>
      </c>
      <c r="P4706">
        <v>39</v>
      </c>
      <c r="Q4706" t="s">
        <v>9455</v>
      </c>
    </row>
    <row r="4707" spans="1:17" x14ac:dyDescent="0.3">
      <c r="A4707" t="s">
        <v>4446</v>
      </c>
      <c r="B4707" t="str">
        <f>"300922"</f>
        <v>300922</v>
      </c>
      <c r="C4707" t="s">
        <v>9456</v>
      </c>
      <c r="D4707" t="s">
        <v>92</v>
      </c>
      <c r="F4707">
        <v>44877387</v>
      </c>
      <c r="G4707">
        <v>19758189</v>
      </c>
      <c r="H4707">
        <v>40614252</v>
      </c>
      <c r="I4707">
        <v>49206085</v>
      </c>
      <c r="J4707">
        <v>42281195</v>
      </c>
      <c r="K4707">
        <v>-5356506</v>
      </c>
      <c r="P4707">
        <v>83</v>
      </c>
      <c r="Q4707" t="s">
        <v>9457</v>
      </c>
    </row>
    <row r="4708" spans="1:17" x14ac:dyDescent="0.3">
      <c r="A4708" t="s">
        <v>4446</v>
      </c>
      <c r="B4708" t="str">
        <f>"300923"</f>
        <v>300923</v>
      </c>
      <c r="C4708" t="s">
        <v>9458</v>
      </c>
      <c r="D4708" t="s">
        <v>78</v>
      </c>
      <c r="F4708">
        <v>-15765477</v>
      </c>
      <c r="G4708">
        <v>41896716</v>
      </c>
      <c r="H4708">
        <v>16117581</v>
      </c>
      <c r="I4708">
        <v>-917888</v>
      </c>
      <c r="J4708">
        <v>61492585</v>
      </c>
      <c r="K4708">
        <v>-26657421</v>
      </c>
      <c r="P4708">
        <v>28</v>
      </c>
      <c r="Q4708" t="s">
        <v>9459</v>
      </c>
    </row>
    <row r="4709" spans="1:17" x14ac:dyDescent="0.3">
      <c r="A4709" t="s">
        <v>4446</v>
      </c>
      <c r="B4709" t="str">
        <f>"300925"</f>
        <v>300925</v>
      </c>
      <c r="C4709" t="s">
        <v>9460</v>
      </c>
      <c r="D4709" t="s">
        <v>212</v>
      </c>
      <c r="F4709">
        <v>-117448468</v>
      </c>
      <c r="G4709">
        <v>31846007</v>
      </c>
      <c r="H4709">
        <v>22030527</v>
      </c>
      <c r="I4709">
        <v>6194807</v>
      </c>
      <c r="J4709">
        <v>10069732</v>
      </c>
      <c r="K4709">
        <v>-1193296</v>
      </c>
      <c r="P4709">
        <v>72</v>
      </c>
      <c r="Q4709" t="s">
        <v>9461</v>
      </c>
    </row>
    <row r="4710" spans="1:17" x14ac:dyDescent="0.3">
      <c r="A4710" t="s">
        <v>4446</v>
      </c>
      <c r="B4710" t="str">
        <f>"300926"</f>
        <v>300926</v>
      </c>
      <c r="C4710" t="s">
        <v>9462</v>
      </c>
      <c r="D4710" t="s">
        <v>27</v>
      </c>
      <c r="F4710">
        <v>-200421907</v>
      </c>
      <c r="G4710">
        <v>5948683</v>
      </c>
      <c r="H4710">
        <v>49822412</v>
      </c>
      <c r="I4710">
        <v>-25287342</v>
      </c>
      <c r="J4710">
        <v>-127265411</v>
      </c>
      <c r="K4710">
        <v>19642904</v>
      </c>
      <c r="P4710">
        <v>45</v>
      </c>
      <c r="Q4710" t="s">
        <v>9463</v>
      </c>
    </row>
    <row r="4711" spans="1:17" x14ac:dyDescent="0.3">
      <c r="A4711" t="s">
        <v>4446</v>
      </c>
      <c r="B4711" t="str">
        <f>"300927"</f>
        <v>300927</v>
      </c>
      <c r="C4711" t="s">
        <v>9464</v>
      </c>
      <c r="D4711" t="s">
        <v>133</v>
      </c>
      <c r="F4711">
        <v>31800102</v>
      </c>
      <c r="G4711">
        <v>-24714348</v>
      </c>
      <c r="H4711">
        <v>-13957496</v>
      </c>
      <c r="I4711">
        <v>6134149</v>
      </c>
      <c r="J4711">
        <v>81759942</v>
      </c>
      <c r="K4711">
        <v>30278448</v>
      </c>
      <c r="P4711">
        <v>44</v>
      </c>
      <c r="Q4711" t="s">
        <v>9465</v>
      </c>
    </row>
    <row r="4712" spans="1:17" x14ac:dyDescent="0.3">
      <c r="A4712" t="s">
        <v>4446</v>
      </c>
      <c r="B4712" t="str">
        <f>"300928"</f>
        <v>300928</v>
      </c>
      <c r="C4712" t="s">
        <v>9466</v>
      </c>
      <c r="D4712" t="s">
        <v>27</v>
      </c>
      <c r="F4712">
        <v>-73013996</v>
      </c>
      <c r="G4712">
        <v>3607496</v>
      </c>
      <c r="H4712">
        <v>1950261</v>
      </c>
      <c r="I4712">
        <v>48762755</v>
      </c>
      <c r="J4712">
        <v>-64928385</v>
      </c>
      <c r="K4712">
        <v>2969336</v>
      </c>
      <c r="P4712">
        <v>27</v>
      </c>
      <c r="Q4712" t="s">
        <v>9467</v>
      </c>
    </row>
    <row r="4713" spans="1:17" x14ac:dyDescent="0.3">
      <c r="A4713" t="s">
        <v>4446</v>
      </c>
      <c r="B4713" t="str">
        <f>"300929"</f>
        <v>300929</v>
      </c>
      <c r="C4713" t="s">
        <v>9468</v>
      </c>
      <c r="D4713" t="s">
        <v>33</v>
      </c>
      <c r="F4713">
        <v>-179197120</v>
      </c>
      <c r="G4713">
        <v>-54172122</v>
      </c>
      <c r="H4713">
        <v>70047094</v>
      </c>
      <c r="I4713">
        <v>-86188514</v>
      </c>
      <c r="J4713">
        <v>-90275504</v>
      </c>
      <c r="K4713">
        <v>-1030609</v>
      </c>
      <c r="P4713">
        <v>48</v>
      </c>
      <c r="Q4713" t="s">
        <v>9469</v>
      </c>
    </row>
    <row r="4714" spans="1:17" x14ac:dyDescent="0.3">
      <c r="A4714" t="s">
        <v>4446</v>
      </c>
      <c r="B4714" t="str">
        <f>"300930"</f>
        <v>300930</v>
      </c>
      <c r="C4714" t="s">
        <v>9470</v>
      </c>
      <c r="D4714" t="s">
        <v>234</v>
      </c>
      <c r="F4714">
        <v>29170881</v>
      </c>
      <c r="G4714">
        <v>12689057</v>
      </c>
      <c r="H4714">
        <v>2708498</v>
      </c>
      <c r="I4714">
        <v>46466285</v>
      </c>
      <c r="J4714">
        <v>-12962211</v>
      </c>
      <c r="K4714">
        <v>3960122</v>
      </c>
      <c r="P4714">
        <v>75</v>
      </c>
      <c r="Q4714" t="s">
        <v>9471</v>
      </c>
    </row>
    <row r="4715" spans="1:17" x14ac:dyDescent="0.3">
      <c r="A4715" t="s">
        <v>4446</v>
      </c>
      <c r="B4715" t="str">
        <f>"300931"</f>
        <v>300931</v>
      </c>
      <c r="C4715" t="s">
        <v>9472</v>
      </c>
      <c r="D4715" t="s">
        <v>78</v>
      </c>
      <c r="F4715">
        <v>-27974545</v>
      </c>
      <c r="G4715">
        <v>24312349</v>
      </c>
      <c r="H4715">
        <v>67345325</v>
      </c>
      <c r="I4715">
        <v>16233212</v>
      </c>
      <c r="J4715">
        <v>5655578</v>
      </c>
      <c r="K4715">
        <v>31431217</v>
      </c>
      <c r="P4715">
        <v>31</v>
      </c>
      <c r="Q4715" t="s">
        <v>9473</v>
      </c>
    </row>
    <row r="4716" spans="1:17" x14ac:dyDescent="0.3">
      <c r="A4716" t="s">
        <v>4446</v>
      </c>
      <c r="B4716" t="str">
        <f>"300932"</f>
        <v>300932</v>
      </c>
      <c r="C4716" t="s">
        <v>9474</v>
      </c>
      <c r="D4716" t="s">
        <v>188</v>
      </c>
      <c r="F4716">
        <v>-238615291</v>
      </c>
      <c r="G4716">
        <v>-23809203</v>
      </c>
      <c r="H4716">
        <v>12463333</v>
      </c>
      <c r="I4716">
        <v>7272627</v>
      </c>
      <c r="J4716">
        <v>-53946119</v>
      </c>
      <c r="K4716">
        <v>26358704</v>
      </c>
      <c r="P4716">
        <v>30</v>
      </c>
      <c r="Q4716" t="s">
        <v>9475</v>
      </c>
    </row>
    <row r="4717" spans="1:17" x14ac:dyDescent="0.3">
      <c r="A4717" t="s">
        <v>4446</v>
      </c>
      <c r="B4717" t="str">
        <f>"300933"</f>
        <v>300933</v>
      </c>
      <c r="C4717" t="s">
        <v>9476</v>
      </c>
      <c r="D4717" t="s">
        <v>188</v>
      </c>
      <c r="F4717">
        <v>-60033739</v>
      </c>
      <c r="G4717">
        <v>-128933041</v>
      </c>
      <c r="H4717">
        <v>90490226</v>
      </c>
      <c r="I4717">
        <v>17965998</v>
      </c>
      <c r="J4717">
        <v>-246176419</v>
      </c>
      <c r="K4717">
        <v>36610395</v>
      </c>
      <c r="P4717">
        <v>30</v>
      </c>
      <c r="Q4717" t="s">
        <v>9477</v>
      </c>
    </row>
    <row r="4718" spans="1:17" x14ac:dyDescent="0.3">
      <c r="A4718" t="s">
        <v>4446</v>
      </c>
      <c r="B4718" t="str">
        <f>"300935"</f>
        <v>300935</v>
      </c>
      <c r="C4718" t="s">
        <v>9478</v>
      </c>
      <c r="D4718" t="s">
        <v>212</v>
      </c>
      <c r="F4718">
        <v>-9863287</v>
      </c>
      <c r="G4718">
        <v>34197084</v>
      </c>
      <c r="H4718">
        <v>70729255</v>
      </c>
      <c r="I4718">
        <v>48357961</v>
      </c>
      <c r="J4718">
        <v>44115611</v>
      </c>
      <c r="K4718">
        <v>17212800</v>
      </c>
      <c r="P4718">
        <v>56</v>
      </c>
      <c r="Q4718" t="s">
        <v>9479</v>
      </c>
    </row>
    <row r="4719" spans="1:17" x14ac:dyDescent="0.3">
      <c r="A4719" t="s">
        <v>4446</v>
      </c>
      <c r="B4719" t="str">
        <f>"300936"</f>
        <v>300936</v>
      </c>
      <c r="C4719" t="s">
        <v>9480</v>
      </c>
      <c r="D4719" t="s">
        <v>150</v>
      </c>
      <c r="F4719">
        <v>-38413205</v>
      </c>
      <c r="G4719">
        <v>-47412645</v>
      </c>
      <c r="H4719">
        <v>-31336001</v>
      </c>
      <c r="I4719">
        <v>17979738</v>
      </c>
      <c r="J4719">
        <v>36153243</v>
      </c>
      <c r="K4719">
        <v>38777868</v>
      </c>
      <c r="P4719">
        <v>54</v>
      </c>
      <c r="Q4719" t="s">
        <v>9481</v>
      </c>
    </row>
    <row r="4720" spans="1:17" x14ac:dyDescent="0.3">
      <c r="A4720" t="s">
        <v>4446</v>
      </c>
      <c r="B4720" t="str">
        <f>"300937"</f>
        <v>300937</v>
      </c>
      <c r="C4720" t="s">
        <v>9482</v>
      </c>
      <c r="D4720" t="s">
        <v>113</v>
      </c>
      <c r="F4720">
        <v>-185799215</v>
      </c>
      <c r="G4720">
        <v>40432556</v>
      </c>
      <c r="H4720">
        <v>5889169</v>
      </c>
      <c r="I4720">
        <v>-36906627</v>
      </c>
      <c r="J4720">
        <v>9635055</v>
      </c>
      <c r="P4720">
        <v>35</v>
      </c>
      <c r="Q4720" t="s">
        <v>9483</v>
      </c>
    </row>
    <row r="4721" spans="1:17" x14ac:dyDescent="0.3">
      <c r="A4721" t="s">
        <v>4446</v>
      </c>
      <c r="B4721" t="str">
        <f>"300938"</f>
        <v>300938</v>
      </c>
      <c r="C4721" t="s">
        <v>9484</v>
      </c>
      <c r="D4721" t="s">
        <v>110</v>
      </c>
      <c r="F4721">
        <v>-50074192</v>
      </c>
      <c r="G4721">
        <v>2430577</v>
      </c>
      <c r="H4721">
        <v>-23071883</v>
      </c>
      <c r="I4721">
        <v>61812692</v>
      </c>
      <c r="J4721">
        <v>17591341</v>
      </c>
      <c r="K4721">
        <v>3089800</v>
      </c>
      <c r="P4721">
        <v>43</v>
      </c>
      <c r="Q4721" t="s">
        <v>9485</v>
      </c>
    </row>
    <row r="4722" spans="1:17" x14ac:dyDescent="0.3">
      <c r="A4722" t="s">
        <v>4446</v>
      </c>
      <c r="B4722" t="str">
        <f>"300939"</f>
        <v>300939</v>
      </c>
      <c r="C4722" t="s">
        <v>9486</v>
      </c>
      <c r="D4722" t="s">
        <v>150</v>
      </c>
      <c r="F4722">
        <v>40600226</v>
      </c>
      <c r="G4722">
        <v>45966040</v>
      </c>
      <c r="H4722">
        <v>131266039</v>
      </c>
      <c r="I4722">
        <v>47500345</v>
      </c>
      <c r="J4722">
        <v>24196203</v>
      </c>
      <c r="K4722">
        <v>-15586800</v>
      </c>
      <c r="P4722">
        <v>31</v>
      </c>
      <c r="Q4722" t="s">
        <v>9487</v>
      </c>
    </row>
    <row r="4723" spans="1:17" x14ac:dyDescent="0.3">
      <c r="A4723" t="s">
        <v>4446</v>
      </c>
      <c r="B4723" t="str">
        <f>"300940"</f>
        <v>300940</v>
      </c>
      <c r="C4723" t="s">
        <v>9488</v>
      </c>
      <c r="D4723" t="s">
        <v>150</v>
      </c>
      <c r="F4723">
        <v>1072735</v>
      </c>
      <c r="G4723">
        <v>26713143</v>
      </c>
      <c r="H4723">
        <v>46525745</v>
      </c>
      <c r="I4723">
        <v>-420046</v>
      </c>
      <c r="J4723">
        <v>3478482</v>
      </c>
      <c r="K4723">
        <v>18547868</v>
      </c>
      <c r="P4723">
        <v>39</v>
      </c>
      <c r="Q4723" t="s">
        <v>9489</v>
      </c>
    </row>
    <row r="4724" spans="1:17" x14ac:dyDescent="0.3">
      <c r="A4724" t="s">
        <v>4446</v>
      </c>
      <c r="B4724" t="str">
        <f>"300941"</f>
        <v>300941</v>
      </c>
      <c r="C4724" t="s">
        <v>9490</v>
      </c>
      <c r="D4724" t="s">
        <v>212</v>
      </c>
      <c r="F4724">
        <v>101030709</v>
      </c>
      <c r="G4724">
        <v>154766665</v>
      </c>
      <c r="H4724">
        <v>107481825</v>
      </c>
      <c r="I4724">
        <v>44349778</v>
      </c>
      <c r="J4724">
        <v>54581865</v>
      </c>
      <c r="K4724">
        <v>50074443</v>
      </c>
      <c r="P4724">
        <v>69</v>
      </c>
      <c r="Q4724" t="s">
        <v>9491</v>
      </c>
    </row>
    <row r="4725" spans="1:17" x14ac:dyDescent="0.3">
      <c r="A4725" t="s">
        <v>4446</v>
      </c>
      <c r="B4725" t="str">
        <f>"300942"</f>
        <v>300942</v>
      </c>
      <c r="C4725" t="s">
        <v>9492</v>
      </c>
      <c r="D4725" t="s">
        <v>113</v>
      </c>
      <c r="F4725">
        <v>175918949</v>
      </c>
      <c r="G4725">
        <v>-18999589</v>
      </c>
      <c r="H4725">
        <v>40950634</v>
      </c>
      <c r="I4725">
        <v>47400655</v>
      </c>
      <c r="J4725">
        <v>12985443</v>
      </c>
      <c r="K4725">
        <v>27285644</v>
      </c>
      <c r="P4725">
        <v>98</v>
      </c>
      <c r="Q4725" t="s">
        <v>9493</v>
      </c>
    </row>
    <row r="4726" spans="1:17" x14ac:dyDescent="0.3">
      <c r="A4726" t="s">
        <v>4446</v>
      </c>
      <c r="B4726" t="str">
        <f>"300943"</f>
        <v>300943</v>
      </c>
      <c r="C4726" t="s">
        <v>9494</v>
      </c>
      <c r="D4726" t="s">
        <v>78</v>
      </c>
      <c r="F4726">
        <v>8256645</v>
      </c>
      <c r="G4726">
        <v>70230063</v>
      </c>
      <c r="H4726">
        <v>115231901</v>
      </c>
      <c r="I4726">
        <v>17896626</v>
      </c>
      <c r="J4726">
        <v>120401644</v>
      </c>
      <c r="P4726">
        <v>35</v>
      </c>
      <c r="Q4726" t="s">
        <v>9495</v>
      </c>
    </row>
    <row r="4727" spans="1:17" x14ac:dyDescent="0.3">
      <c r="A4727" t="s">
        <v>4446</v>
      </c>
      <c r="B4727" t="str">
        <f>"300945"</f>
        <v>300945</v>
      </c>
      <c r="C4727" t="s">
        <v>9496</v>
      </c>
      <c r="D4727" t="s">
        <v>227</v>
      </c>
      <c r="F4727">
        <v>-97935458</v>
      </c>
      <c r="G4727">
        <v>78725230</v>
      </c>
      <c r="H4727">
        <v>50247158</v>
      </c>
      <c r="I4727">
        <v>66938671</v>
      </c>
      <c r="J4727">
        <v>23131297</v>
      </c>
      <c r="K4727">
        <v>30470924</v>
      </c>
      <c r="P4727">
        <v>36</v>
      </c>
      <c r="Q4727" t="s">
        <v>9497</v>
      </c>
    </row>
    <row r="4728" spans="1:17" x14ac:dyDescent="0.3">
      <c r="A4728" t="s">
        <v>4446</v>
      </c>
      <c r="B4728" t="str">
        <f>"300946"</f>
        <v>300946</v>
      </c>
      <c r="C4728" t="s">
        <v>9498</v>
      </c>
      <c r="D4728" t="s">
        <v>78</v>
      </c>
      <c r="F4728">
        <v>-22108618</v>
      </c>
      <c r="G4728">
        <v>2927379</v>
      </c>
      <c r="H4728">
        <v>17097154</v>
      </c>
      <c r="I4728">
        <v>9407810</v>
      </c>
      <c r="J4728">
        <v>31987205</v>
      </c>
      <c r="P4728">
        <v>75</v>
      </c>
      <c r="Q4728" t="s">
        <v>9499</v>
      </c>
    </row>
    <row r="4729" spans="1:17" x14ac:dyDescent="0.3">
      <c r="A4729" t="s">
        <v>4446</v>
      </c>
      <c r="B4729" t="str">
        <f>"300947"</f>
        <v>300947</v>
      </c>
      <c r="C4729" t="s">
        <v>9500</v>
      </c>
      <c r="D4729" t="s">
        <v>120</v>
      </c>
      <c r="F4729">
        <v>475787542</v>
      </c>
      <c r="G4729">
        <v>107356000</v>
      </c>
      <c r="H4729">
        <v>107015869</v>
      </c>
      <c r="I4729">
        <v>26696847</v>
      </c>
      <c r="J4729">
        <v>-28974755</v>
      </c>
      <c r="K4729">
        <v>18379107</v>
      </c>
      <c r="P4729">
        <v>28</v>
      </c>
      <c r="Q4729" t="s">
        <v>9501</v>
      </c>
    </row>
    <row r="4730" spans="1:17" x14ac:dyDescent="0.3">
      <c r="A4730" t="s">
        <v>4446</v>
      </c>
      <c r="B4730" t="str">
        <f>"300948"</f>
        <v>300948</v>
      </c>
      <c r="C4730" t="s">
        <v>9502</v>
      </c>
      <c r="D4730" t="s">
        <v>95</v>
      </c>
      <c r="F4730">
        <v>-150750732</v>
      </c>
      <c r="G4730">
        <v>72622971</v>
      </c>
      <c r="H4730">
        <v>94292129</v>
      </c>
      <c r="I4730">
        <v>-67923250</v>
      </c>
      <c r="J4730">
        <v>-30747106</v>
      </c>
      <c r="K4730">
        <v>33143011</v>
      </c>
      <c r="P4730">
        <v>38</v>
      </c>
      <c r="Q4730" t="s">
        <v>9503</v>
      </c>
    </row>
    <row r="4731" spans="1:17" x14ac:dyDescent="0.3">
      <c r="A4731" t="s">
        <v>4446</v>
      </c>
      <c r="B4731" t="str">
        <f>"300949"</f>
        <v>300949</v>
      </c>
      <c r="C4731" t="s">
        <v>9504</v>
      </c>
      <c r="D4731" t="s">
        <v>95</v>
      </c>
      <c r="F4731">
        <v>-117231641</v>
      </c>
      <c r="G4731">
        <v>54528574</v>
      </c>
      <c r="H4731">
        <v>33778875</v>
      </c>
      <c r="I4731">
        <v>72455218</v>
      </c>
      <c r="J4731">
        <v>77657096</v>
      </c>
      <c r="K4731">
        <v>42070579</v>
      </c>
      <c r="P4731">
        <v>39</v>
      </c>
      <c r="Q4731" t="s">
        <v>9505</v>
      </c>
    </row>
    <row r="4732" spans="1:17" x14ac:dyDescent="0.3">
      <c r="A4732" t="s">
        <v>4446</v>
      </c>
      <c r="B4732" t="str">
        <f>"300950"</f>
        <v>300950</v>
      </c>
      <c r="C4732" t="s">
        <v>9506</v>
      </c>
      <c r="D4732" t="s">
        <v>78</v>
      </c>
      <c r="F4732">
        <v>28631739</v>
      </c>
      <c r="G4732">
        <v>81508198</v>
      </c>
      <c r="H4732">
        <v>75855474</v>
      </c>
      <c r="I4732">
        <v>6371940</v>
      </c>
      <c r="J4732">
        <v>17834015</v>
      </c>
      <c r="K4732">
        <v>13823084</v>
      </c>
      <c r="P4732">
        <v>58</v>
      </c>
      <c r="Q4732" t="s">
        <v>9507</v>
      </c>
    </row>
    <row r="4733" spans="1:17" x14ac:dyDescent="0.3">
      <c r="A4733" t="s">
        <v>4446</v>
      </c>
      <c r="B4733" t="str">
        <f>"300951"</f>
        <v>300951</v>
      </c>
      <c r="C4733" t="s">
        <v>9508</v>
      </c>
      <c r="D4733" t="s">
        <v>150</v>
      </c>
      <c r="F4733">
        <v>216776777</v>
      </c>
      <c r="G4733">
        <v>-3734900</v>
      </c>
      <c r="H4733">
        <v>72523954</v>
      </c>
      <c r="I4733">
        <v>2198605</v>
      </c>
      <c r="J4733">
        <v>-23245121</v>
      </c>
      <c r="P4733">
        <v>67</v>
      </c>
      <c r="Q4733" t="s">
        <v>9509</v>
      </c>
    </row>
    <row r="4734" spans="1:17" x14ac:dyDescent="0.3">
      <c r="A4734" t="s">
        <v>4446</v>
      </c>
      <c r="B4734" t="str">
        <f>"300952"</f>
        <v>300952</v>
      </c>
      <c r="C4734" t="s">
        <v>9510</v>
      </c>
      <c r="D4734" t="s">
        <v>227</v>
      </c>
      <c r="F4734">
        <v>-73093452</v>
      </c>
      <c r="G4734">
        <v>-64355086</v>
      </c>
      <c r="H4734">
        <v>5920680</v>
      </c>
      <c r="I4734">
        <v>-16621955</v>
      </c>
      <c r="J4734">
        <v>-985657</v>
      </c>
      <c r="K4734">
        <v>23096621</v>
      </c>
      <c r="P4734">
        <v>38</v>
      </c>
      <c r="Q4734" t="s">
        <v>9511</v>
      </c>
    </row>
    <row r="4735" spans="1:17" x14ac:dyDescent="0.3">
      <c r="A4735" t="s">
        <v>4446</v>
      </c>
      <c r="B4735" t="str">
        <f>"300953"</f>
        <v>300953</v>
      </c>
      <c r="C4735" t="s">
        <v>9512</v>
      </c>
      <c r="D4735" t="s">
        <v>78</v>
      </c>
      <c r="F4735">
        <v>-750635248</v>
      </c>
      <c r="G4735">
        <v>-211700783</v>
      </c>
      <c r="H4735">
        <v>-168801371</v>
      </c>
      <c r="I4735">
        <v>-23616213</v>
      </c>
      <c r="J4735">
        <v>-88184695</v>
      </c>
      <c r="K4735">
        <v>-44839497</v>
      </c>
      <c r="P4735">
        <v>84</v>
      </c>
      <c r="Q4735" t="s">
        <v>9513</v>
      </c>
    </row>
    <row r="4736" spans="1:17" x14ac:dyDescent="0.3">
      <c r="A4736" t="s">
        <v>4446</v>
      </c>
      <c r="B4736" t="str">
        <f>"300955"</f>
        <v>300955</v>
      </c>
      <c r="C4736" t="s">
        <v>9514</v>
      </c>
      <c r="D4736" t="s">
        <v>481</v>
      </c>
      <c r="F4736">
        <v>-186020694</v>
      </c>
      <c r="G4736">
        <v>-27363927</v>
      </c>
      <c r="H4736">
        <v>94033560</v>
      </c>
      <c r="I4736">
        <v>6904295</v>
      </c>
      <c r="J4736">
        <v>-7401671</v>
      </c>
      <c r="P4736">
        <v>43</v>
      </c>
      <c r="Q4736" t="s">
        <v>9515</v>
      </c>
    </row>
    <row r="4737" spans="1:17" x14ac:dyDescent="0.3">
      <c r="A4737" t="s">
        <v>4446</v>
      </c>
      <c r="B4737" t="str">
        <f>"300956"</f>
        <v>300956</v>
      </c>
      <c r="C4737" t="s">
        <v>9516</v>
      </c>
      <c r="D4737" t="s">
        <v>150</v>
      </c>
      <c r="F4737">
        <v>-444368257</v>
      </c>
      <c r="G4737">
        <v>-78342329</v>
      </c>
      <c r="H4737">
        <v>14466061</v>
      </c>
      <c r="I4737">
        <v>-73130564</v>
      </c>
      <c r="J4737">
        <v>-83017919</v>
      </c>
      <c r="P4737">
        <v>45</v>
      </c>
      <c r="Q4737" t="s">
        <v>9517</v>
      </c>
    </row>
    <row r="4738" spans="1:17" x14ac:dyDescent="0.3">
      <c r="A4738" t="s">
        <v>4446</v>
      </c>
      <c r="B4738" t="str">
        <f>"300957"</f>
        <v>300957</v>
      </c>
      <c r="C4738" t="s">
        <v>9518</v>
      </c>
      <c r="D4738" t="s">
        <v>481</v>
      </c>
      <c r="F4738">
        <v>882262999</v>
      </c>
      <c r="G4738">
        <v>341575455</v>
      </c>
      <c r="H4738">
        <v>453915876</v>
      </c>
      <c r="I4738">
        <v>70638759</v>
      </c>
      <c r="J4738">
        <v>188830409</v>
      </c>
      <c r="P4738">
        <v>350</v>
      </c>
      <c r="Q4738" t="s">
        <v>9519</v>
      </c>
    </row>
    <row r="4739" spans="1:17" x14ac:dyDescent="0.3">
      <c r="A4739" t="s">
        <v>4446</v>
      </c>
      <c r="B4739" t="str">
        <f>"300958"</f>
        <v>300958</v>
      </c>
      <c r="C4739" t="s">
        <v>9520</v>
      </c>
      <c r="D4739" t="s">
        <v>33</v>
      </c>
      <c r="F4739">
        <v>10263290</v>
      </c>
      <c r="G4739">
        <v>40262111</v>
      </c>
      <c r="H4739">
        <v>27976565</v>
      </c>
      <c r="I4739">
        <v>70420772</v>
      </c>
      <c r="J4739">
        <v>-6264115</v>
      </c>
      <c r="P4739">
        <v>29</v>
      </c>
      <c r="Q4739" t="s">
        <v>9521</v>
      </c>
    </row>
    <row r="4740" spans="1:17" x14ac:dyDescent="0.3">
      <c r="A4740" t="s">
        <v>4446</v>
      </c>
      <c r="B4740" t="str">
        <f>"300959"</f>
        <v>300959</v>
      </c>
      <c r="C4740" t="s">
        <v>9522</v>
      </c>
      <c r="D4740" t="s">
        <v>100</v>
      </c>
      <c r="F4740">
        <v>43399659</v>
      </c>
      <c r="G4740">
        <v>-1982556</v>
      </c>
      <c r="H4740">
        <v>-11833244</v>
      </c>
      <c r="I4740">
        <v>-45245444</v>
      </c>
      <c r="J4740">
        <v>6622968</v>
      </c>
      <c r="K4740">
        <v>7322966</v>
      </c>
      <c r="P4740">
        <v>31</v>
      </c>
      <c r="Q4740" t="s">
        <v>9523</v>
      </c>
    </row>
    <row r="4741" spans="1:17" x14ac:dyDescent="0.3">
      <c r="A4741" t="s">
        <v>4446</v>
      </c>
      <c r="B4741" t="str">
        <f>"300960"</f>
        <v>300960</v>
      </c>
      <c r="C4741" t="s">
        <v>9524</v>
      </c>
      <c r="D4741" t="s">
        <v>78</v>
      </c>
      <c r="F4741">
        <v>-58373797</v>
      </c>
      <c r="G4741">
        <v>61909604</v>
      </c>
      <c r="H4741">
        <v>28369929</v>
      </c>
      <c r="I4741">
        <v>43483469</v>
      </c>
      <c r="J4741">
        <v>43153794</v>
      </c>
      <c r="K4741">
        <v>25470440</v>
      </c>
      <c r="P4741">
        <v>26</v>
      </c>
      <c r="Q4741" t="s">
        <v>9525</v>
      </c>
    </row>
    <row r="4742" spans="1:17" x14ac:dyDescent="0.3">
      <c r="A4742" t="s">
        <v>4446</v>
      </c>
      <c r="B4742" t="str">
        <f>"300961"</f>
        <v>300961</v>
      </c>
      <c r="C4742" t="s">
        <v>9526</v>
      </c>
      <c r="D4742" t="s">
        <v>33</v>
      </c>
      <c r="F4742">
        <v>-491301860</v>
      </c>
      <c r="G4742">
        <v>-225372100</v>
      </c>
      <c r="H4742">
        <v>-94349544</v>
      </c>
      <c r="I4742">
        <v>-64167751</v>
      </c>
      <c r="J4742">
        <v>-59656904</v>
      </c>
      <c r="K4742">
        <v>-3722241</v>
      </c>
      <c r="P4742">
        <v>27</v>
      </c>
      <c r="Q4742" t="s">
        <v>9527</v>
      </c>
    </row>
    <row r="4743" spans="1:17" x14ac:dyDescent="0.3">
      <c r="A4743" t="s">
        <v>4446</v>
      </c>
      <c r="B4743" t="str">
        <f>"300962"</f>
        <v>300962</v>
      </c>
      <c r="C4743" t="s">
        <v>9528</v>
      </c>
      <c r="D4743" t="s">
        <v>110</v>
      </c>
      <c r="F4743">
        <v>110577412</v>
      </c>
      <c r="G4743">
        <v>56026711</v>
      </c>
      <c r="H4743">
        <v>36898681</v>
      </c>
      <c r="I4743">
        <v>78088680</v>
      </c>
      <c r="J4743">
        <v>18641147</v>
      </c>
      <c r="K4743">
        <v>23414742</v>
      </c>
      <c r="P4743">
        <v>32</v>
      </c>
      <c r="Q4743" t="s">
        <v>9529</v>
      </c>
    </row>
    <row r="4744" spans="1:17" x14ac:dyDescent="0.3">
      <c r="A4744" t="s">
        <v>4446</v>
      </c>
      <c r="B4744" t="str">
        <f>"300963"</f>
        <v>300963</v>
      </c>
      <c r="C4744" t="s">
        <v>9530</v>
      </c>
      <c r="D4744" t="s">
        <v>234</v>
      </c>
      <c r="F4744">
        <v>-111619543</v>
      </c>
      <c r="G4744">
        <v>47312483</v>
      </c>
      <c r="H4744">
        <v>39587641</v>
      </c>
      <c r="I4744">
        <v>-3943415</v>
      </c>
      <c r="J4744">
        <v>768284</v>
      </c>
      <c r="K4744">
        <v>-17973542</v>
      </c>
      <c r="P4744">
        <v>35</v>
      </c>
      <c r="Q4744" t="s">
        <v>9531</v>
      </c>
    </row>
    <row r="4745" spans="1:17" x14ac:dyDescent="0.3">
      <c r="A4745" t="s">
        <v>4446</v>
      </c>
      <c r="B4745" t="str">
        <f>"300964"</f>
        <v>300964</v>
      </c>
      <c r="C4745" t="s">
        <v>9532</v>
      </c>
      <c r="D4745" t="s">
        <v>150</v>
      </c>
      <c r="F4745">
        <v>-39637230</v>
      </c>
      <c r="G4745">
        <v>130156660</v>
      </c>
      <c r="H4745">
        <v>17475880</v>
      </c>
      <c r="I4745">
        <v>31961924</v>
      </c>
      <c r="J4745">
        <v>-18410196</v>
      </c>
      <c r="P4745">
        <v>20</v>
      </c>
      <c r="Q4745" t="s">
        <v>9533</v>
      </c>
    </row>
    <row r="4746" spans="1:17" x14ac:dyDescent="0.3">
      <c r="A4746" t="s">
        <v>4446</v>
      </c>
      <c r="B4746" t="str">
        <f>"300965"</f>
        <v>300965</v>
      </c>
      <c r="C4746" t="s">
        <v>9534</v>
      </c>
      <c r="D4746" t="s">
        <v>92</v>
      </c>
      <c r="F4746">
        <v>41681616</v>
      </c>
      <c r="G4746">
        <v>67291294</v>
      </c>
      <c r="H4746">
        <v>25392696</v>
      </c>
      <c r="I4746">
        <v>-7043706</v>
      </c>
      <c r="J4746">
        <v>58386700</v>
      </c>
      <c r="K4746">
        <v>70672500</v>
      </c>
      <c r="P4746">
        <v>31</v>
      </c>
      <c r="Q4746" t="s">
        <v>9535</v>
      </c>
    </row>
    <row r="4747" spans="1:17" x14ac:dyDescent="0.3">
      <c r="A4747" t="s">
        <v>4446</v>
      </c>
      <c r="B4747" t="str">
        <f>"300966"</f>
        <v>300966</v>
      </c>
      <c r="C4747" t="s">
        <v>9536</v>
      </c>
      <c r="D4747" t="s">
        <v>113</v>
      </c>
      <c r="F4747">
        <v>-32909106</v>
      </c>
      <c r="G4747">
        <v>-5043839</v>
      </c>
      <c r="H4747">
        <v>-24757764</v>
      </c>
      <c r="I4747">
        <v>-61797973</v>
      </c>
      <c r="J4747">
        <v>-41722965</v>
      </c>
      <c r="P4747">
        <v>32</v>
      </c>
      <c r="Q4747" t="s">
        <v>9537</v>
      </c>
    </row>
    <row r="4748" spans="1:17" x14ac:dyDescent="0.3">
      <c r="A4748" t="s">
        <v>4446</v>
      </c>
      <c r="B4748" t="str">
        <f>"300967"</f>
        <v>300967</v>
      </c>
      <c r="C4748" t="s">
        <v>9538</v>
      </c>
      <c r="D4748" t="s">
        <v>205</v>
      </c>
      <c r="F4748">
        <v>-12404375</v>
      </c>
      <c r="G4748">
        <v>-82672391</v>
      </c>
      <c r="H4748">
        <v>25548083</v>
      </c>
      <c r="I4748">
        <v>-15019655</v>
      </c>
      <c r="J4748">
        <v>-133820787</v>
      </c>
      <c r="P4748">
        <v>34</v>
      </c>
      <c r="Q4748" t="s">
        <v>9539</v>
      </c>
    </row>
    <row r="4749" spans="1:17" x14ac:dyDescent="0.3">
      <c r="A4749" t="s">
        <v>4446</v>
      </c>
      <c r="B4749" t="str">
        <f>"300968"</f>
        <v>300968</v>
      </c>
      <c r="C4749" t="s">
        <v>9540</v>
      </c>
      <c r="D4749" t="s">
        <v>150</v>
      </c>
      <c r="F4749">
        <v>-9337804</v>
      </c>
      <c r="G4749">
        <v>166354392</v>
      </c>
      <c r="H4749">
        <v>78582296</v>
      </c>
      <c r="I4749">
        <v>15097547</v>
      </c>
      <c r="J4749">
        <v>92870450</v>
      </c>
      <c r="K4749">
        <v>-58665216</v>
      </c>
      <c r="P4749">
        <v>31</v>
      </c>
      <c r="Q4749" t="s">
        <v>9541</v>
      </c>
    </row>
    <row r="4750" spans="1:17" x14ac:dyDescent="0.3">
      <c r="A4750" t="s">
        <v>4446</v>
      </c>
      <c r="B4750" t="str">
        <f>"300969"</f>
        <v>300969</v>
      </c>
      <c r="C4750" t="s">
        <v>9542</v>
      </c>
      <c r="D4750" t="s">
        <v>27</v>
      </c>
      <c r="F4750">
        <v>-46078904</v>
      </c>
      <c r="G4750">
        <v>5501175</v>
      </c>
      <c r="H4750">
        <v>57353366</v>
      </c>
      <c r="I4750">
        <v>45492753</v>
      </c>
      <c r="J4750">
        <v>43154947</v>
      </c>
      <c r="P4750">
        <v>42</v>
      </c>
      <c r="Q4750" t="s">
        <v>9543</v>
      </c>
    </row>
    <row r="4751" spans="1:17" x14ac:dyDescent="0.3">
      <c r="A4751" t="s">
        <v>4446</v>
      </c>
      <c r="B4751" t="str">
        <f>"300970"</f>
        <v>300970</v>
      </c>
      <c r="C4751" t="s">
        <v>9544</v>
      </c>
      <c r="D4751" t="s">
        <v>205</v>
      </c>
      <c r="F4751">
        <v>-121007312</v>
      </c>
      <c r="G4751">
        <v>8271039</v>
      </c>
      <c r="H4751">
        <v>125868295</v>
      </c>
      <c r="I4751">
        <v>-119387016</v>
      </c>
      <c r="J4751">
        <v>-76447951</v>
      </c>
      <c r="K4751">
        <v>-46638187</v>
      </c>
      <c r="P4751">
        <v>25</v>
      </c>
      <c r="Q4751" t="s">
        <v>9545</v>
      </c>
    </row>
    <row r="4752" spans="1:17" x14ac:dyDescent="0.3">
      <c r="A4752" t="s">
        <v>4446</v>
      </c>
      <c r="B4752" t="str">
        <f>"300971"</f>
        <v>300971</v>
      </c>
      <c r="C4752" t="s">
        <v>9546</v>
      </c>
      <c r="D4752" t="s">
        <v>78</v>
      </c>
      <c r="F4752">
        <v>56198064</v>
      </c>
      <c r="G4752">
        <v>39955524</v>
      </c>
      <c r="H4752">
        <v>62877554</v>
      </c>
      <c r="I4752">
        <v>3521773</v>
      </c>
      <c r="J4752">
        <v>34002802</v>
      </c>
      <c r="P4752">
        <v>39</v>
      </c>
      <c r="Q4752" t="s">
        <v>9547</v>
      </c>
    </row>
    <row r="4753" spans="1:17" x14ac:dyDescent="0.3">
      <c r="A4753" t="s">
        <v>4446</v>
      </c>
      <c r="B4753" t="str">
        <f>"300972"</f>
        <v>300972</v>
      </c>
      <c r="C4753" t="s">
        <v>9548</v>
      </c>
      <c r="D4753" t="s">
        <v>205</v>
      </c>
      <c r="F4753">
        <v>57618482</v>
      </c>
      <c r="G4753">
        <v>100338324</v>
      </c>
      <c r="H4753">
        <v>137696046</v>
      </c>
      <c r="I4753">
        <v>-23382217</v>
      </c>
      <c r="J4753">
        <v>-57879956</v>
      </c>
      <c r="P4753">
        <v>22</v>
      </c>
      <c r="Q4753" t="s">
        <v>9549</v>
      </c>
    </row>
    <row r="4754" spans="1:17" x14ac:dyDescent="0.3">
      <c r="A4754" t="s">
        <v>4446</v>
      </c>
      <c r="B4754" t="str">
        <f>"300973"</f>
        <v>300973</v>
      </c>
      <c r="C4754" t="s">
        <v>9550</v>
      </c>
      <c r="D4754" t="s">
        <v>123</v>
      </c>
      <c r="F4754">
        <v>-422326908</v>
      </c>
      <c r="G4754">
        <v>129546761</v>
      </c>
      <c r="H4754">
        <v>159904328</v>
      </c>
      <c r="I4754">
        <v>8770211</v>
      </c>
      <c r="J4754">
        <v>29156910</v>
      </c>
      <c r="P4754">
        <v>140</v>
      </c>
      <c r="Q4754" t="s">
        <v>9551</v>
      </c>
    </row>
    <row r="4755" spans="1:17" x14ac:dyDescent="0.3">
      <c r="A4755" t="s">
        <v>4446</v>
      </c>
      <c r="B4755" t="str">
        <f>"300975"</f>
        <v>300975</v>
      </c>
      <c r="C4755" t="s">
        <v>9552</v>
      </c>
      <c r="D4755" t="s">
        <v>150</v>
      </c>
      <c r="F4755">
        <v>-936248348</v>
      </c>
      <c r="G4755">
        <v>-395369211</v>
      </c>
      <c r="H4755">
        <v>24404448</v>
      </c>
      <c r="I4755">
        <v>146520705</v>
      </c>
      <c r="J4755">
        <v>-228044145</v>
      </c>
      <c r="P4755">
        <v>30</v>
      </c>
      <c r="Q4755" t="s">
        <v>9553</v>
      </c>
    </row>
    <row r="4756" spans="1:17" x14ac:dyDescent="0.3">
      <c r="A4756" t="s">
        <v>4446</v>
      </c>
      <c r="B4756" t="str">
        <f>"300976"</f>
        <v>300976</v>
      </c>
      <c r="C4756" t="s">
        <v>9554</v>
      </c>
      <c r="D4756" t="s">
        <v>150</v>
      </c>
      <c r="F4756">
        <v>-158980885</v>
      </c>
      <c r="G4756">
        <v>-53359833</v>
      </c>
      <c r="H4756">
        <v>165963019</v>
      </c>
      <c r="I4756">
        <v>68125165</v>
      </c>
      <c r="J4756">
        <v>34049627</v>
      </c>
      <c r="P4756">
        <v>35</v>
      </c>
      <c r="Q4756" t="s">
        <v>9555</v>
      </c>
    </row>
    <row r="4757" spans="1:17" x14ac:dyDescent="0.3">
      <c r="A4757" t="s">
        <v>4446</v>
      </c>
      <c r="B4757" t="str">
        <f>"300977"</f>
        <v>300977</v>
      </c>
      <c r="C4757" t="s">
        <v>9556</v>
      </c>
      <c r="D4757" t="s">
        <v>95</v>
      </c>
      <c r="F4757">
        <v>50560230</v>
      </c>
      <c r="G4757">
        <v>66394869</v>
      </c>
      <c r="H4757">
        <v>89464050</v>
      </c>
      <c r="I4757">
        <v>61639749</v>
      </c>
      <c r="J4757">
        <v>35534820</v>
      </c>
      <c r="K4757">
        <v>27744310</v>
      </c>
      <c r="P4757">
        <v>46</v>
      </c>
      <c r="Q4757" t="s">
        <v>9557</v>
      </c>
    </row>
    <row r="4758" spans="1:17" x14ac:dyDescent="0.3">
      <c r="A4758" t="s">
        <v>4446</v>
      </c>
      <c r="B4758" t="str">
        <f>"300978"</f>
        <v>300978</v>
      </c>
      <c r="C4758" t="s">
        <v>9558</v>
      </c>
      <c r="D4758" t="s">
        <v>27</v>
      </c>
      <c r="F4758">
        <v>30308359</v>
      </c>
      <c r="G4758">
        <v>256580627</v>
      </c>
      <c r="H4758">
        <v>200277550</v>
      </c>
      <c r="I4758">
        <v>185943652</v>
      </c>
      <c r="J4758">
        <v>22170145</v>
      </c>
      <c r="K4758">
        <v>16693485</v>
      </c>
      <c r="P4758">
        <v>37</v>
      </c>
      <c r="Q4758" t="s">
        <v>9559</v>
      </c>
    </row>
    <row r="4759" spans="1:17" x14ac:dyDescent="0.3">
      <c r="A4759" t="s">
        <v>4446</v>
      </c>
      <c r="B4759" t="str">
        <f>"300979"</f>
        <v>300979</v>
      </c>
      <c r="C4759" t="s">
        <v>9560</v>
      </c>
      <c r="D4759" t="s">
        <v>227</v>
      </c>
      <c r="F4759">
        <v>1154063753</v>
      </c>
      <c r="G4759">
        <v>2366781863</v>
      </c>
      <c r="H4759">
        <v>980228421</v>
      </c>
      <c r="I4759">
        <v>978327319</v>
      </c>
      <c r="J4759">
        <v>591320750</v>
      </c>
      <c r="P4759">
        <v>98</v>
      </c>
      <c r="Q4759" t="s">
        <v>9561</v>
      </c>
    </row>
    <row r="4760" spans="1:17" x14ac:dyDescent="0.3">
      <c r="A4760" t="s">
        <v>4446</v>
      </c>
      <c r="B4760" t="str">
        <f>"300980"</f>
        <v>300980</v>
      </c>
      <c r="C4760" t="s">
        <v>9562</v>
      </c>
      <c r="D4760" t="s">
        <v>133</v>
      </c>
      <c r="F4760">
        <v>-101851461</v>
      </c>
      <c r="G4760">
        <v>7343732</v>
      </c>
      <c r="H4760">
        <v>8073069</v>
      </c>
      <c r="I4760">
        <v>-745213</v>
      </c>
      <c r="J4760">
        <v>-17550061</v>
      </c>
      <c r="P4760">
        <v>77</v>
      </c>
      <c r="Q4760" t="s">
        <v>9563</v>
      </c>
    </row>
    <row r="4761" spans="1:17" x14ac:dyDescent="0.3">
      <c r="A4761" t="s">
        <v>4446</v>
      </c>
      <c r="B4761" t="str">
        <f>"300981"</f>
        <v>300981</v>
      </c>
      <c r="C4761" t="s">
        <v>9564</v>
      </c>
      <c r="D4761" t="s">
        <v>113</v>
      </c>
      <c r="F4761">
        <v>1405995157</v>
      </c>
      <c r="G4761">
        <v>2290286867</v>
      </c>
      <c r="H4761">
        <v>37307790</v>
      </c>
      <c r="I4761">
        <v>-174996494</v>
      </c>
      <c r="J4761">
        <v>18159941</v>
      </c>
      <c r="P4761">
        <v>127</v>
      </c>
      <c r="Q4761" t="s">
        <v>9565</v>
      </c>
    </row>
    <row r="4762" spans="1:17" x14ac:dyDescent="0.3">
      <c r="A4762" t="s">
        <v>4446</v>
      </c>
      <c r="B4762" t="str">
        <f>"300982"</f>
        <v>300982</v>
      </c>
      <c r="C4762" t="s">
        <v>9566</v>
      </c>
      <c r="D4762" t="s">
        <v>95</v>
      </c>
      <c r="F4762">
        <v>-96563056</v>
      </c>
      <c r="G4762">
        <v>239892785</v>
      </c>
      <c r="H4762">
        <v>58189523</v>
      </c>
      <c r="I4762">
        <v>99450900</v>
      </c>
      <c r="J4762">
        <v>75851727</v>
      </c>
      <c r="K4762">
        <v>-72158711</v>
      </c>
      <c r="P4762">
        <v>65</v>
      </c>
      <c r="Q4762" t="s">
        <v>9567</v>
      </c>
    </row>
    <row r="4763" spans="1:17" x14ac:dyDescent="0.3">
      <c r="A4763" t="s">
        <v>4446</v>
      </c>
      <c r="B4763" t="str">
        <f>"300983"</f>
        <v>300983</v>
      </c>
      <c r="C4763" t="s">
        <v>9568</v>
      </c>
      <c r="D4763" t="s">
        <v>95</v>
      </c>
      <c r="F4763">
        <v>-177824972</v>
      </c>
      <c r="G4763">
        <v>154272513</v>
      </c>
      <c r="H4763">
        <v>160934383</v>
      </c>
      <c r="I4763">
        <v>129794889</v>
      </c>
      <c r="J4763">
        <v>90355496</v>
      </c>
      <c r="P4763">
        <v>34</v>
      </c>
      <c r="Q4763" t="s">
        <v>9569</v>
      </c>
    </row>
    <row r="4764" spans="1:17" x14ac:dyDescent="0.3">
      <c r="A4764" t="s">
        <v>4446</v>
      </c>
      <c r="B4764" t="str">
        <f>"300984"</f>
        <v>300984</v>
      </c>
      <c r="C4764" t="s">
        <v>9570</v>
      </c>
      <c r="D4764" t="s">
        <v>78</v>
      </c>
      <c r="F4764">
        <v>-274428329</v>
      </c>
      <c r="G4764">
        <v>30551273</v>
      </c>
      <c r="H4764">
        <v>58768876</v>
      </c>
      <c r="I4764">
        <v>-19625509</v>
      </c>
      <c r="J4764">
        <v>-992711</v>
      </c>
      <c r="P4764">
        <v>18</v>
      </c>
      <c r="Q4764" t="s">
        <v>9571</v>
      </c>
    </row>
    <row r="4765" spans="1:17" x14ac:dyDescent="0.3">
      <c r="A4765" t="s">
        <v>4446</v>
      </c>
      <c r="B4765" t="str">
        <f>"300985"</f>
        <v>300985</v>
      </c>
      <c r="C4765" t="s">
        <v>9572</v>
      </c>
      <c r="D4765" t="s">
        <v>78</v>
      </c>
      <c r="F4765">
        <v>-107845620</v>
      </c>
      <c r="G4765">
        <v>-3354520</v>
      </c>
      <c r="H4765">
        <v>66859305</v>
      </c>
      <c r="I4765">
        <v>11265433</v>
      </c>
      <c r="J4765">
        <v>-69563454</v>
      </c>
      <c r="P4765">
        <v>32</v>
      </c>
      <c r="Q4765" t="s">
        <v>9573</v>
      </c>
    </row>
    <row r="4766" spans="1:17" x14ac:dyDescent="0.3">
      <c r="A4766" t="s">
        <v>4446</v>
      </c>
      <c r="B4766" t="str">
        <f>"300986"</f>
        <v>300986</v>
      </c>
      <c r="C4766" t="s">
        <v>9574</v>
      </c>
      <c r="D4766" t="s">
        <v>234</v>
      </c>
      <c r="F4766">
        <v>-160237234</v>
      </c>
      <c r="G4766">
        <v>-1934253</v>
      </c>
      <c r="H4766">
        <v>-210386621</v>
      </c>
      <c r="I4766">
        <v>-127489618</v>
      </c>
      <c r="J4766">
        <v>-86831923</v>
      </c>
      <c r="K4766">
        <v>-22201400</v>
      </c>
      <c r="P4766">
        <v>34</v>
      </c>
      <c r="Q4766" t="s">
        <v>9575</v>
      </c>
    </row>
    <row r="4767" spans="1:17" x14ac:dyDescent="0.3">
      <c r="A4767" t="s">
        <v>4446</v>
      </c>
      <c r="B4767" t="str">
        <f>"300987"</f>
        <v>300987</v>
      </c>
      <c r="C4767" t="s">
        <v>9576</v>
      </c>
      <c r="D4767" t="s">
        <v>89</v>
      </c>
      <c r="F4767">
        <v>11495910</v>
      </c>
      <c r="G4767">
        <v>57627852</v>
      </c>
      <c r="H4767">
        <v>23098975</v>
      </c>
      <c r="I4767">
        <v>311798</v>
      </c>
      <c r="J4767">
        <v>52212481</v>
      </c>
      <c r="K4767">
        <v>23469511</v>
      </c>
      <c r="P4767">
        <v>24</v>
      </c>
      <c r="Q4767" t="s">
        <v>9577</v>
      </c>
    </row>
    <row r="4768" spans="1:17" x14ac:dyDescent="0.3">
      <c r="A4768" t="s">
        <v>4446</v>
      </c>
      <c r="B4768" t="str">
        <f>"300988"</f>
        <v>300988</v>
      </c>
      <c r="C4768" t="s">
        <v>9578</v>
      </c>
      <c r="D4768" t="s">
        <v>78</v>
      </c>
      <c r="F4768">
        <v>-69061106</v>
      </c>
      <c r="G4768">
        <v>15710917</v>
      </c>
      <c r="H4768">
        <v>30539</v>
      </c>
      <c r="I4768">
        <v>-18149346</v>
      </c>
      <c r="J4768">
        <v>-39867072</v>
      </c>
      <c r="P4768">
        <v>20</v>
      </c>
      <c r="Q4768" t="s">
        <v>9579</v>
      </c>
    </row>
    <row r="4769" spans="1:17" x14ac:dyDescent="0.3">
      <c r="A4769" t="s">
        <v>4446</v>
      </c>
      <c r="B4769" t="str">
        <f>"300989"</f>
        <v>300989</v>
      </c>
      <c r="C4769" t="s">
        <v>9580</v>
      </c>
      <c r="D4769" t="s">
        <v>95</v>
      </c>
      <c r="F4769">
        <v>24336850</v>
      </c>
      <c r="G4769">
        <v>136364312</v>
      </c>
      <c r="H4769">
        <v>75586233</v>
      </c>
      <c r="I4769">
        <v>73657800</v>
      </c>
      <c r="J4769">
        <v>53299226</v>
      </c>
      <c r="P4769">
        <v>32</v>
      </c>
      <c r="Q4769" t="s">
        <v>9581</v>
      </c>
    </row>
    <row r="4770" spans="1:17" x14ac:dyDescent="0.3">
      <c r="A4770" t="s">
        <v>4446</v>
      </c>
      <c r="B4770" t="str">
        <f>"300990"</f>
        <v>300990</v>
      </c>
      <c r="C4770" t="s">
        <v>9582</v>
      </c>
      <c r="D4770" t="s">
        <v>78</v>
      </c>
      <c r="F4770">
        <v>-140008205</v>
      </c>
      <c r="G4770">
        <v>32654931</v>
      </c>
      <c r="H4770">
        <v>-2317738</v>
      </c>
      <c r="I4770">
        <v>76379368</v>
      </c>
      <c r="J4770">
        <v>249537</v>
      </c>
      <c r="P4770">
        <v>42</v>
      </c>
      <c r="Q4770" t="s">
        <v>9583</v>
      </c>
    </row>
    <row r="4771" spans="1:17" x14ac:dyDescent="0.3">
      <c r="A4771" t="s">
        <v>4446</v>
      </c>
      <c r="B4771" t="str">
        <f>"300991"</f>
        <v>300991</v>
      </c>
      <c r="C4771" t="s">
        <v>9584</v>
      </c>
      <c r="D4771" t="s">
        <v>150</v>
      </c>
      <c r="F4771">
        <v>-234604576</v>
      </c>
      <c r="G4771">
        <v>-80211774</v>
      </c>
      <c r="H4771">
        <v>20671448</v>
      </c>
      <c r="I4771">
        <v>-42263538</v>
      </c>
      <c r="J4771">
        <v>-1820896</v>
      </c>
      <c r="P4771">
        <v>58</v>
      </c>
      <c r="Q4771" t="s">
        <v>9585</v>
      </c>
    </row>
    <row r="4772" spans="1:17" x14ac:dyDescent="0.3">
      <c r="A4772" t="s">
        <v>4446</v>
      </c>
      <c r="B4772" t="str">
        <f>"300992"</f>
        <v>300992</v>
      </c>
      <c r="C4772" t="s">
        <v>9586</v>
      </c>
      <c r="D4772" t="s">
        <v>78</v>
      </c>
      <c r="F4772">
        <v>-62255094</v>
      </c>
      <c r="G4772">
        <v>-26238207</v>
      </c>
      <c r="H4772">
        <v>-3812276</v>
      </c>
      <c r="I4772">
        <v>-71886943</v>
      </c>
      <c r="J4772">
        <v>44415848</v>
      </c>
      <c r="P4772">
        <v>26</v>
      </c>
      <c r="Q4772" t="s">
        <v>9587</v>
      </c>
    </row>
    <row r="4773" spans="1:17" x14ac:dyDescent="0.3">
      <c r="A4773" t="s">
        <v>4446</v>
      </c>
      <c r="B4773" t="str">
        <f>"300993"</f>
        <v>300993</v>
      </c>
      <c r="C4773" t="s">
        <v>9588</v>
      </c>
      <c r="D4773" t="s">
        <v>161</v>
      </c>
      <c r="F4773">
        <v>-42036880</v>
      </c>
      <c r="G4773">
        <v>94922342</v>
      </c>
      <c r="H4773">
        <v>43152735</v>
      </c>
      <c r="I4773">
        <v>39764484</v>
      </c>
      <c r="J4773">
        <v>6971344</v>
      </c>
      <c r="P4773">
        <v>31</v>
      </c>
      <c r="Q4773" t="s">
        <v>9589</v>
      </c>
    </row>
    <row r="4774" spans="1:17" x14ac:dyDescent="0.3">
      <c r="A4774" t="s">
        <v>4446</v>
      </c>
      <c r="B4774" t="str">
        <f>"300994"</f>
        <v>300994</v>
      </c>
      <c r="C4774" t="s">
        <v>9590</v>
      </c>
      <c r="D4774" t="s">
        <v>27</v>
      </c>
      <c r="F4774">
        <v>-63650675</v>
      </c>
      <c r="G4774">
        <v>199357004</v>
      </c>
      <c r="H4774">
        <v>30815536</v>
      </c>
      <c r="I4774">
        <v>2812276</v>
      </c>
      <c r="J4774">
        <v>10460979</v>
      </c>
      <c r="P4774">
        <v>21</v>
      </c>
      <c r="Q4774" t="s">
        <v>9591</v>
      </c>
    </row>
    <row r="4775" spans="1:17" x14ac:dyDescent="0.3">
      <c r="A4775" t="s">
        <v>4446</v>
      </c>
      <c r="B4775" t="str">
        <f>"300995"</f>
        <v>300995</v>
      </c>
      <c r="C4775" t="s">
        <v>9592</v>
      </c>
      <c r="D4775" t="s">
        <v>133</v>
      </c>
      <c r="F4775">
        <v>-13315092</v>
      </c>
      <c r="G4775">
        <v>-44478888</v>
      </c>
      <c r="H4775">
        <v>26367486</v>
      </c>
      <c r="I4775">
        <v>3224409</v>
      </c>
      <c r="J4775">
        <v>-16660872</v>
      </c>
      <c r="P4775">
        <v>26</v>
      </c>
      <c r="Q4775" t="s">
        <v>9593</v>
      </c>
    </row>
    <row r="4776" spans="1:17" x14ac:dyDescent="0.3">
      <c r="A4776" t="s">
        <v>4446</v>
      </c>
      <c r="B4776" t="str">
        <f>"300996"</f>
        <v>300996</v>
      </c>
      <c r="C4776" t="s">
        <v>9594</v>
      </c>
      <c r="D4776" t="s">
        <v>212</v>
      </c>
      <c r="F4776">
        <v>126319489</v>
      </c>
      <c r="G4776">
        <v>84889695</v>
      </c>
      <c r="H4776">
        <v>62858351</v>
      </c>
      <c r="I4776">
        <v>24248363</v>
      </c>
      <c r="J4776">
        <v>-634980</v>
      </c>
      <c r="P4776">
        <v>42</v>
      </c>
      <c r="Q4776" t="s">
        <v>9595</v>
      </c>
    </row>
    <row r="4777" spans="1:17" x14ac:dyDescent="0.3">
      <c r="A4777" t="s">
        <v>4446</v>
      </c>
      <c r="B4777" t="str">
        <f>"300997"</f>
        <v>300997</v>
      </c>
      <c r="C4777" t="s">
        <v>9596</v>
      </c>
      <c r="D4777" t="s">
        <v>123</v>
      </c>
      <c r="F4777">
        <v>108654647</v>
      </c>
      <c r="G4777">
        <v>199052064</v>
      </c>
      <c r="H4777">
        <v>163994227</v>
      </c>
      <c r="I4777">
        <v>151342592</v>
      </c>
      <c r="J4777">
        <v>-300847134</v>
      </c>
      <c r="P4777">
        <v>39</v>
      </c>
      <c r="Q4777" t="s">
        <v>9597</v>
      </c>
    </row>
    <row r="4778" spans="1:17" x14ac:dyDescent="0.3">
      <c r="A4778" t="s">
        <v>4446</v>
      </c>
      <c r="B4778" t="str">
        <f>"300998"</f>
        <v>300998</v>
      </c>
      <c r="C4778" t="s">
        <v>9598</v>
      </c>
      <c r="D4778" t="s">
        <v>27</v>
      </c>
      <c r="F4778">
        <v>-33617224</v>
      </c>
      <c r="G4778">
        <v>40502769</v>
      </c>
      <c r="H4778">
        <v>-86141977</v>
      </c>
      <c r="I4778">
        <v>-35277915</v>
      </c>
      <c r="J4778">
        <v>-2938695</v>
      </c>
      <c r="K4778">
        <v>62596020</v>
      </c>
      <c r="P4778">
        <v>26</v>
      </c>
      <c r="Q4778" t="s">
        <v>9599</v>
      </c>
    </row>
    <row r="4779" spans="1:17" x14ac:dyDescent="0.3">
      <c r="A4779" t="s">
        <v>4446</v>
      </c>
      <c r="B4779" t="str">
        <f>"300999"</f>
        <v>300999</v>
      </c>
      <c r="C4779" t="s">
        <v>9600</v>
      </c>
      <c r="D4779" t="s">
        <v>205</v>
      </c>
      <c r="F4779">
        <v>-8682063000</v>
      </c>
      <c r="G4779">
        <v>-5872778000</v>
      </c>
      <c r="H4779">
        <v>6427051000</v>
      </c>
      <c r="I4779">
        <v>-1877242000</v>
      </c>
      <c r="J4779">
        <v>-1901462000</v>
      </c>
      <c r="K4779">
        <v>-1390120000</v>
      </c>
      <c r="P4779">
        <v>1181</v>
      </c>
      <c r="Q4779" t="s">
        <v>9601</v>
      </c>
    </row>
    <row r="4780" spans="1:17" x14ac:dyDescent="0.3">
      <c r="A4780" t="s">
        <v>4446</v>
      </c>
      <c r="B4780" t="str">
        <f>"301000"</f>
        <v>301000</v>
      </c>
      <c r="C4780" t="s">
        <v>9602</v>
      </c>
      <c r="D4780" t="s">
        <v>27</v>
      </c>
      <c r="F4780">
        <v>25947201</v>
      </c>
      <c r="G4780">
        <v>19113225</v>
      </c>
      <c r="H4780">
        <v>43245381</v>
      </c>
      <c r="I4780">
        <v>18849935</v>
      </c>
      <c r="J4780">
        <v>-12439216</v>
      </c>
      <c r="P4780">
        <v>25</v>
      </c>
      <c r="Q4780" t="s">
        <v>9603</v>
      </c>
    </row>
    <row r="4781" spans="1:17" x14ac:dyDescent="0.3">
      <c r="A4781" t="s">
        <v>4446</v>
      </c>
      <c r="B4781" t="str">
        <f>"301001"</f>
        <v>301001</v>
      </c>
      <c r="C4781" t="s">
        <v>9604</v>
      </c>
      <c r="D4781" t="s">
        <v>120</v>
      </c>
      <c r="F4781">
        <v>-19226530</v>
      </c>
      <c r="G4781">
        <v>72307493</v>
      </c>
      <c r="H4781">
        <v>44446389</v>
      </c>
      <c r="I4781">
        <v>17700452</v>
      </c>
      <c r="J4781">
        <v>20761728</v>
      </c>
      <c r="P4781">
        <v>23</v>
      </c>
      <c r="Q4781" t="s">
        <v>9605</v>
      </c>
    </row>
    <row r="4782" spans="1:17" x14ac:dyDescent="0.3">
      <c r="A4782" t="s">
        <v>4446</v>
      </c>
      <c r="B4782" t="str">
        <f>"301002"</f>
        <v>301002</v>
      </c>
      <c r="C4782" t="s">
        <v>9606</v>
      </c>
      <c r="D4782" t="s">
        <v>188</v>
      </c>
      <c r="F4782">
        <v>-180101533</v>
      </c>
      <c r="G4782">
        <v>18327321</v>
      </c>
      <c r="H4782">
        <v>1356096</v>
      </c>
      <c r="I4782">
        <v>17998495</v>
      </c>
      <c r="J4782">
        <v>-8297646</v>
      </c>
      <c r="P4782">
        <v>43</v>
      </c>
      <c r="Q4782" t="s">
        <v>9607</v>
      </c>
    </row>
    <row r="4783" spans="1:17" x14ac:dyDescent="0.3">
      <c r="A4783" t="s">
        <v>4446</v>
      </c>
      <c r="B4783" t="str">
        <f>"301003"</f>
        <v>301003</v>
      </c>
      <c r="C4783" t="s">
        <v>9608</v>
      </c>
      <c r="D4783" t="s">
        <v>133</v>
      </c>
      <c r="F4783">
        <v>78616992</v>
      </c>
      <c r="G4783">
        <v>1077406</v>
      </c>
      <c r="H4783">
        <v>92832393</v>
      </c>
      <c r="I4783">
        <v>14025020</v>
      </c>
      <c r="J4783">
        <v>36799695</v>
      </c>
      <c r="P4783">
        <v>31</v>
      </c>
      <c r="Q4783" t="s">
        <v>9609</v>
      </c>
    </row>
    <row r="4784" spans="1:17" x14ac:dyDescent="0.3">
      <c r="A4784" t="s">
        <v>4446</v>
      </c>
      <c r="B4784" t="str">
        <f>"301004"</f>
        <v>301004</v>
      </c>
      <c r="C4784" t="s">
        <v>9610</v>
      </c>
      <c r="D4784" t="s">
        <v>161</v>
      </c>
      <c r="F4784">
        <v>4261746</v>
      </c>
      <c r="G4784">
        <v>57534095</v>
      </c>
      <c r="H4784">
        <v>15277093</v>
      </c>
      <c r="I4784">
        <v>104462846</v>
      </c>
      <c r="J4784">
        <v>48498580</v>
      </c>
      <c r="P4784">
        <v>25</v>
      </c>
      <c r="Q4784" t="s">
        <v>9611</v>
      </c>
    </row>
    <row r="4785" spans="1:17" x14ac:dyDescent="0.3">
      <c r="A4785" t="s">
        <v>4446</v>
      </c>
      <c r="B4785" t="str">
        <f>"301005"</f>
        <v>301005</v>
      </c>
      <c r="C4785" t="s">
        <v>9612</v>
      </c>
      <c r="D4785" t="s">
        <v>27</v>
      </c>
      <c r="F4785">
        <v>-47506250</v>
      </c>
      <c r="G4785">
        <v>14754638</v>
      </c>
      <c r="H4785">
        <v>18052938</v>
      </c>
      <c r="I4785">
        <v>16149951</v>
      </c>
      <c r="J4785">
        <v>16583533</v>
      </c>
      <c r="P4785">
        <v>23</v>
      </c>
      <c r="Q4785" t="s">
        <v>9613</v>
      </c>
    </row>
    <row r="4786" spans="1:17" x14ac:dyDescent="0.3">
      <c r="A4786" t="s">
        <v>4446</v>
      </c>
      <c r="B4786" t="str">
        <f>"301006"</f>
        <v>301006</v>
      </c>
      <c r="C4786" t="s">
        <v>9614</v>
      </c>
      <c r="D4786" t="s">
        <v>78</v>
      </c>
      <c r="F4786">
        <v>73515506</v>
      </c>
      <c r="G4786">
        <v>121524494</v>
      </c>
      <c r="H4786">
        <v>73010625</v>
      </c>
      <c r="I4786">
        <v>56256311</v>
      </c>
      <c r="J4786">
        <v>39617725</v>
      </c>
      <c r="P4786">
        <v>50</v>
      </c>
      <c r="Q4786" t="s">
        <v>9615</v>
      </c>
    </row>
    <row r="4787" spans="1:17" x14ac:dyDescent="0.3">
      <c r="A4787" t="s">
        <v>4446</v>
      </c>
      <c r="B4787" t="str">
        <f>"301007"</f>
        <v>301007</v>
      </c>
      <c r="C4787" t="s">
        <v>9616</v>
      </c>
      <c r="D4787" t="s">
        <v>27</v>
      </c>
      <c r="F4787">
        <v>-81046028</v>
      </c>
      <c r="G4787">
        <v>14933902</v>
      </c>
      <c r="H4787">
        <v>31360983</v>
      </c>
      <c r="I4787">
        <v>29856285</v>
      </c>
      <c r="J4787">
        <v>29997155</v>
      </c>
      <c r="K4787">
        <v>14357788</v>
      </c>
      <c r="P4787">
        <v>44</v>
      </c>
      <c r="Q4787" t="s">
        <v>9617</v>
      </c>
    </row>
    <row r="4788" spans="1:17" x14ac:dyDescent="0.3">
      <c r="A4788" t="s">
        <v>4446</v>
      </c>
      <c r="B4788" t="str">
        <f>"301008"</f>
        <v>301008</v>
      </c>
      <c r="C4788" t="s">
        <v>9618</v>
      </c>
      <c r="D4788" t="s">
        <v>126</v>
      </c>
      <c r="F4788">
        <v>-47313934</v>
      </c>
      <c r="G4788">
        <v>41590796</v>
      </c>
      <c r="H4788">
        <v>44264748</v>
      </c>
      <c r="I4788">
        <v>24663129</v>
      </c>
      <c r="J4788">
        <v>-32719522</v>
      </c>
      <c r="P4788">
        <v>36</v>
      </c>
      <c r="Q4788" t="s">
        <v>9619</v>
      </c>
    </row>
    <row r="4789" spans="1:17" x14ac:dyDescent="0.3">
      <c r="A4789" t="s">
        <v>4446</v>
      </c>
      <c r="B4789" t="str">
        <f>"301009"</f>
        <v>301009</v>
      </c>
      <c r="C4789" t="s">
        <v>9620</v>
      </c>
      <c r="D4789" t="s">
        <v>481</v>
      </c>
      <c r="F4789">
        <v>-189455342</v>
      </c>
      <c r="G4789">
        <v>175270006</v>
      </c>
      <c r="H4789">
        <v>97728957</v>
      </c>
      <c r="I4789">
        <v>24489000</v>
      </c>
      <c r="J4789">
        <v>43298853</v>
      </c>
      <c r="P4789">
        <v>59</v>
      </c>
      <c r="Q4789" t="s">
        <v>9621</v>
      </c>
    </row>
    <row r="4790" spans="1:17" x14ac:dyDescent="0.3">
      <c r="A4790" t="s">
        <v>4446</v>
      </c>
      <c r="B4790" t="str">
        <f>"301010"</f>
        <v>301010</v>
      </c>
      <c r="C4790" t="s">
        <v>9622</v>
      </c>
      <c r="D4790" t="s">
        <v>350</v>
      </c>
      <c r="F4790">
        <v>-77486700</v>
      </c>
      <c r="G4790">
        <v>31349252</v>
      </c>
      <c r="H4790">
        <v>66339788</v>
      </c>
      <c r="I4790">
        <v>12352108</v>
      </c>
      <c r="J4790">
        <v>32009455</v>
      </c>
      <c r="K4790">
        <v>10735670</v>
      </c>
      <c r="P4790">
        <v>33</v>
      </c>
      <c r="Q4790" t="s">
        <v>9623</v>
      </c>
    </row>
    <row r="4791" spans="1:17" x14ac:dyDescent="0.3">
      <c r="A4791" t="s">
        <v>4446</v>
      </c>
      <c r="B4791" t="str">
        <f>"301011"</f>
        <v>301011</v>
      </c>
      <c r="C4791" t="s">
        <v>9624</v>
      </c>
      <c r="D4791" t="s">
        <v>78</v>
      </c>
      <c r="F4791">
        <v>-58452159</v>
      </c>
      <c r="G4791">
        <v>-10256384</v>
      </c>
      <c r="H4791">
        <v>-40864372</v>
      </c>
      <c r="I4791">
        <v>-27777036</v>
      </c>
      <c r="J4791">
        <v>-39874797</v>
      </c>
      <c r="P4791">
        <v>28</v>
      </c>
      <c r="Q4791" t="s">
        <v>9625</v>
      </c>
    </row>
    <row r="4792" spans="1:17" x14ac:dyDescent="0.3">
      <c r="A4792" t="s">
        <v>4446</v>
      </c>
      <c r="B4792" t="str">
        <f>"301012"</f>
        <v>301012</v>
      </c>
      <c r="C4792" t="s">
        <v>9626</v>
      </c>
      <c r="D4792" t="s">
        <v>188</v>
      </c>
      <c r="F4792">
        <v>-119293673</v>
      </c>
      <c r="G4792">
        <v>29143373</v>
      </c>
      <c r="H4792">
        <v>-1808396</v>
      </c>
      <c r="I4792">
        <v>-34016336</v>
      </c>
      <c r="J4792">
        <v>27379269</v>
      </c>
      <c r="P4792">
        <v>23</v>
      </c>
      <c r="Q4792" t="s">
        <v>9627</v>
      </c>
    </row>
    <row r="4793" spans="1:17" x14ac:dyDescent="0.3">
      <c r="A4793" t="s">
        <v>4446</v>
      </c>
      <c r="B4793" t="str">
        <f>"301013"</f>
        <v>301013</v>
      </c>
      <c r="C4793" t="s">
        <v>9628</v>
      </c>
      <c r="D4793" t="s">
        <v>78</v>
      </c>
      <c r="F4793">
        <v>-318411008</v>
      </c>
      <c r="G4793">
        <v>-50173279</v>
      </c>
      <c r="H4793">
        <v>18748853</v>
      </c>
      <c r="I4793">
        <v>-50280307</v>
      </c>
      <c r="J4793">
        <v>-27386390</v>
      </c>
      <c r="P4793">
        <v>20</v>
      </c>
      <c r="Q4793" t="s">
        <v>9629</v>
      </c>
    </row>
    <row r="4794" spans="1:17" x14ac:dyDescent="0.3">
      <c r="A4794" t="s">
        <v>4446</v>
      </c>
      <c r="B4794" t="str">
        <f>"301015"</f>
        <v>301015</v>
      </c>
      <c r="C4794" t="s">
        <v>9630</v>
      </c>
      <c r="D4794" t="s">
        <v>113</v>
      </c>
      <c r="F4794">
        <v>158059488</v>
      </c>
      <c r="G4794">
        <v>-132837200</v>
      </c>
      <c r="H4794">
        <v>40066370</v>
      </c>
      <c r="I4794">
        <v>36966262</v>
      </c>
      <c r="J4794">
        <v>149077956</v>
      </c>
      <c r="P4794">
        <v>45</v>
      </c>
      <c r="Q4794" t="s">
        <v>9631</v>
      </c>
    </row>
    <row r="4795" spans="1:17" x14ac:dyDescent="0.3">
      <c r="A4795" t="s">
        <v>4446</v>
      </c>
      <c r="B4795" t="str">
        <f>"301016"</f>
        <v>301016</v>
      </c>
      <c r="C4795" t="s">
        <v>9632</v>
      </c>
      <c r="D4795" t="s">
        <v>78</v>
      </c>
      <c r="F4795">
        <v>113232831</v>
      </c>
      <c r="G4795">
        <v>98691301</v>
      </c>
      <c r="H4795">
        <v>55107041</v>
      </c>
      <c r="I4795">
        <v>7814466</v>
      </c>
      <c r="J4795">
        <v>49206168</v>
      </c>
      <c r="P4795">
        <v>35</v>
      </c>
      <c r="Q4795" t="s">
        <v>9633</v>
      </c>
    </row>
    <row r="4796" spans="1:17" x14ac:dyDescent="0.3">
      <c r="A4796" t="s">
        <v>4446</v>
      </c>
      <c r="B4796" t="str">
        <f>"301017"</f>
        <v>301017</v>
      </c>
      <c r="C4796" t="s">
        <v>9634</v>
      </c>
      <c r="D4796" t="s">
        <v>113</v>
      </c>
      <c r="F4796">
        <v>100925291</v>
      </c>
      <c r="G4796">
        <v>40773707</v>
      </c>
      <c r="H4796">
        <v>7679119</v>
      </c>
      <c r="I4796">
        <v>-21254536</v>
      </c>
      <c r="J4796">
        <v>37787792</v>
      </c>
      <c r="P4796">
        <v>36</v>
      </c>
      <c r="Q4796" t="s">
        <v>9635</v>
      </c>
    </row>
    <row r="4797" spans="1:17" x14ac:dyDescent="0.3">
      <c r="A4797" t="s">
        <v>4446</v>
      </c>
      <c r="B4797" t="str">
        <f>"301018"</f>
        <v>301018</v>
      </c>
      <c r="C4797" t="s">
        <v>9636</v>
      </c>
      <c r="D4797" t="s">
        <v>78</v>
      </c>
      <c r="F4797">
        <v>-328646974</v>
      </c>
      <c r="G4797">
        <v>-116740544</v>
      </c>
      <c r="H4797">
        <v>-39163261</v>
      </c>
      <c r="I4797">
        <v>19703295</v>
      </c>
      <c r="J4797">
        <v>56842691</v>
      </c>
      <c r="P4797">
        <v>37</v>
      </c>
      <c r="Q4797" t="s">
        <v>9637</v>
      </c>
    </row>
    <row r="4798" spans="1:17" x14ac:dyDescent="0.3">
      <c r="A4798" t="s">
        <v>4446</v>
      </c>
      <c r="B4798" t="str">
        <f>"301019"</f>
        <v>301019</v>
      </c>
      <c r="C4798" t="s">
        <v>9638</v>
      </c>
      <c r="D4798" t="s">
        <v>133</v>
      </c>
      <c r="F4798">
        <v>106110439</v>
      </c>
      <c r="G4798">
        <v>28848650</v>
      </c>
      <c r="H4798">
        <v>69045036</v>
      </c>
      <c r="I4798">
        <v>54070614</v>
      </c>
      <c r="J4798">
        <v>63797728</v>
      </c>
      <c r="P4798">
        <v>39</v>
      </c>
      <c r="Q4798" t="s">
        <v>9639</v>
      </c>
    </row>
    <row r="4799" spans="1:17" x14ac:dyDescent="0.3">
      <c r="A4799" t="s">
        <v>4446</v>
      </c>
      <c r="B4799" t="str">
        <f>"301020"</f>
        <v>301020</v>
      </c>
      <c r="C4799" t="s">
        <v>9640</v>
      </c>
      <c r="D4799" t="s">
        <v>27</v>
      </c>
      <c r="F4799">
        <v>90851304</v>
      </c>
      <c r="G4799">
        <v>77397576</v>
      </c>
      <c r="H4799">
        <v>118341548</v>
      </c>
      <c r="I4799">
        <v>68993948</v>
      </c>
      <c r="J4799">
        <v>24364878</v>
      </c>
      <c r="P4799">
        <v>54</v>
      </c>
      <c r="Q4799" t="s">
        <v>9641</v>
      </c>
    </row>
    <row r="4800" spans="1:17" x14ac:dyDescent="0.3">
      <c r="A4800" t="s">
        <v>4446</v>
      </c>
      <c r="B4800" t="str">
        <f>"301021"</f>
        <v>301021</v>
      </c>
      <c r="C4800" t="s">
        <v>9642</v>
      </c>
      <c r="D4800" t="s">
        <v>78</v>
      </c>
      <c r="F4800">
        <v>-3893459</v>
      </c>
      <c r="G4800">
        <v>51521753</v>
      </c>
      <c r="H4800">
        <v>6939671</v>
      </c>
      <c r="I4800">
        <v>10192160</v>
      </c>
      <c r="J4800">
        <v>-91008629</v>
      </c>
      <c r="K4800">
        <v>-69973751</v>
      </c>
      <c r="P4800">
        <v>35</v>
      </c>
      <c r="Q4800" t="s">
        <v>9643</v>
      </c>
    </row>
    <row r="4801" spans="1:17" x14ac:dyDescent="0.3">
      <c r="A4801" t="s">
        <v>4446</v>
      </c>
      <c r="B4801" t="str">
        <f>"301022"</f>
        <v>301022</v>
      </c>
      <c r="C4801" t="s">
        <v>9644</v>
      </c>
      <c r="D4801" t="s">
        <v>27</v>
      </c>
      <c r="F4801">
        <v>7539843</v>
      </c>
      <c r="G4801">
        <v>14094609</v>
      </c>
      <c r="H4801">
        <v>-3927482</v>
      </c>
      <c r="I4801">
        <v>-16052762</v>
      </c>
      <c r="J4801">
        <v>13092582</v>
      </c>
      <c r="P4801">
        <v>24</v>
      </c>
      <c r="Q4801" t="s">
        <v>9645</v>
      </c>
    </row>
    <row r="4802" spans="1:17" x14ac:dyDescent="0.3">
      <c r="A4802" t="s">
        <v>4446</v>
      </c>
      <c r="B4802" t="str">
        <f>"301023"</f>
        <v>301023</v>
      </c>
      <c r="C4802" t="s">
        <v>9646</v>
      </c>
      <c r="D4802" t="s">
        <v>188</v>
      </c>
      <c r="F4802">
        <v>37529464</v>
      </c>
      <c r="G4802">
        <v>69738085</v>
      </c>
      <c r="H4802">
        <v>47386235</v>
      </c>
      <c r="I4802">
        <v>35926893</v>
      </c>
      <c r="J4802">
        <v>48422002</v>
      </c>
      <c r="P4802">
        <v>22</v>
      </c>
      <c r="Q4802" t="s">
        <v>9647</v>
      </c>
    </row>
    <row r="4803" spans="1:17" x14ac:dyDescent="0.3">
      <c r="A4803" t="s">
        <v>4446</v>
      </c>
      <c r="B4803" t="str">
        <f>"301024"</f>
        <v>301024</v>
      </c>
      <c r="C4803" t="s">
        <v>9648</v>
      </c>
      <c r="D4803" t="s">
        <v>95</v>
      </c>
      <c r="F4803">
        <v>-70780911</v>
      </c>
      <c r="G4803">
        <v>-31794153</v>
      </c>
      <c r="H4803">
        <v>-66983444</v>
      </c>
      <c r="I4803">
        <v>29443717</v>
      </c>
      <c r="J4803">
        <v>70092424</v>
      </c>
      <c r="K4803">
        <v>9242874</v>
      </c>
      <c r="P4803">
        <v>22</v>
      </c>
      <c r="Q4803" t="s">
        <v>9649</v>
      </c>
    </row>
    <row r="4804" spans="1:17" x14ac:dyDescent="0.3">
      <c r="A4804" t="s">
        <v>4446</v>
      </c>
      <c r="B4804" t="str">
        <f>"301025"</f>
        <v>301025</v>
      </c>
      <c r="C4804" t="s">
        <v>9650</v>
      </c>
      <c r="D4804" t="s">
        <v>89</v>
      </c>
      <c r="F4804">
        <v>39014326</v>
      </c>
      <c r="G4804">
        <v>59122966</v>
      </c>
      <c r="H4804">
        <v>20102512</v>
      </c>
      <c r="I4804">
        <v>-24733063</v>
      </c>
      <c r="J4804">
        <v>4534845</v>
      </c>
      <c r="K4804">
        <v>39839964</v>
      </c>
      <c r="P4804">
        <v>24</v>
      </c>
      <c r="Q4804" t="s">
        <v>9651</v>
      </c>
    </row>
    <row r="4805" spans="1:17" x14ac:dyDescent="0.3">
      <c r="A4805" t="s">
        <v>4446</v>
      </c>
      <c r="B4805" t="str">
        <f>"301026"</f>
        <v>301026</v>
      </c>
      <c r="C4805" t="s">
        <v>9652</v>
      </c>
      <c r="D4805" t="s">
        <v>234</v>
      </c>
      <c r="F4805">
        <v>39390654</v>
      </c>
      <c r="G4805">
        <v>7405380</v>
      </c>
      <c r="H4805">
        <v>-15212446</v>
      </c>
      <c r="I4805">
        <v>-125797468</v>
      </c>
      <c r="J4805">
        <v>54427573</v>
      </c>
      <c r="K4805">
        <v>-67355587</v>
      </c>
      <c r="P4805">
        <v>41</v>
      </c>
      <c r="Q4805" t="s">
        <v>9653</v>
      </c>
    </row>
    <row r="4806" spans="1:17" x14ac:dyDescent="0.3">
      <c r="A4806" t="s">
        <v>4446</v>
      </c>
      <c r="B4806" t="str">
        <f>"301027"</f>
        <v>301027</v>
      </c>
      <c r="C4806" t="s">
        <v>9654</v>
      </c>
      <c r="D4806" t="s">
        <v>95</v>
      </c>
      <c r="F4806">
        <v>-57355439</v>
      </c>
      <c r="G4806">
        <v>107658499</v>
      </c>
      <c r="H4806">
        <v>166235221</v>
      </c>
      <c r="I4806">
        <v>-109924152</v>
      </c>
      <c r="J4806">
        <v>186718155</v>
      </c>
      <c r="P4806">
        <v>25</v>
      </c>
      <c r="Q4806" t="s">
        <v>9655</v>
      </c>
    </row>
    <row r="4807" spans="1:17" x14ac:dyDescent="0.3">
      <c r="A4807" t="s">
        <v>4446</v>
      </c>
      <c r="B4807" t="str">
        <f>"301028"</f>
        <v>301028</v>
      </c>
      <c r="C4807" t="s">
        <v>9656</v>
      </c>
      <c r="D4807" t="s">
        <v>78</v>
      </c>
      <c r="F4807">
        <v>59155311</v>
      </c>
      <c r="G4807">
        <v>98242177</v>
      </c>
      <c r="H4807">
        <v>73475676</v>
      </c>
      <c r="I4807">
        <v>52503066</v>
      </c>
      <c r="J4807">
        <v>132892564</v>
      </c>
      <c r="P4807">
        <v>53</v>
      </c>
      <c r="Q4807" t="s">
        <v>9657</v>
      </c>
    </row>
    <row r="4808" spans="1:17" x14ac:dyDescent="0.3">
      <c r="A4808" t="s">
        <v>4446</v>
      </c>
      <c r="B4808" t="str">
        <f>"301029"</f>
        <v>301029</v>
      </c>
      <c r="C4808" t="s">
        <v>9658</v>
      </c>
      <c r="D4808" t="s">
        <v>78</v>
      </c>
      <c r="F4808">
        <v>9357912</v>
      </c>
      <c r="G4808">
        <v>-28025394</v>
      </c>
      <c r="H4808">
        <v>-40726082</v>
      </c>
      <c r="I4808">
        <v>-63952953</v>
      </c>
      <c r="J4808">
        <v>-14550108</v>
      </c>
      <c r="P4808">
        <v>67</v>
      </c>
      <c r="Q4808" t="s">
        <v>9659</v>
      </c>
    </row>
    <row r="4809" spans="1:17" x14ac:dyDescent="0.3">
      <c r="A4809" t="s">
        <v>4446</v>
      </c>
      <c r="B4809" t="str">
        <f>"301030"</f>
        <v>301030</v>
      </c>
      <c r="C4809" t="s">
        <v>9660</v>
      </c>
      <c r="D4809" t="s">
        <v>33</v>
      </c>
      <c r="F4809">
        <v>-228227361</v>
      </c>
      <c r="G4809">
        <v>-30194944</v>
      </c>
      <c r="H4809">
        <v>-177352161</v>
      </c>
      <c r="I4809">
        <v>3060659</v>
      </c>
      <c r="J4809">
        <v>-97490563</v>
      </c>
      <c r="K4809">
        <v>-73559200</v>
      </c>
      <c r="P4809">
        <v>19</v>
      </c>
      <c r="Q4809" t="s">
        <v>9661</v>
      </c>
    </row>
    <row r="4810" spans="1:17" x14ac:dyDescent="0.3">
      <c r="A4810" t="s">
        <v>4446</v>
      </c>
      <c r="B4810" t="str">
        <f>"301031"</f>
        <v>301031</v>
      </c>
      <c r="C4810" t="s">
        <v>9662</v>
      </c>
      <c r="D4810" t="s">
        <v>150</v>
      </c>
      <c r="F4810">
        <v>-116460668</v>
      </c>
      <c r="G4810">
        <v>-12675959</v>
      </c>
      <c r="H4810">
        <v>16522729</v>
      </c>
      <c r="I4810">
        <v>1750717</v>
      </c>
      <c r="J4810">
        <v>-11350832</v>
      </c>
      <c r="P4810">
        <v>77</v>
      </c>
      <c r="Q4810" t="s">
        <v>9663</v>
      </c>
    </row>
    <row r="4811" spans="1:17" x14ac:dyDescent="0.3">
      <c r="A4811" t="s">
        <v>4446</v>
      </c>
      <c r="B4811" t="str">
        <f>"301032"</f>
        <v>301032</v>
      </c>
      <c r="C4811" t="s">
        <v>9664</v>
      </c>
      <c r="D4811" t="s">
        <v>78</v>
      </c>
      <c r="F4811">
        <v>-308053259</v>
      </c>
      <c r="G4811">
        <v>303305719</v>
      </c>
      <c r="H4811">
        <v>-60189789</v>
      </c>
      <c r="I4811">
        <v>-5320473</v>
      </c>
      <c r="J4811">
        <v>75292211</v>
      </c>
      <c r="P4811">
        <v>19</v>
      </c>
      <c r="Q4811" t="s">
        <v>9665</v>
      </c>
    </row>
    <row r="4812" spans="1:17" x14ac:dyDescent="0.3">
      <c r="A4812" t="s">
        <v>4446</v>
      </c>
      <c r="B4812" t="str">
        <f>"301033"</f>
        <v>301033</v>
      </c>
      <c r="C4812" t="s">
        <v>9666</v>
      </c>
      <c r="D4812" t="s">
        <v>113</v>
      </c>
      <c r="F4812">
        <v>-86188606</v>
      </c>
      <c r="G4812">
        <v>-27638746</v>
      </c>
      <c r="H4812">
        <v>-5292501</v>
      </c>
      <c r="I4812">
        <v>-14308176</v>
      </c>
      <c r="J4812">
        <v>-28084868</v>
      </c>
      <c r="P4812">
        <v>31</v>
      </c>
      <c r="Q4812" t="s">
        <v>9667</v>
      </c>
    </row>
    <row r="4813" spans="1:17" x14ac:dyDescent="0.3">
      <c r="A4813" t="s">
        <v>4446</v>
      </c>
      <c r="B4813" t="str">
        <f>"301035"</f>
        <v>301035</v>
      </c>
      <c r="C4813" t="s">
        <v>9668</v>
      </c>
      <c r="D4813" t="s">
        <v>133</v>
      </c>
      <c r="F4813">
        <v>186896433</v>
      </c>
      <c r="G4813">
        <v>195596510</v>
      </c>
      <c r="H4813">
        <v>530671472</v>
      </c>
      <c r="I4813">
        <v>296774595</v>
      </c>
      <c r="J4813">
        <v>156000090</v>
      </c>
      <c r="K4813">
        <v>357094121</v>
      </c>
      <c r="P4813">
        <v>40</v>
      </c>
      <c r="Q4813" t="s">
        <v>9669</v>
      </c>
    </row>
    <row r="4814" spans="1:17" x14ac:dyDescent="0.3">
      <c r="A4814" t="s">
        <v>4446</v>
      </c>
      <c r="B4814" t="str">
        <f>"301036"</f>
        <v>301036</v>
      </c>
      <c r="C4814" t="s">
        <v>9670</v>
      </c>
      <c r="D4814" t="s">
        <v>133</v>
      </c>
      <c r="F4814">
        <v>-171309535</v>
      </c>
      <c r="G4814">
        <v>91045904</v>
      </c>
      <c r="H4814">
        <v>-2693255</v>
      </c>
      <c r="I4814">
        <v>-28081062</v>
      </c>
      <c r="J4814">
        <v>-118276127</v>
      </c>
      <c r="P4814">
        <v>20</v>
      </c>
      <c r="Q4814" t="s">
        <v>9671</v>
      </c>
    </row>
    <row r="4815" spans="1:17" x14ac:dyDescent="0.3">
      <c r="A4815" t="s">
        <v>4446</v>
      </c>
      <c r="B4815" t="str">
        <f>"301037"</f>
        <v>301037</v>
      </c>
      <c r="C4815" t="s">
        <v>9672</v>
      </c>
      <c r="D4815" t="s">
        <v>133</v>
      </c>
      <c r="F4815">
        <v>-263505392</v>
      </c>
      <c r="G4815">
        <v>22593653</v>
      </c>
      <c r="H4815">
        <v>-168433662</v>
      </c>
      <c r="I4815">
        <v>53001452</v>
      </c>
      <c r="J4815">
        <v>-47853824</v>
      </c>
      <c r="P4815">
        <v>13</v>
      </c>
      <c r="Q4815" t="s">
        <v>9673</v>
      </c>
    </row>
    <row r="4816" spans="1:17" x14ac:dyDescent="0.3">
      <c r="A4816" t="s">
        <v>4446</v>
      </c>
      <c r="B4816" t="str">
        <f>"301038"</f>
        <v>301038</v>
      </c>
      <c r="C4816" t="s">
        <v>9674</v>
      </c>
      <c r="D4816" t="s">
        <v>95</v>
      </c>
      <c r="F4816">
        <v>-5331355</v>
      </c>
      <c r="G4816">
        <v>11027962</v>
      </c>
      <c r="H4816">
        <v>-16315486</v>
      </c>
      <c r="I4816">
        <v>9702764</v>
      </c>
      <c r="J4816">
        <v>-1691350</v>
      </c>
      <c r="P4816">
        <v>21</v>
      </c>
      <c r="Q4816" t="s">
        <v>9675</v>
      </c>
    </row>
    <row r="4817" spans="1:17" x14ac:dyDescent="0.3">
      <c r="A4817" t="s">
        <v>4446</v>
      </c>
      <c r="B4817" t="str">
        <f>"301039"</f>
        <v>301039</v>
      </c>
      <c r="C4817" t="s">
        <v>9676</v>
      </c>
      <c r="D4817" t="s">
        <v>27</v>
      </c>
      <c r="F4817">
        <v>-673010184</v>
      </c>
      <c r="G4817">
        <v>1800414978</v>
      </c>
      <c r="H4817">
        <v>1013113582</v>
      </c>
      <c r="I4817">
        <v>337777760</v>
      </c>
      <c r="J4817">
        <v>1469402394</v>
      </c>
      <c r="P4817">
        <v>35</v>
      </c>
      <c r="Q4817" t="s">
        <v>9677</v>
      </c>
    </row>
    <row r="4818" spans="1:17" x14ac:dyDescent="0.3">
      <c r="A4818" t="s">
        <v>4446</v>
      </c>
      <c r="B4818" t="str">
        <f>"301040"</f>
        <v>301040</v>
      </c>
      <c r="C4818" t="s">
        <v>9678</v>
      </c>
      <c r="D4818" t="s">
        <v>188</v>
      </c>
      <c r="F4818">
        <v>7126347</v>
      </c>
      <c r="G4818">
        <v>53432198</v>
      </c>
      <c r="H4818">
        <v>62225506</v>
      </c>
      <c r="I4818">
        <v>18798140</v>
      </c>
      <c r="J4818">
        <v>14139551</v>
      </c>
      <c r="P4818">
        <v>22</v>
      </c>
      <c r="Q4818" t="s">
        <v>9679</v>
      </c>
    </row>
    <row r="4819" spans="1:17" x14ac:dyDescent="0.3">
      <c r="A4819" t="s">
        <v>4446</v>
      </c>
      <c r="B4819" t="str">
        <f>"301041"</f>
        <v>301041</v>
      </c>
      <c r="C4819" t="s">
        <v>9680</v>
      </c>
      <c r="D4819" t="s">
        <v>150</v>
      </c>
      <c r="F4819">
        <v>1189037</v>
      </c>
      <c r="G4819">
        <v>52815842</v>
      </c>
      <c r="H4819">
        <v>44023861</v>
      </c>
      <c r="I4819">
        <v>19422836</v>
      </c>
      <c r="J4819">
        <v>54215917</v>
      </c>
      <c r="P4819">
        <v>31</v>
      </c>
      <c r="Q4819" t="s">
        <v>9681</v>
      </c>
    </row>
    <row r="4820" spans="1:17" x14ac:dyDescent="0.3">
      <c r="A4820" t="s">
        <v>4446</v>
      </c>
      <c r="B4820" t="str">
        <f>"301042"</f>
        <v>301042</v>
      </c>
      <c r="C4820" t="s">
        <v>9682</v>
      </c>
      <c r="D4820" t="s">
        <v>212</v>
      </c>
      <c r="F4820">
        <v>23309765</v>
      </c>
      <c r="G4820">
        <v>-48135533</v>
      </c>
      <c r="H4820">
        <v>147761059</v>
      </c>
      <c r="I4820">
        <v>17587095</v>
      </c>
      <c r="J4820">
        <v>56882713</v>
      </c>
      <c r="K4820">
        <v>16988014</v>
      </c>
      <c r="P4820">
        <v>14</v>
      </c>
      <c r="Q4820" t="s">
        <v>9683</v>
      </c>
    </row>
    <row r="4821" spans="1:17" x14ac:dyDescent="0.3">
      <c r="A4821" t="s">
        <v>4446</v>
      </c>
      <c r="B4821" t="str">
        <f>"301043"</f>
        <v>301043</v>
      </c>
      <c r="C4821" t="s">
        <v>9684</v>
      </c>
      <c r="D4821" t="s">
        <v>78</v>
      </c>
      <c r="F4821">
        <v>-46838032</v>
      </c>
      <c r="G4821">
        <v>67016037</v>
      </c>
      <c r="H4821">
        <v>62106203</v>
      </c>
      <c r="I4821">
        <v>-25786670</v>
      </c>
      <c r="J4821">
        <v>30961969</v>
      </c>
      <c r="P4821">
        <v>18</v>
      </c>
      <c r="Q4821" t="s">
        <v>9685</v>
      </c>
    </row>
    <row r="4822" spans="1:17" x14ac:dyDescent="0.3">
      <c r="A4822" t="s">
        <v>4446</v>
      </c>
      <c r="B4822" t="str">
        <f>"301045"</f>
        <v>301045</v>
      </c>
      <c r="C4822" t="s">
        <v>9686</v>
      </c>
      <c r="D4822" t="s">
        <v>150</v>
      </c>
      <c r="F4822">
        <v>24337299</v>
      </c>
      <c r="G4822">
        <v>32069739</v>
      </c>
      <c r="H4822">
        <v>61405702</v>
      </c>
      <c r="I4822">
        <v>-19816274</v>
      </c>
      <c r="J4822">
        <v>-18860175</v>
      </c>
      <c r="P4822">
        <v>17</v>
      </c>
      <c r="Q4822" t="s">
        <v>9687</v>
      </c>
    </row>
    <row r="4823" spans="1:17" x14ac:dyDescent="0.3">
      <c r="A4823" t="s">
        <v>4446</v>
      </c>
      <c r="B4823" t="str">
        <f>"301046"</f>
        <v>301046</v>
      </c>
      <c r="C4823" t="s">
        <v>9688</v>
      </c>
      <c r="D4823" t="s">
        <v>95</v>
      </c>
      <c r="F4823">
        <v>17863424</v>
      </c>
      <c r="G4823">
        <v>63493872</v>
      </c>
      <c r="H4823">
        <v>162572029</v>
      </c>
      <c r="I4823">
        <v>-64522174</v>
      </c>
      <c r="J4823">
        <v>-74459180</v>
      </c>
      <c r="P4823">
        <v>33</v>
      </c>
      <c r="Q4823" t="s">
        <v>9689</v>
      </c>
    </row>
    <row r="4824" spans="1:17" x14ac:dyDescent="0.3">
      <c r="A4824" t="s">
        <v>4446</v>
      </c>
      <c r="B4824" t="str">
        <f>"301047"</f>
        <v>301047</v>
      </c>
      <c r="C4824" t="s">
        <v>9690</v>
      </c>
      <c r="D4824" t="s">
        <v>113</v>
      </c>
      <c r="F4824">
        <v>594717398</v>
      </c>
      <c r="G4824">
        <v>1074596347</v>
      </c>
      <c r="H4824">
        <v>9556358</v>
      </c>
      <c r="I4824">
        <v>9592830</v>
      </c>
      <c r="J4824">
        <v>8785135</v>
      </c>
      <c r="P4824">
        <v>71</v>
      </c>
      <c r="Q4824" t="s">
        <v>9691</v>
      </c>
    </row>
    <row r="4825" spans="1:17" x14ac:dyDescent="0.3">
      <c r="A4825" t="s">
        <v>4446</v>
      </c>
      <c r="B4825" t="str">
        <f>"301048"</f>
        <v>301048</v>
      </c>
      <c r="C4825" t="s">
        <v>9692</v>
      </c>
      <c r="D4825" t="s">
        <v>78</v>
      </c>
      <c r="F4825">
        <v>-349790179</v>
      </c>
      <c r="G4825">
        <v>250167109</v>
      </c>
      <c r="H4825">
        <v>157102301</v>
      </c>
      <c r="I4825">
        <v>-190803855</v>
      </c>
      <c r="J4825">
        <v>223570261</v>
      </c>
      <c r="P4825">
        <v>16</v>
      </c>
      <c r="Q4825" t="s">
        <v>9693</v>
      </c>
    </row>
    <row r="4826" spans="1:17" x14ac:dyDescent="0.3">
      <c r="A4826" t="s">
        <v>4446</v>
      </c>
      <c r="B4826" t="str">
        <f>"301049"</f>
        <v>301049</v>
      </c>
      <c r="C4826" t="s">
        <v>9694</v>
      </c>
      <c r="D4826" t="s">
        <v>33</v>
      </c>
      <c r="F4826">
        <v>-46402904</v>
      </c>
      <c r="G4826">
        <v>589174</v>
      </c>
      <c r="H4826">
        <v>8018182</v>
      </c>
      <c r="I4826">
        <v>55102181</v>
      </c>
      <c r="J4826">
        <v>-10037647</v>
      </c>
      <c r="P4826">
        <v>26</v>
      </c>
      <c r="Q4826" t="s">
        <v>9695</v>
      </c>
    </row>
    <row r="4827" spans="1:17" x14ac:dyDescent="0.3">
      <c r="A4827" t="s">
        <v>4446</v>
      </c>
      <c r="B4827" t="str">
        <f>"301050"</f>
        <v>301050</v>
      </c>
      <c r="C4827" t="s">
        <v>9696</v>
      </c>
      <c r="D4827" t="s">
        <v>92</v>
      </c>
      <c r="F4827">
        <v>39337054</v>
      </c>
      <c r="G4827">
        <v>-63627801</v>
      </c>
      <c r="H4827">
        <v>-18774751</v>
      </c>
      <c r="I4827">
        <v>-52708421</v>
      </c>
      <c r="J4827">
        <v>-41392436</v>
      </c>
      <c r="P4827">
        <v>31</v>
      </c>
      <c r="Q4827" t="s">
        <v>9697</v>
      </c>
    </row>
    <row r="4828" spans="1:17" x14ac:dyDescent="0.3">
      <c r="A4828" t="s">
        <v>4446</v>
      </c>
      <c r="B4828" t="str">
        <f>"301051"</f>
        <v>301051</v>
      </c>
      <c r="C4828" t="s">
        <v>9698</v>
      </c>
      <c r="D4828" t="s">
        <v>150</v>
      </c>
      <c r="F4828">
        <v>-4056939</v>
      </c>
      <c r="G4828">
        <v>-164250417</v>
      </c>
      <c r="H4828">
        <v>165075747</v>
      </c>
      <c r="I4828">
        <v>4453966</v>
      </c>
      <c r="J4828">
        <v>-11835331</v>
      </c>
      <c r="K4828">
        <v>-1073627</v>
      </c>
      <c r="P4828">
        <v>18</v>
      </c>
      <c r="Q4828" t="s">
        <v>9699</v>
      </c>
    </row>
    <row r="4829" spans="1:17" x14ac:dyDescent="0.3">
      <c r="A4829" t="s">
        <v>4446</v>
      </c>
      <c r="B4829" t="str">
        <f>"301052"</f>
        <v>301052</v>
      </c>
      <c r="C4829" t="s">
        <v>9700</v>
      </c>
      <c r="D4829" t="s">
        <v>89</v>
      </c>
      <c r="F4829">
        <v>83785346</v>
      </c>
      <c r="G4829">
        <v>26351730</v>
      </c>
      <c r="H4829">
        <v>38725724</v>
      </c>
      <c r="I4829">
        <v>-70800846</v>
      </c>
      <c r="J4829">
        <v>-28713770</v>
      </c>
      <c r="P4829">
        <v>16</v>
      </c>
      <c r="Q4829" t="s">
        <v>9701</v>
      </c>
    </row>
    <row r="4830" spans="1:17" x14ac:dyDescent="0.3">
      <c r="A4830" t="s">
        <v>4446</v>
      </c>
      <c r="B4830" t="str">
        <f>"301053"</f>
        <v>301053</v>
      </c>
      <c r="C4830" t="s">
        <v>9702</v>
      </c>
      <c r="D4830" t="s">
        <v>78</v>
      </c>
      <c r="F4830">
        <v>-31897053</v>
      </c>
      <c r="G4830">
        <v>59870858</v>
      </c>
      <c r="H4830">
        <v>43692976</v>
      </c>
      <c r="I4830">
        <v>40371244</v>
      </c>
      <c r="J4830">
        <v>40335758</v>
      </c>
      <c r="P4830">
        <v>24</v>
      </c>
      <c r="Q4830" t="s">
        <v>9703</v>
      </c>
    </row>
    <row r="4831" spans="1:17" x14ac:dyDescent="0.3">
      <c r="A4831" t="s">
        <v>4446</v>
      </c>
      <c r="B4831" t="str">
        <f>"301055"</f>
        <v>301055</v>
      </c>
      <c r="C4831" t="s">
        <v>9704</v>
      </c>
      <c r="D4831" t="s">
        <v>161</v>
      </c>
      <c r="F4831">
        <v>-11852068</v>
      </c>
      <c r="G4831">
        <v>-63057291</v>
      </c>
      <c r="H4831">
        <v>21969219</v>
      </c>
      <c r="I4831">
        <v>27381346</v>
      </c>
      <c r="J4831">
        <v>-112256828</v>
      </c>
      <c r="P4831">
        <v>28</v>
      </c>
      <c r="Q4831" t="s">
        <v>9705</v>
      </c>
    </row>
    <row r="4832" spans="1:17" x14ac:dyDescent="0.3">
      <c r="A4832" t="s">
        <v>4446</v>
      </c>
      <c r="B4832" t="str">
        <f>"301056"</f>
        <v>301056</v>
      </c>
      <c r="C4832" t="s">
        <v>9706</v>
      </c>
      <c r="D4832" t="s">
        <v>78</v>
      </c>
      <c r="F4832">
        <v>52318582</v>
      </c>
      <c r="G4832">
        <v>117797605</v>
      </c>
      <c r="H4832">
        <v>37214948</v>
      </c>
      <c r="I4832">
        <v>-803252</v>
      </c>
      <c r="J4832">
        <v>71431391</v>
      </c>
      <c r="P4832">
        <v>16</v>
      </c>
      <c r="Q4832" t="s">
        <v>9707</v>
      </c>
    </row>
    <row r="4833" spans="1:17" x14ac:dyDescent="0.3">
      <c r="A4833" t="s">
        <v>4446</v>
      </c>
      <c r="B4833" t="str">
        <f>"301057"</f>
        <v>301057</v>
      </c>
      <c r="C4833" t="s">
        <v>9708</v>
      </c>
      <c r="D4833" t="s">
        <v>133</v>
      </c>
      <c r="F4833">
        <v>2328356</v>
      </c>
      <c r="G4833">
        <v>90349133</v>
      </c>
      <c r="H4833">
        <v>-16684872</v>
      </c>
      <c r="I4833">
        <v>42330182</v>
      </c>
      <c r="J4833">
        <v>25824375</v>
      </c>
      <c r="P4833">
        <v>16</v>
      </c>
      <c r="Q4833" t="s">
        <v>9709</v>
      </c>
    </row>
    <row r="4834" spans="1:17" x14ac:dyDescent="0.3">
      <c r="A4834" t="s">
        <v>4446</v>
      </c>
      <c r="B4834" t="str">
        <f>"301058"</f>
        <v>301058</v>
      </c>
      <c r="C4834" t="s">
        <v>9710</v>
      </c>
      <c r="D4834" t="s">
        <v>95</v>
      </c>
      <c r="F4834">
        <v>205838592</v>
      </c>
      <c r="G4834">
        <v>196904411</v>
      </c>
      <c r="H4834">
        <v>63407835</v>
      </c>
      <c r="I4834">
        <v>-199451957</v>
      </c>
      <c r="J4834">
        <v>-12939304</v>
      </c>
      <c r="P4834">
        <v>24</v>
      </c>
      <c r="Q4834" t="s">
        <v>9711</v>
      </c>
    </row>
    <row r="4835" spans="1:17" x14ac:dyDescent="0.3">
      <c r="A4835" t="s">
        <v>4446</v>
      </c>
      <c r="B4835" t="str">
        <f>"301059"</f>
        <v>301059</v>
      </c>
      <c r="C4835" t="s">
        <v>9712</v>
      </c>
      <c r="D4835" t="s">
        <v>133</v>
      </c>
      <c r="F4835">
        <v>-147356623</v>
      </c>
      <c r="G4835">
        <v>48734955</v>
      </c>
      <c r="H4835">
        <v>28212602</v>
      </c>
      <c r="I4835">
        <v>42647774</v>
      </c>
      <c r="J4835">
        <v>12345489</v>
      </c>
      <c r="P4835">
        <v>21</v>
      </c>
      <c r="Q4835" t="s">
        <v>9713</v>
      </c>
    </row>
    <row r="4836" spans="1:17" x14ac:dyDescent="0.3">
      <c r="A4836" t="s">
        <v>4446</v>
      </c>
      <c r="B4836" t="str">
        <f>"301060"</f>
        <v>301060</v>
      </c>
      <c r="C4836" t="s">
        <v>9714</v>
      </c>
      <c r="D4836" t="s">
        <v>113</v>
      </c>
      <c r="F4836">
        <v>110123002</v>
      </c>
      <c r="G4836">
        <v>131284150</v>
      </c>
      <c r="H4836">
        <v>46933966</v>
      </c>
      <c r="I4836">
        <v>115863964</v>
      </c>
      <c r="J4836">
        <v>-225145050</v>
      </c>
      <c r="P4836">
        <v>41</v>
      </c>
      <c r="Q4836" t="s">
        <v>9715</v>
      </c>
    </row>
    <row r="4837" spans="1:17" x14ac:dyDescent="0.3">
      <c r="A4837" t="s">
        <v>4446</v>
      </c>
      <c r="B4837" t="str">
        <f>"301061"</f>
        <v>301061</v>
      </c>
      <c r="C4837" t="s">
        <v>9716</v>
      </c>
      <c r="D4837" t="s">
        <v>161</v>
      </c>
      <c r="F4837">
        <v>193262346</v>
      </c>
      <c r="G4837">
        <v>194179651</v>
      </c>
      <c r="H4837">
        <v>85955947</v>
      </c>
      <c r="I4837">
        <v>101863198</v>
      </c>
      <c r="J4837">
        <v>138056071</v>
      </c>
      <c r="P4837">
        <v>28</v>
      </c>
      <c r="Q4837" t="s">
        <v>9717</v>
      </c>
    </row>
    <row r="4838" spans="1:17" x14ac:dyDescent="0.3">
      <c r="A4838" t="s">
        <v>4446</v>
      </c>
      <c r="B4838" t="str">
        <f>"301062"</f>
        <v>301062</v>
      </c>
      <c r="C4838" t="s">
        <v>9718</v>
      </c>
      <c r="D4838" t="s">
        <v>161</v>
      </c>
      <c r="F4838">
        <v>-84933091</v>
      </c>
      <c r="G4838">
        <v>2001954</v>
      </c>
      <c r="H4838">
        <v>-36878136</v>
      </c>
      <c r="I4838">
        <v>-33930182</v>
      </c>
      <c r="J4838">
        <v>-45970571</v>
      </c>
      <c r="P4838">
        <v>13</v>
      </c>
      <c r="Q4838" t="s">
        <v>9719</v>
      </c>
    </row>
    <row r="4839" spans="1:17" x14ac:dyDescent="0.3">
      <c r="A4839" t="s">
        <v>4446</v>
      </c>
      <c r="B4839" t="str">
        <f>"301063"</f>
        <v>301063</v>
      </c>
      <c r="C4839" t="s">
        <v>9720</v>
      </c>
      <c r="D4839" t="s">
        <v>78</v>
      </c>
      <c r="F4839">
        <v>-95724543</v>
      </c>
      <c r="G4839">
        <v>-185854800</v>
      </c>
      <c r="H4839">
        <v>90050167</v>
      </c>
      <c r="I4839">
        <v>-9740581</v>
      </c>
      <c r="J4839">
        <v>-40295580</v>
      </c>
      <c r="P4839">
        <v>17</v>
      </c>
      <c r="Q4839" t="s">
        <v>9721</v>
      </c>
    </row>
    <row r="4840" spans="1:17" x14ac:dyDescent="0.3">
      <c r="A4840" t="s">
        <v>4446</v>
      </c>
      <c r="B4840" t="str">
        <f>"301065"</f>
        <v>301065</v>
      </c>
      <c r="C4840" t="s">
        <v>9722</v>
      </c>
      <c r="D4840" t="s">
        <v>133</v>
      </c>
      <c r="F4840">
        <v>-13821931</v>
      </c>
      <c r="G4840">
        <v>8469892</v>
      </c>
      <c r="H4840">
        <v>-9035915</v>
      </c>
      <c r="I4840">
        <v>39467327</v>
      </c>
      <c r="J4840">
        <v>2196189</v>
      </c>
      <c r="P4840">
        <v>12</v>
      </c>
      <c r="Q4840" t="s">
        <v>9723</v>
      </c>
    </row>
    <row r="4841" spans="1:17" x14ac:dyDescent="0.3">
      <c r="A4841" t="s">
        <v>4446</v>
      </c>
      <c r="B4841" t="str">
        <f>"301066"</f>
        <v>301066</v>
      </c>
      <c r="C4841" t="s">
        <v>9724</v>
      </c>
      <c r="D4841" t="s">
        <v>227</v>
      </c>
      <c r="F4841">
        <v>-92846734</v>
      </c>
      <c r="G4841">
        <v>79563024</v>
      </c>
      <c r="H4841">
        <v>76197772</v>
      </c>
      <c r="I4841">
        <v>54870501</v>
      </c>
      <c r="J4841">
        <v>4287384</v>
      </c>
      <c r="P4841">
        <v>21</v>
      </c>
      <c r="Q4841" t="s">
        <v>9725</v>
      </c>
    </row>
    <row r="4842" spans="1:17" x14ac:dyDescent="0.3">
      <c r="A4842" t="s">
        <v>4446</v>
      </c>
      <c r="B4842" t="str">
        <f>"301067"</f>
        <v>301067</v>
      </c>
      <c r="C4842" t="s">
        <v>9726</v>
      </c>
      <c r="D4842" t="s">
        <v>150</v>
      </c>
      <c r="F4842">
        <v>-80632050</v>
      </c>
      <c r="G4842">
        <v>44171364</v>
      </c>
      <c r="H4842">
        <v>45604970</v>
      </c>
      <c r="I4842">
        <v>-11491340</v>
      </c>
      <c r="J4842">
        <v>-11988710</v>
      </c>
      <c r="P4842">
        <v>18</v>
      </c>
      <c r="Q4842" t="s">
        <v>9727</v>
      </c>
    </row>
    <row r="4843" spans="1:17" x14ac:dyDescent="0.3">
      <c r="A4843" t="s">
        <v>4446</v>
      </c>
      <c r="B4843" t="str">
        <f>"301068"</f>
        <v>301068</v>
      </c>
      <c r="C4843" t="s">
        <v>9728</v>
      </c>
      <c r="D4843" t="s">
        <v>33</v>
      </c>
      <c r="F4843">
        <v>-31526179</v>
      </c>
      <c r="G4843">
        <v>-127152556</v>
      </c>
      <c r="H4843">
        <v>-114057642</v>
      </c>
      <c r="I4843">
        <v>51489251</v>
      </c>
      <c r="J4843">
        <v>10110592</v>
      </c>
      <c r="P4843">
        <v>14</v>
      </c>
      <c r="Q4843" t="s">
        <v>9729</v>
      </c>
    </row>
    <row r="4844" spans="1:17" x14ac:dyDescent="0.3">
      <c r="A4844" t="s">
        <v>4446</v>
      </c>
      <c r="B4844" t="str">
        <f>"301069"</f>
        <v>301069</v>
      </c>
      <c r="C4844" t="s">
        <v>9730</v>
      </c>
      <c r="D4844" t="s">
        <v>133</v>
      </c>
      <c r="F4844">
        <v>612984</v>
      </c>
      <c r="G4844">
        <v>121351078</v>
      </c>
      <c r="H4844">
        <v>165852293</v>
      </c>
      <c r="I4844">
        <v>8619095</v>
      </c>
      <c r="J4844">
        <v>-21225324</v>
      </c>
      <c r="P4844">
        <v>29</v>
      </c>
      <c r="Q4844" t="s">
        <v>9731</v>
      </c>
    </row>
    <row r="4845" spans="1:17" x14ac:dyDescent="0.3">
      <c r="A4845" t="s">
        <v>4446</v>
      </c>
      <c r="B4845" t="str">
        <f>"301070"</f>
        <v>301070</v>
      </c>
      <c r="C4845" t="s">
        <v>9732</v>
      </c>
      <c r="D4845" t="s">
        <v>78</v>
      </c>
      <c r="F4845">
        <v>-20482089</v>
      </c>
      <c r="G4845">
        <v>12866152</v>
      </c>
      <c r="H4845">
        <v>41760199</v>
      </c>
      <c r="I4845">
        <v>34870972</v>
      </c>
      <c r="J4845">
        <v>15222451</v>
      </c>
      <c r="P4845">
        <v>19</v>
      </c>
      <c r="Q4845" t="s">
        <v>9733</v>
      </c>
    </row>
    <row r="4846" spans="1:17" x14ac:dyDescent="0.3">
      <c r="A4846" t="s">
        <v>4446</v>
      </c>
      <c r="B4846" t="str">
        <f>"301071"</f>
        <v>301071</v>
      </c>
      <c r="C4846" t="s">
        <v>9734</v>
      </c>
      <c r="D4846" t="s">
        <v>78</v>
      </c>
      <c r="F4846">
        <v>-77347680</v>
      </c>
      <c r="G4846">
        <v>7299526</v>
      </c>
      <c r="H4846">
        <v>-39381150</v>
      </c>
      <c r="I4846">
        <v>9136719</v>
      </c>
      <c r="J4846">
        <v>-1472226</v>
      </c>
      <c r="P4846">
        <v>78</v>
      </c>
      <c r="Q4846" t="s">
        <v>9735</v>
      </c>
    </row>
    <row r="4847" spans="1:17" x14ac:dyDescent="0.3">
      <c r="A4847" t="s">
        <v>4446</v>
      </c>
      <c r="B4847" t="str">
        <f>"301072"</f>
        <v>301072</v>
      </c>
      <c r="C4847" t="s">
        <v>9736</v>
      </c>
      <c r="D4847" t="s">
        <v>27</v>
      </c>
      <c r="F4847">
        <v>-104471372</v>
      </c>
      <c r="G4847">
        <v>-2654232</v>
      </c>
      <c r="H4847">
        <v>43022964</v>
      </c>
      <c r="I4847">
        <v>14352901</v>
      </c>
      <c r="J4847">
        <v>36741506</v>
      </c>
      <c r="P4847">
        <v>17</v>
      </c>
      <c r="Q4847" t="s">
        <v>9737</v>
      </c>
    </row>
    <row r="4848" spans="1:17" x14ac:dyDescent="0.3">
      <c r="A4848" t="s">
        <v>4446</v>
      </c>
      <c r="B4848" t="str">
        <f>"301073"</f>
        <v>301073</v>
      </c>
      <c r="C4848" t="s">
        <v>9738</v>
      </c>
      <c r="D4848" t="s">
        <v>110</v>
      </c>
      <c r="F4848">
        <v>99659398</v>
      </c>
      <c r="G4848">
        <v>15767371</v>
      </c>
      <c r="H4848">
        <v>114277622</v>
      </c>
      <c r="I4848">
        <v>29514343</v>
      </c>
      <c r="J4848">
        <v>57003831</v>
      </c>
      <c r="K4848">
        <v>54301663</v>
      </c>
      <c r="P4848">
        <v>22</v>
      </c>
      <c r="Q4848" t="s">
        <v>9739</v>
      </c>
    </row>
    <row r="4849" spans="1:17" x14ac:dyDescent="0.3">
      <c r="A4849" t="s">
        <v>4446</v>
      </c>
      <c r="B4849" t="str">
        <f>"301075"</f>
        <v>301075</v>
      </c>
      <c r="C4849" t="s">
        <v>9740</v>
      </c>
      <c r="D4849" t="s">
        <v>113</v>
      </c>
      <c r="F4849">
        <v>42803527</v>
      </c>
      <c r="G4849">
        <v>12815889</v>
      </c>
      <c r="H4849">
        <v>22593763</v>
      </c>
      <c r="I4849">
        <v>51242442</v>
      </c>
      <c r="J4849">
        <v>47853586</v>
      </c>
      <c r="P4849">
        <v>22</v>
      </c>
      <c r="Q4849" t="s">
        <v>9741</v>
      </c>
    </row>
    <row r="4850" spans="1:17" x14ac:dyDescent="0.3">
      <c r="A4850" t="s">
        <v>4446</v>
      </c>
      <c r="B4850" t="str">
        <f>"301076"</f>
        <v>301076</v>
      </c>
      <c r="C4850" t="s">
        <v>9742</v>
      </c>
      <c r="D4850" t="s">
        <v>133</v>
      </c>
      <c r="F4850">
        <v>-37762800</v>
      </c>
      <c r="G4850">
        <v>29322000</v>
      </c>
      <c r="H4850">
        <v>83759355</v>
      </c>
      <c r="I4850">
        <v>23705730</v>
      </c>
      <c r="J4850">
        <v>42581751</v>
      </c>
      <c r="P4850">
        <v>20</v>
      </c>
      <c r="Q4850" t="s">
        <v>9743</v>
      </c>
    </row>
    <row r="4851" spans="1:17" x14ac:dyDescent="0.3">
      <c r="A4851" t="s">
        <v>4446</v>
      </c>
      <c r="B4851" t="str">
        <f>"301077"</f>
        <v>301077</v>
      </c>
      <c r="C4851" t="s">
        <v>9744</v>
      </c>
      <c r="D4851" t="s">
        <v>133</v>
      </c>
      <c r="F4851">
        <v>-12490974</v>
      </c>
      <c r="G4851">
        <v>40313607</v>
      </c>
      <c r="H4851">
        <v>49837800</v>
      </c>
      <c r="I4851">
        <v>26952771</v>
      </c>
      <c r="J4851">
        <v>-11560257</v>
      </c>
      <c r="P4851">
        <v>30</v>
      </c>
      <c r="Q4851" t="s">
        <v>9745</v>
      </c>
    </row>
    <row r="4852" spans="1:17" x14ac:dyDescent="0.3">
      <c r="A4852" t="s">
        <v>4446</v>
      </c>
      <c r="B4852" t="str">
        <f>"301078"</f>
        <v>301078</v>
      </c>
      <c r="C4852" t="s">
        <v>9746</v>
      </c>
      <c r="D4852" t="s">
        <v>120</v>
      </c>
      <c r="F4852">
        <v>80357318</v>
      </c>
      <c r="G4852">
        <v>660369743</v>
      </c>
      <c r="H4852">
        <v>499329990</v>
      </c>
      <c r="I4852">
        <v>213377890</v>
      </c>
      <c r="J4852">
        <v>460588790</v>
      </c>
      <c r="P4852">
        <v>23</v>
      </c>
      <c r="Q4852" t="s">
        <v>9747</v>
      </c>
    </row>
    <row r="4853" spans="1:17" x14ac:dyDescent="0.3">
      <c r="A4853" t="s">
        <v>4446</v>
      </c>
      <c r="B4853" t="str">
        <f>"301079"</f>
        <v>301079</v>
      </c>
      <c r="C4853" t="s">
        <v>9748</v>
      </c>
      <c r="D4853" t="s">
        <v>78</v>
      </c>
      <c r="F4853">
        <v>-20297371</v>
      </c>
      <c r="G4853">
        <v>34111001</v>
      </c>
      <c r="H4853">
        <v>14294792</v>
      </c>
      <c r="I4853">
        <v>3827550</v>
      </c>
      <c r="J4853">
        <v>14087590</v>
      </c>
      <c r="P4853">
        <v>22</v>
      </c>
      <c r="Q4853" t="s">
        <v>9749</v>
      </c>
    </row>
    <row r="4854" spans="1:17" x14ac:dyDescent="0.3">
      <c r="A4854" t="s">
        <v>4446</v>
      </c>
      <c r="B4854" t="str">
        <f>"301080"</f>
        <v>301080</v>
      </c>
      <c r="C4854" t="s">
        <v>9750</v>
      </c>
      <c r="D4854" t="s">
        <v>113</v>
      </c>
      <c r="F4854">
        <v>76305457</v>
      </c>
      <c r="G4854">
        <v>81517915</v>
      </c>
      <c r="H4854">
        <v>10365394</v>
      </c>
      <c r="I4854">
        <v>-2291951</v>
      </c>
      <c r="J4854">
        <v>-11863921</v>
      </c>
      <c r="P4854">
        <v>52</v>
      </c>
      <c r="Q4854" t="s">
        <v>9751</v>
      </c>
    </row>
    <row r="4855" spans="1:17" x14ac:dyDescent="0.3">
      <c r="A4855" t="s">
        <v>4446</v>
      </c>
      <c r="B4855" t="str">
        <f>"301081"</f>
        <v>301081</v>
      </c>
      <c r="C4855" t="s">
        <v>9752</v>
      </c>
      <c r="D4855" t="s">
        <v>33</v>
      </c>
      <c r="F4855">
        <v>-5144728</v>
      </c>
      <c r="G4855">
        <v>-21083825</v>
      </c>
      <c r="H4855">
        <v>-43140326</v>
      </c>
      <c r="I4855">
        <v>-40980052</v>
      </c>
      <c r="J4855">
        <v>-7804692</v>
      </c>
      <c r="K4855">
        <v>-25577604</v>
      </c>
      <c r="P4855">
        <v>21</v>
      </c>
      <c r="Q4855" t="s">
        <v>9753</v>
      </c>
    </row>
    <row r="4856" spans="1:17" x14ac:dyDescent="0.3">
      <c r="A4856" t="s">
        <v>4446</v>
      </c>
      <c r="B4856" t="str">
        <f>"301082"</f>
        <v>301082</v>
      </c>
      <c r="C4856" t="s">
        <v>9754</v>
      </c>
      <c r="D4856" t="s">
        <v>188</v>
      </c>
      <c r="F4856">
        <v>-454002403</v>
      </c>
      <c r="G4856">
        <v>18878453</v>
      </c>
      <c r="H4856">
        <v>-2008428</v>
      </c>
      <c r="I4856">
        <v>25569136</v>
      </c>
      <c r="J4856">
        <v>-2245197</v>
      </c>
      <c r="P4856">
        <v>17</v>
      </c>
      <c r="Q4856" t="s">
        <v>9755</v>
      </c>
    </row>
    <row r="4857" spans="1:17" x14ac:dyDescent="0.3">
      <c r="A4857" t="s">
        <v>4446</v>
      </c>
      <c r="B4857" t="str">
        <f>"301083"</f>
        <v>301083</v>
      </c>
      <c r="C4857" t="s">
        <v>9756</v>
      </c>
      <c r="D4857" t="s">
        <v>78</v>
      </c>
      <c r="F4857">
        <v>50842339</v>
      </c>
      <c r="G4857">
        <v>45269014</v>
      </c>
      <c r="H4857">
        <v>59846515</v>
      </c>
      <c r="I4857">
        <v>14567013</v>
      </c>
      <c r="J4857">
        <v>36776089</v>
      </c>
      <c r="P4857">
        <v>16</v>
      </c>
      <c r="Q4857" t="s">
        <v>9757</v>
      </c>
    </row>
    <row r="4858" spans="1:17" x14ac:dyDescent="0.3">
      <c r="A4858" t="s">
        <v>4446</v>
      </c>
      <c r="B4858" t="str">
        <f>"301085"</f>
        <v>301085</v>
      </c>
      <c r="C4858" t="s">
        <v>9758</v>
      </c>
      <c r="D4858" t="s">
        <v>212</v>
      </c>
      <c r="F4858">
        <v>-88847526</v>
      </c>
      <c r="G4858">
        <v>67986855</v>
      </c>
      <c r="H4858">
        <v>10538548</v>
      </c>
      <c r="I4858">
        <v>44911827</v>
      </c>
      <c r="J4858">
        <v>30432487</v>
      </c>
      <c r="P4858">
        <v>16</v>
      </c>
      <c r="Q4858" t="s">
        <v>9759</v>
      </c>
    </row>
    <row r="4859" spans="1:17" x14ac:dyDescent="0.3">
      <c r="A4859" t="s">
        <v>4446</v>
      </c>
      <c r="B4859" t="str">
        <f>"301086"</f>
        <v>301086</v>
      </c>
      <c r="C4859" t="s">
        <v>9760</v>
      </c>
      <c r="D4859" t="s">
        <v>150</v>
      </c>
      <c r="F4859">
        <v>-115449981</v>
      </c>
      <c r="G4859">
        <v>-23820636</v>
      </c>
      <c r="H4859">
        <v>71858658</v>
      </c>
      <c r="I4859">
        <v>47493661</v>
      </c>
      <c r="J4859">
        <v>-33471673</v>
      </c>
      <c r="P4859">
        <v>28</v>
      </c>
      <c r="Q4859" t="s">
        <v>9761</v>
      </c>
    </row>
    <row r="4860" spans="1:17" x14ac:dyDescent="0.3">
      <c r="A4860" t="s">
        <v>4446</v>
      </c>
      <c r="B4860" t="str">
        <f>"301087"</f>
        <v>301087</v>
      </c>
      <c r="C4860" t="s">
        <v>9762</v>
      </c>
      <c r="D4860" t="s">
        <v>113</v>
      </c>
      <c r="F4860">
        <v>-273206646</v>
      </c>
      <c r="G4860">
        <v>122589445</v>
      </c>
      <c r="H4860">
        <v>-47947265</v>
      </c>
      <c r="I4860">
        <v>-22952264</v>
      </c>
      <c r="J4860">
        <v>-56748342</v>
      </c>
      <c r="P4860">
        <v>33</v>
      </c>
      <c r="Q4860" t="s">
        <v>9763</v>
      </c>
    </row>
    <row r="4861" spans="1:17" x14ac:dyDescent="0.3">
      <c r="A4861" t="s">
        <v>4446</v>
      </c>
      <c r="B4861" t="str">
        <f>"301088"</f>
        <v>301088</v>
      </c>
      <c r="C4861" t="s">
        <v>9764</v>
      </c>
      <c r="D4861" t="s">
        <v>227</v>
      </c>
      <c r="F4861">
        <v>-81153381</v>
      </c>
      <c r="G4861">
        <v>135747210</v>
      </c>
      <c r="H4861">
        <v>111932682</v>
      </c>
      <c r="I4861">
        <v>31815629</v>
      </c>
      <c r="J4861">
        <v>-24130706</v>
      </c>
      <c r="P4861">
        <v>28</v>
      </c>
      <c r="Q4861" t="s">
        <v>9765</v>
      </c>
    </row>
    <row r="4862" spans="1:17" x14ac:dyDescent="0.3">
      <c r="A4862" t="s">
        <v>4446</v>
      </c>
      <c r="B4862" t="str">
        <f>"301089"</f>
        <v>301089</v>
      </c>
      <c r="C4862" t="s">
        <v>9766</v>
      </c>
      <c r="D4862" t="s">
        <v>113</v>
      </c>
      <c r="F4862">
        <v>-44533701</v>
      </c>
      <c r="G4862">
        <v>45958671</v>
      </c>
      <c r="H4862">
        <v>10181517</v>
      </c>
      <c r="I4862">
        <v>11467057</v>
      </c>
      <c r="J4862">
        <v>-4296694</v>
      </c>
      <c r="P4862">
        <v>37</v>
      </c>
      <c r="Q4862" t="s">
        <v>9767</v>
      </c>
    </row>
    <row r="4863" spans="1:17" x14ac:dyDescent="0.3">
      <c r="A4863" t="s">
        <v>4446</v>
      </c>
      <c r="B4863" t="str">
        <f>"301090"</f>
        <v>301090</v>
      </c>
      <c r="C4863" t="s">
        <v>9768</v>
      </c>
      <c r="D4863" t="s">
        <v>133</v>
      </c>
      <c r="F4863">
        <v>131507611</v>
      </c>
      <c r="G4863">
        <v>470486556</v>
      </c>
      <c r="H4863">
        <v>544086253</v>
      </c>
      <c r="I4863">
        <v>278757152</v>
      </c>
      <c r="J4863">
        <v>497596349</v>
      </c>
      <c r="P4863">
        <v>18</v>
      </c>
      <c r="Q4863" t="s">
        <v>9769</v>
      </c>
    </row>
    <row r="4864" spans="1:17" x14ac:dyDescent="0.3">
      <c r="A4864" t="s">
        <v>4446</v>
      </c>
      <c r="B4864" t="str">
        <f>"301091"</f>
        <v>301091</v>
      </c>
      <c r="C4864" t="s">
        <v>9770</v>
      </c>
      <c r="D4864" t="s">
        <v>95</v>
      </c>
      <c r="F4864">
        <v>-290409957</v>
      </c>
      <c r="G4864">
        <v>19789939</v>
      </c>
      <c r="H4864">
        <v>18019558</v>
      </c>
      <c r="I4864">
        <v>150742307</v>
      </c>
      <c r="J4864">
        <v>20989096</v>
      </c>
      <c r="P4864">
        <v>25</v>
      </c>
      <c r="Q4864" t="s">
        <v>9771</v>
      </c>
    </row>
    <row r="4865" spans="1:17" x14ac:dyDescent="0.3">
      <c r="A4865" t="s">
        <v>4446</v>
      </c>
      <c r="B4865" t="str">
        <f>"301092"</f>
        <v>301092</v>
      </c>
      <c r="C4865" t="s">
        <v>9772</v>
      </c>
      <c r="D4865" t="s">
        <v>133</v>
      </c>
      <c r="F4865">
        <v>31198358</v>
      </c>
      <c r="G4865">
        <v>87077013</v>
      </c>
      <c r="H4865">
        <v>86079478</v>
      </c>
      <c r="I4865">
        <v>27186548</v>
      </c>
      <c r="J4865">
        <v>23298128</v>
      </c>
      <c r="P4865">
        <v>22</v>
      </c>
      <c r="Q4865" t="s">
        <v>9773</v>
      </c>
    </row>
    <row r="4866" spans="1:17" x14ac:dyDescent="0.3">
      <c r="A4866" t="s">
        <v>4446</v>
      </c>
      <c r="B4866" t="str">
        <f>"301093"</f>
        <v>301093</v>
      </c>
      <c r="C4866" t="s">
        <v>9774</v>
      </c>
      <c r="D4866" t="s">
        <v>113</v>
      </c>
      <c r="F4866">
        <v>93175428</v>
      </c>
      <c r="G4866">
        <v>96522053</v>
      </c>
      <c r="H4866">
        <v>56333092</v>
      </c>
      <c r="I4866">
        <v>88269651</v>
      </c>
      <c r="J4866">
        <v>20051127</v>
      </c>
      <c r="P4866">
        <v>30</v>
      </c>
      <c r="Q4866" t="s">
        <v>9775</v>
      </c>
    </row>
    <row r="4867" spans="1:17" x14ac:dyDescent="0.3">
      <c r="A4867" t="s">
        <v>4446</v>
      </c>
      <c r="B4867" t="str">
        <f>"301096"</f>
        <v>301096</v>
      </c>
      <c r="C4867" t="s">
        <v>9776</v>
      </c>
      <c r="D4867" t="s">
        <v>113</v>
      </c>
      <c r="F4867">
        <v>-103008046</v>
      </c>
      <c r="G4867">
        <v>-200758942</v>
      </c>
      <c r="H4867">
        <v>-35430203</v>
      </c>
      <c r="I4867">
        <v>25933833</v>
      </c>
      <c r="J4867">
        <v>-20211642</v>
      </c>
      <c r="P4867">
        <v>26</v>
      </c>
      <c r="Q4867" t="s">
        <v>9777</v>
      </c>
    </row>
    <row r="4868" spans="1:17" x14ac:dyDescent="0.3">
      <c r="A4868" t="s">
        <v>4446</v>
      </c>
      <c r="B4868" t="str">
        <f>"301097"</f>
        <v>301097</v>
      </c>
      <c r="C4868" t="s">
        <v>9778</v>
      </c>
      <c r="F4868">
        <v>68671722</v>
      </c>
      <c r="G4868">
        <v>53313393</v>
      </c>
      <c r="H4868">
        <v>7142891</v>
      </c>
      <c r="I4868">
        <v>17679653</v>
      </c>
      <c r="J4868">
        <v>27169132</v>
      </c>
      <c r="P4868">
        <v>2</v>
      </c>
      <c r="Q4868" t="s">
        <v>9779</v>
      </c>
    </row>
    <row r="4869" spans="1:17" x14ac:dyDescent="0.3">
      <c r="A4869" t="s">
        <v>4446</v>
      </c>
      <c r="B4869" t="str">
        <f>"301098"</f>
        <v>301098</v>
      </c>
      <c r="C4869" t="s">
        <v>9780</v>
      </c>
      <c r="D4869" t="s">
        <v>95</v>
      </c>
      <c r="F4869">
        <v>-146212896</v>
      </c>
      <c r="G4869">
        <v>-54296564</v>
      </c>
      <c r="H4869">
        <v>-16404043</v>
      </c>
      <c r="I4869">
        <v>18754678</v>
      </c>
      <c r="J4869">
        <v>18138602</v>
      </c>
      <c r="K4869">
        <v>11482387</v>
      </c>
      <c r="P4869">
        <v>13</v>
      </c>
      <c r="Q4869" t="s">
        <v>9781</v>
      </c>
    </row>
    <row r="4870" spans="1:17" x14ac:dyDescent="0.3">
      <c r="A4870" t="s">
        <v>4446</v>
      </c>
      <c r="B4870" t="str">
        <f>"301099"</f>
        <v>301099</v>
      </c>
      <c r="C4870" t="s">
        <v>9782</v>
      </c>
      <c r="D4870" t="s">
        <v>150</v>
      </c>
      <c r="F4870">
        <v>-323542816</v>
      </c>
      <c r="G4870">
        <v>-384569207</v>
      </c>
      <c r="H4870">
        <v>-303656000</v>
      </c>
      <c r="I4870">
        <v>-428687374</v>
      </c>
      <c r="J4870">
        <v>-283717490</v>
      </c>
      <c r="P4870">
        <v>16</v>
      </c>
      <c r="Q4870" t="s">
        <v>9783</v>
      </c>
    </row>
    <row r="4871" spans="1:17" x14ac:dyDescent="0.3">
      <c r="A4871" t="s">
        <v>4446</v>
      </c>
      <c r="B4871" t="str">
        <f>"301100"</f>
        <v>301100</v>
      </c>
      <c r="C4871" t="s">
        <v>9784</v>
      </c>
      <c r="D4871" t="s">
        <v>133</v>
      </c>
      <c r="F4871">
        <v>-196977495</v>
      </c>
      <c r="G4871">
        <v>130976674</v>
      </c>
      <c r="H4871">
        <v>66898885</v>
      </c>
      <c r="I4871">
        <v>167455682</v>
      </c>
      <c r="J4871">
        <v>-1101825</v>
      </c>
      <c r="P4871">
        <v>11</v>
      </c>
      <c r="Q4871" t="s">
        <v>9785</v>
      </c>
    </row>
    <row r="4872" spans="1:17" x14ac:dyDescent="0.3">
      <c r="A4872" t="s">
        <v>4446</v>
      </c>
      <c r="B4872" t="str">
        <f>"301101"</f>
        <v>301101</v>
      </c>
      <c r="C4872" t="s">
        <v>9786</v>
      </c>
      <c r="D4872" t="s">
        <v>161</v>
      </c>
      <c r="F4872">
        <v>111336213</v>
      </c>
      <c r="G4872">
        <v>63576048</v>
      </c>
      <c r="H4872">
        <v>60313949</v>
      </c>
      <c r="I4872">
        <v>59942424</v>
      </c>
      <c r="J4872">
        <v>19651958</v>
      </c>
      <c r="P4872">
        <v>19</v>
      </c>
      <c r="Q4872" t="s">
        <v>9787</v>
      </c>
    </row>
    <row r="4873" spans="1:17" x14ac:dyDescent="0.3">
      <c r="A4873" t="s">
        <v>4446</v>
      </c>
      <c r="B4873" t="str">
        <f>"301102"</f>
        <v>301102</v>
      </c>
      <c r="C4873" t="s">
        <v>9788</v>
      </c>
      <c r="F4873">
        <v>418219947</v>
      </c>
      <c r="G4873">
        <v>187779099</v>
      </c>
      <c r="H4873">
        <v>159569127</v>
      </c>
      <c r="I4873">
        <v>101423653</v>
      </c>
      <c r="J4873">
        <v>115465814</v>
      </c>
      <c r="P4873">
        <v>4</v>
      </c>
      <c r="Q4873" t="s">
        <v>9789</v>
      </c>
    </row>
    <row r="4874" spans="1:17" x14ac:dyDescent="0.3">
      <c r="A4874" t="s">
        <v>4446</v>
      </c>
      <c r="B4874" t="str">
        <f>"301103"</f>
        <v>301103</v>
      </c>
      <c r="C4874" t="s">
        <v>9790</v>
      </c>
      <c r="F4874">
        <v>142619251</v>
      </c>
      <c r="G4874">
        <v>76600039</v>
      </c>
      <c r="H4874">
        <v>23624240</v>
      </c>
      <c r="I4874">
        <v>14538848</v>
      </c>
      <c r="J4874">
        <v>-1650691</v>
      </c>
      <c r="P4874">
        <v>6</v>
      </c>
      <c r="Q4874" t="s">
        <v>9791</v>
      </c>
    </row>
    <row r="4875" spans="1:17" x14ac:dyDescent="0.3">
      <c r="A4875" t="s">
        <v>4446</v>
      </c>
      <c r="B4875" t="str">
        <f>"301106"</f>
        <v>301106</v>
      </c>
      <c r="C4875" t="s">
        <v>9792</v>
      </c>
      <c r="F4875">
        <v>4329013</v>
      </c>
      <c r="G4875">
        <v>6151849</v>
      </c>
      <c r="H4875">
        <v>-18275784</v>
      </c>
      <c r="I4875">
        <v>43841316</v>
      </c>
      <c r="J4875">
        <v>46246354</v>
      </c>
      <c r="P4875">
        <v>8</v>
      </c>
      <c r="Q4875" t="s">
        <v>9793</v>
      </c>
    </row>
    <row r="4876" spans="1:17" x14ac:dyDescent="0.3">
      <c r="A4876" t="s">
        <v>4446</v>
      </c>
      <c r="B4876" t="str">
        <f>"301108"</f>
        <v>301108</v>
      </c>
      <c r="C4876" t="s">
        <v>9794</v>
      </c>
      <c r="D4876" t="s">
        <v>481</v>
      </c>
      <c r="F4876">
        <v>127707043</v>
      </c>
      <c r="G4876">
        <v>84357667</v>
      </c>
      <c r="H4876">
        <v>78271202</v>
      </c>
      <c r="I4876">
        <v>27666716</v>
      </c>
      <c r="J4876">
        <v>17356678</v>
      </c>
      <c r="P4876">
        <v>24</v>
      </c>
      <c r="Q4876" t="s">
        <v>9795</v>
      </c>
    </row>
    <row r="4877" spans="1:17" x14ac:dyDescent="0.3">
      <c r="A4877" t="s">
        <v>4446</v>
      </c>
      <c r="B4877" t="str">
        <f>"301109"</f>
        <v>301109</v>
      </c>
      <c r="C4877" t="s">
        <v>9796</v>
      </c>
      <c r="F4877">
        <v>-100255190</v>
      </c>
      <c r="G4877">
        <v>-457741781</v>
      </c>
      <c r="H4877">
        <v>-254215338</v>
      </c>
      <c r="I4877">
        <v>82464012</v>
      </c>
      <c r="J4877">
        <v>-501009462</v>
      </c>
      <c r="P4877">
        <v>3</v>
      </c>
      <c r="Q4877" t="s">
        <v>9797</v>
      </c>
    </row>
    <row r="4878" spans="1:17" x14ac:dyDescent="0.3">
      <c r="A4878" t="s">
        <v>4446</v>
      </c>
      <c r="B4878" t="str">
        <f>"301110"</f>
        <v>301110</v>
      </c>
      <c r="C4878" t="s">
        <v>9798</v>
      </c>
      <c r="F4878">
        <v>46687086</v>
      </c>
      <c r="G4878">
        <v>39416487</v>
      </c>
      <c r="H4878">
        <v>23723384</v>
      </c>
      <c r="I4878">
        <v>65063283</v>
      </c>
      <c r="J4878">
        <v>5433547</v>
      </c>
      <c r="P4878">
        <v>9</v>
      </c>
      <c r="Q4878" t="s">
        <v>9799</v>
      </c>
    </row>
    <row r="4879" spans="1:17" x14ac:dyDescent="0.3">
      <c r="A4879" t="s">
        <v>4446</v>
      </c>
      <c r="B4879" t="str">
        <f>"301111"</f>
        <v>301111</v>
      </c>
      <c r="C4879" t="s">
        <v>9800</v>
      </c>
      <c r="D4879" t="s">
        <v>113</v>
      </c>
      <c r="F4879">
        <v>68541191</v>
      </c>
      <c r="G4879">
        <v>45242634</v>
      </c>
      <c r="H4879">
        <v>35983161</v>
      </c>
      <c r="I4879">
        <v>40077251</v>
      </c>
      <c r="J4879">
        <v>5430245</v>
      </c>
      <c r="P4879">
        <v>28</v>
      </c>
      <c r="Q4879" t="s">
        <v>9801</v>
      </c>
    </row>
    <row r="4880" spans="1:17" x14ac:dyDescent="0.3">
      <c r="A4880" t="s">
        <v>4446</v>
      </c>
      <c r="B4880" t="str">
        <f>"301113"</f>
        <v>301113</v>
      </c>
      <c r="C4880" t="s">
        <v>9802</v>
      </c>
      <c r="D4880" t="s">
        <v>161</v>
      </c>
      <c r="F4880">
        <v>68416292</v>
      </c>
      <c r="G4880">
        <v>41142418</v>
      </c>
      <c r="H4880">
        <v>36229069</v>
      </c>
      <c r="I4880">
        <v>20674636</v>
      </c>
      <c r="J4880">
        <v>34693102</v>
      </c>
      <c r="P4880">
        <v>27</v>
      </c>
      <c r="Q4880" t="s">
        <v>9803</v>
      </c>
    </row>
    <row r="4881" spans="1:17" x14ac:dyDescent="0.3">
      <c r="A4881" t="s">
        <v>4446</v>
      </c>
      <c r="B4881" t="str">
        <f>"301116"</f>
        <v>301116</v>
      </c>
      <c r="C4881" t="s">
        <v>9804</v>
      </c>
      <c r="D4881" t="s">
        <v>205</v>
      </c>
      <c r="F4881">
        <v>-420665199</v>
      </c>
      <c r="G4881">
        <v>-269134751</v>
      </c>
      <c r="H4881">
        <v>354138549</v>
      </c>
      <c r="I4881">
        <v>-1160666</v>
      </c>
      <c r="J4881">
        <v>-136167423</v>
      </c>
      <c r="K4881">
        <v>110824727</v>
      </c>
      <c r="P4881">
        <v>11</v>
      </c>
      <c r="Q4881" t="s">
        <v>9805</v>
      </c>
    </row>
    <row r="4882" spans="1:17" x14ac:dyDescent="0.3">
      <c r="A4882" t="s">
        <v>4446</v>
      </c>
      <c r="B4882" t="str">
        <f>"301117"</f>
        <v>301117</v>
      </c>
      <c r="C4882" t="s">
        <v>9806</v>
      </c>
      <c r="D4882" t="s">
        <v>212</v>
      </c>
      <c r="F4882">
        <v>-53169924</v>
      </c>
      <c r="G4882">
        <v>-2563932</v>
      </c>
      <c r="H4882">
        <v>13272643</v>
      </c>
      <c r="I4882">
        <v>-23395156</v>
      </c>
      <c r="J4882">
        <v>-719558</v>
      </c>
      <c r="P4882">
        <v>9</v>
      </c>
      <c r="Q4882" t="s">
        <v>9807</v>
      </c>
    </row>
    <row r="4883" spans="1:17" x14ac:dyDescent="0.3">
      <c r="A4883" t="s">
        <v>4446</v>
      </c>
      <c r="B4883" t="str">
        <f>"301118"</f>
        <v>301118</v>
      </c>
      <c r="C4883" t="s">
        <v>9808</v>
      </c>
      <c r="D4883" t="s">
        <v>133</v>
      </c>
      <c r="F4883">
        <v>177833042</v>
      </c>
      <c r="G4883">
        <v>44558457</v>
      </c>
      <c r="H4883">
        <v>99803613</v>
      </c>
      <c r="I4883">
        <v>38573866</v>
      </c>
      <c r="J4883">
        <v>42273229</v>
      </c>
      <c r="P4883">
        <v>16</v>
      </c>
      <c r="Q4883" t="s">
        <v>9809</v>
      </c>
    </row>
    <row r="4884" spans="1:17" x14ac:dyDescent="0.3">
      <c r="A4884" t="s">
        <v>4446</v>
      </c>
      <c r="B4884" t="str">
        <f>"301119"</f>
        <v>301119</v>
      </c>
      <c r="C4884" t="s">
        <v>9810</v>
      </c>
      <c r="D4884" t="s">
        <v>27</v>
      </c>
      <c r="F4884">
        <v>32438294</v>
      </c>
      <c r="G4884">
        <v>40054688</v>
      </c>
      <c r="H4884">
        <v>39493697</v>
      </c>
      <c r="I4884">
        <v>27254505</v>
      </c>
      <c r="J4884">
        <v>45249866</v>
      </c>
      <c r="P4884">
        <v>12</v>
      </c>
      <c r="Q4884" t="s">
        <v>9811</v>
      </c>
    </row>
    <row r="4885" spans="1:17" x14ac:dyDescent="0.3">
      <c r="A4885" t="s">
        <v>4446</v>
      </c>
      <c r="B4885" t="str">
        <f>"301120"</f>
        <v>301120</v>
      </c>
      <c r="C4885" t="s">
        <v>9812</v>
      </c>
      <c r="F4885">
        <v>42741042</v>
      </c>
      <c r="G4885">
        <v>15083544</v>
      </c>
      <c r="H4885">
        <v>12436124</v>
      </c>
      <c r="I4885">
        <v>-21460245</v>
      </c>
      <c r="J4885">
        <v>-58647426</v>
      </c>
      <c r="P4885">
        <v>7</v>
      </c>
      <c r="Q4885" t="s">
        <v>9813</v>
      </c>
    </row>
    <row r="4886" spans="1:17" x14ac:dyDescent="0.3">
      <c r="A4886" t="s">
        <v>4446</v>
      </c>
      <c r="B4886" t="str">
        <f>"301122"</f>
        <v>301122</v>
      </c>
      <c r="C4886" t="s">
        <v>9814</v>
      </c>
      <c r="F4886">
        <v>72388692</v>
      </c>
      <c r="G4886">
        <v>102040779</v>
      </c>
      <c r="H4886">
        <v>8905383</v>
      </c>
      <c r="I4886">
        <v>1547508</v>
      </c>
      <c r="J4886">
        <v>-33437923</v>
      </c>
      <c r="P4886">
        <v>14</v>
      </c>
      <c r="Q4886" t="s">
        <v>9815</v>
      </c>
    </row>
    <row r="4887" spans="1:17" x14ac:dyDescent="0.3">
      <c r="A4887" t="s">
        <v>4446</v>
      </c>
      <c r="B4887" t="str">
        <f>"301123"</f>
        <v>301123</v>
      </c>
      <c r="C4887" t="s">
        <v>9816</v>
      </c>
      <c r="F4887">
        <v>-56465232</v>
      </c>
      <c r="G4887">
        <v>42540923</v>
      </c>
      <c r="H4887">
        <v>84508010</v>
      </c>
      <c r="I4887">
        <v>6189146</v>
      </c>
      <c r="J4887">
        <v>27361681</v>
      </c>
      <c r="P4887">
        <v>6</v>
      </c>
      <c r="Q4887" t="s">
        <v>9817</v>
      </c>
    </row>
    <row r="4888" spans="1:17" x14ac:dyDescent="0.3">
      <c r="A4888" t="s">
        <v>4446</v>
      </c>
      <c r="B4888" t="str">
        <f>"301126"</f>
        <v>301126</v>
      </c>
      <c r="C4888" t="s">
        <v>9818</v>
      </c>
      <c r="D4888" t="s">
        <v>113</v>
      </c>
      <c r="F4888">
        <v>-195098297</v>
      </c>
      <c r="G4888">
        <v>-197411529</v>
      </c>
      <c r="H4888">
        <v>103410813</v>
      </c>
      <c r="I4888">
        <v>-37349348</v>
      </c>
      <c r="J4888">
        <v>-126354083</v>
      </c>
      <c r="P4888">
        <v>14</v>
      </c>
      <c r="Q4888" t="s">
        <v>9819</v>
      </c>
    </row>
    <row r="4889" spans="1:17" x14ac:dyDescent="0.3">
      <c r="A4889" t="s">
        <v>4446</v>
      </c>
      <c r="B4889" t="str">
        <f>"301127"</f>
        <v>301127</v>
      </c>
      <c r="C4889" t="s">
        <v>9820</v>
      </c>
      <c r="D4889" t="s">
        <v>33</v>
      </c>
      <c r="F4889">
        <v>-217862155</v>
      </c>
      <c r="G4889">
        <v>183856450</v>
      </c>
      <c r="H4889">
        <v>-91962248</v>
      </c>
      <c r="I4889">
        <v>-179376965</v>
      </c>
      <c r="J4889">
        <v>13641556</v>
      </c>
      <c r="P4889">
        <v>13</v>
      </c>
      <c r="Q4889" t="s">
        <v>9821</v>
      </c>
    </row>
    <row r="4890" spans="1:17" x14ac:dyDescent="0.3">
      <c r="A4890" t="s">
        <v>4446</v>
      </c>
      <c r="B4890" t="str">
        <f>"301128"</f>
        <v>301128</v>
      </c>
      <c r="C4890" t="s">
        <v>9822</v>
      </c>
      <c r="D4890" t="s">
        <v>78</v>
      </c>
      <c r="F4890">
        <v>-8476389</v>
      </c>
      <c r="G4890">
        <v>-3748403</v>
      </c>
      <c r="H4890">
        <v>39243024</v>
      </c>
      <c r="I4890">
        <v>-3441539</v>
      </c>
      <c r="J4890">
        <v>-6987373</v>
      </c>
      <c r="P4890">
        <v>12</v>
      </c>
      <c r="Q4890" t="s">
        <v>9823</v>
      </c>
    </row>
    <row r="4891" spans="1:17" x14ac:dyDescent="0.3">
      <c r="A4891" t="s">
        <v>4446</v>
      </c>
      <c r="B4891" t="str">
        <f>"301129"</f>
        <v>301129</v>
      </c>
      <c r="C4891" t="s">
        <v>9824</v>
      </c>
      <c r="D4891" t="s">
        <v>78</v>
      </c>
      <c r="F4891">
        <v>64907871</v>
      </c>
      <c r="G4891">
        <v>90681397</v>
      </c>
      <c r="H4891">
        <v>79906234</v>
      </c>
      <c r="I4891">
        <v>25146709</v>
      </c>
      <c r="J4891">
        <v>14082958</v>
      </c>
      <c r="P4891">
        <v>22</v>
      </c>
      <c r="Q4891" t="s">
        <v>9825</v>
      </c>
    </row>
    <row r="4892" spans="1:17" x14ac:dyDescent="0.3">
      <c r="A4892" t="s">
        <v>4446</v>
      </c>
      <c r="B4892" t="str">
        <f>"301130"</f>
        <v>301130</v>
      </c>
      <c r="C4892" t="s">
        <v>9826</v>
      </c>
      <c r="F4892">
        <v>37829701</v>
      </c>
      <c r="G4892">
        <v>50029772</v>
      </c>
      <c r="H4892">
        <v>52702502</v>
      </c>
      <c r="I4892">
        <v>35001902</v>
      </c>
      <c r="J4892">
        <v>-12859060</v>
      </c>
      <c r="P4892">
        <v>7</v>
      </c>
      <c r="Q4892" t="s">
        <v>9827</v>
      </c>
    </row>
    <row r="4893" spans="1:17" x14ac:dyDescent="0.3">
      <c r="A4893" t="s">
        <v>4446</v>
      </c>
      <c r="B4893" t="str">
        <f>"301131"</f>
        <v>301131</v>
      </c>
      <c r="C4893" t="s">
        <v>9828</v>
      </c>
      <c r="F4893">
        <v>-183177981</v>
      </c>
      <c r="G4893">
        <v>-181747600</v>
      </c>
      <c r="H4893">
        <v>-185862451</v>
      </c>
      <c r="I4893">
        <v>-214845475</v>
      </c>
      <c r="J4893">
        <v>-186171095</v>
      </c>
      <c r="P4893">
        <v>4</v>
      </c>
      <c r="Q4893" t="s">
        <v>9829</v>
      </c>
    </row>
    <row r="4894" spans="1:17" x14ac:dyDescent="0.3">
      <c r="A4894" t="s">
        <v>4446</v>
      </c>
      <c r="B4894" t="str">
        <f>"301133"</f>
        <v>301133</v>
      </c>
      <c r="C4894" t="s">
        <v>9830</v>
      </c>
      <c r="D4894" t="s">
        <v>27</v>
      </c>
      <c r="F4894">
        <v>-77737296</v>
      </c>
      <c r="G4894">
        <v>-5110241</v>
      </c>
      <c r="H4894">
        <v>-7883071</v>
      </c>
      <c r="I4894">
        <v>17970844</v>
      </c>
      <c r="J4894">
        <v>56833014</v>
      </c>
      <c r="P4894">
        <v>15</v>
      </c>
      <c r="Q4894" t="s">
        <v>9831</v>
      </c>
    </row>
    <row r="4895" spans="1:17" x14ac:dyDescent="0.3">
      <c r="A4895" t="s">
        <v>4446</v>
      </c>
      <c r="B4895" t="str">
        <f>"301135"</f>
        <v>301135</v>
      </c>
      <c r="C4895" t="s">
        <v>9832</v>
      </c>
      <c r="F4895">
        <v>24377656</v>
      </c>
      <c r="G4895">
        <v>35804705</v>
      </c>
      <c r="H4895">
        <v>79040220</v>
      </c>
      <c r="I4895">
        <v>26200208</v>
      </c>
      <c r="J4895">
        <v>-12028535</v>
      </c>
      <c r="P4895">
        <v>1</v>
      </c>
      <c r="Q4895" t="s">
        <v>9833</v>
      </c>
    </row>
    <row r="4896" spans="1:17" x14ac:dyDescent="0.3">
      <c r="A4896" t="s">
        <v>4446</v>
      </c>
      <c r="B4896" t="str">
        <f>"301136"</f>
        <v>301136</v>
      </c>
      <c r="C4896" t="s">
        <v>9834</v>
      </c>
      <c r="D4896" t="s">
        <v>95</v>
      </c>
      <c r="F4896">
        <v>38352200</v>
      </c>
      <c r="G4896">
        <v>-7730344</v>
      </c>
      <c r="H4896">
        <v>-83115056</v>
      </c>
      <c r="I4896">
        <v>-35583717</v>
      </c>
      <c r="J4896">
        <v>245170348</v>
      </c>
      <c r="P4896">
        <v>9</v>
      </c>
      <c r="Q4896" t="s">
        <v>9835</v>
      </c>
    </row>
    <row r="4897" spans="1:17" x14ac:dyDescent="0.3">
      <c r="A4897" t="s">
        <v>4446</v>
      </c>
      <c r="B4897" t="str">
        <f>"301137"</f>
        <v>301137</v>
      </c>
      <c r="C4897" t="s">
        <v>9836</v>
      </c>
      <c r="F4897">
        <v>-93902961</v>
      </c>
      <c r="G4897">
        <v>47716567</v>
      </c>
      <c r="H4897">
        <v>-17868835</v>
      </c>
      <c r="I4897">
        <v>53656850</v>
      </c>
      <c r="J4897">
        <v>-11760924</v>
      </c>
      <c r="P4897">
        <v>3</v>
      </c>
      <c r="Q4897" t="s">
        <v>9837</v>
      </c>
    </row>
    <row r="4898" spans="1:17" x14ac:dyDescent="0.3">
      <c r="A4898" t="s">
        <v>4446</v>
      </c>
      <c r="B4898" t="str">
        <f>"301138"</f>
        <v>301138</v>
      </c>
      <c r="C4898" t="s">
        <v>9838</v>
      </c>
      <c r="D4898" t="s">
        <v>78</v>
      </c>
      <c r="F4898">
        <v>124929566</v>
      </c>
      <c r="G4898">
        <v>60837302</v>
      </c>
      <c r="H4898">
        <v>70622275</v>
      </c>
      <c r="I4898">
        <v>65148243</v>
      </c>
      <c r="J4898">
        <v>35661755</v>
      </c>
      <c r="P4898">
        <v>16</v>
      </c>
      <c r="Q4898" t="s">
        <v>9839</v>
      </c>
    </row>
    <row r="4899" spans="1:17" x14ac:dyDescent="0.3">
      <c r="A4899" t="s">
        <v>4446</v>
      </c>
      <c r="B4899" t="str">
        <f>"301148"</f>
        <v>301148</v>
      </c>
      <c r="C4899" t="s">
        <v>9840</v>
      </c>
      <c r="F4899">
        <v>-5070720</v>
      </c>
      <c r="G4899">
        <v>-32056597</v>
      </c>
      <c r="H4899">
        <v>3295762</v>
      </c>
      <c r="I4899">
        <v>71135672</v>
      </c>
      <c r="J4899">
        <v>25760152</v>
      </c>
      <c r="P4899">
        <v>1</v>
      </c>
      <c r="Q4899" t="s">
        <v>9841</v>
      </c>
    </row>
    <row r="4900" spans="1:17" x14ac:dyDescent="0.3">
      <c r="A4900" t="s">
        <v>4446</v>
      </c>
      <c r="B4900" t="str">
        <f>"301149"</f>
        <v>301149</v>
      </c>
      <c r="C4900" t="s">
        <v>9842</v>
      </c>
      <c r="D4900" t="s">
        <v>133</v>
      </c>
      <c r="F4900">
        <v>45670991</v>
      </c>
      <c r="G4900">
        <v>16753558</v>
      </c>
      <c r="H4900">
        <v>141160658</v>
      </c>
      <c r="I4900">
        <v>57219230</v>
      </c>
      <c r="J4900">
        <v>-10256477</v>
      </c>
      <c r="P4900">
        <v>17</v>
      </c>
      <c r="Q4900" t="s">
        <v>9843</v>
      </c>
    </row>
    <row r="4901" spans="1:17" x14ac:dyDescent="0.3">
      <c r="A4901" t="s">
        <v>4446</v>
      </c>
      <c r="B4901" t="str">
        <f>"301150"</f>
        <v>301150</v>
      </c>
      <c r="C4901" t="s">
        <v>9844</v>
      </c>
      <c r="F4901">
        <v>-83805230</v>
      </c>
      <c r="G4901">
        <v>-75220810</v>
      </c>
      <c r="H4901">
        <v>-263554851</v>
      </c>
      <c r="I4901">
        <v>-141490039</v>
      </c>
      <c r="J4901">
        <v>-108546778</v>
      </c>
      <c r="P4901">
        <v>7</v>
      </c>
      <c r="Q4901" t="s">
        <v>9845</v>
      </c>
    </row>
    <row r="4902" spans="1:17" x14ac:dyDescent="0.3">
      <c r="A4902" t="s">
        <v>4446</v>
      </c>
      <c r="B4902" t="str">
        <f>"301151"</f>
        <v>301151</v>
      </c>
      <c r="C4902" t="s">
        <v>9846</v>
      </c>
      <c r="F4902">
        <v>211349074</v>
      </c>
      <c r="G4902">
        <v>115907482</v>
      </c>
      <c r="H4902">
        <v>107310693</v>
      </c>
      <c r="I4902">
        <v>46171968</v>
      </c>
      <c r="J4902">
        <v>28898902</v>
      </c>
      <c r="P4902">
        <v>5</v>
      </c>
      <c r="Q4902" t="s">
        <v>9847</v>
      </c>
    </row>
    <row r="4903" spans="1:17" x14ac:dyDescent="0.3">
      <c r="A4903" t="s">
        <v>4446</v>
      </c>
      <c r="B4903" t="str">
        <f>"301153"</f>
        <v>301153</v>
      </c>
      <c r="C4903" t="s">
        <v>9848</v>
      </c>
      <c r="F4903">
        <v>208976668</v>
      </c>
      <c r="G4903">
        <v>209316435</v>
      </c>
      <c r="H4903">
        <v>191050696</v>
      </c>
      <c r="I4903">
        <v>150989301</v>
      </c>
      <c r="J4903">
        <v>55980621</v>
      </c>
      <c r="Q4903" t="s">
        <v>9849</v>
      </c>
    </row>
    <row r="4904" spans="1:17" x14ac:dyDescent="0.3">
      <c r="A4904" t="s">
        <v>4446</v>
      </c>
      <c r="B4904" t="str">
        <f>"301155"</f>
        <v>301155</v>
      </c>
      <c r="C4904" t="s">
        <v>9850</v>
      </c>
      <c r="D4904" t="s">
        <v>188</v>
      </c>
      <c r="F4904">
        <v>463670940</v>
      </c>
      <c r="G4904">
        <v>-168330199</v>
      </c>
      <c r="H4904">
        <v>135839740</v>
      </c>
      <c r="I4904">
        <v>-43664851</v>
      </c>
      <c r="J4904">
        <v>-134225203</v>
      </c>
      <c r="P4904">
        <v>40</v>
      </c>
      <c r="Q4904" t="s">
        <v>9851</v>
      </c>
    </row>
    <row r="4905" spans="1:17" x14ac:dyDescent="0.3">
      <c r="A4905" t="s">
        <v>4446</v>
      </c>
      <c r="B4905" t="str">
        <f>"301158"</f>
        <v>301158</v>
      </c>
      <c r="C4905" t="s">
        <v>9852</v>
      </c>
      <c r="D4905" t="s">
        <v>78</v>
      </c>
      <c r="F4905">
        <v>30652588</v>
      </c>
      <c r="G4905">
        <v>20992387</v>
      </c>
      <c r="H4905">
        <v>37847799</v>
      </c>
      <c r="I4905">
        <v>28676970</v>
      </c>
      <c r="J4905">
        <v>29038030</v>
      </c>
      <c r="P4905">
        <v>12</v>
      </c>
      <c r="Q4905" t="s">
        <v>9853</v>
      </c>
    </row>
    <row r="4906" spans="1:17" x14ac:dyDescent="0.3">
      <c r="A4906" t="s">
        <v>4446</v>
      </c>
      <c r="B4906" t="str">
        <f>"301159"</f>
        <v>301159</v>
      </c>
      <c r="C4906" t="s">
        <v>9854</v>
      </c>
      <c r="D4906" t="s">
        <v>212</v>
      </c>
      <c r="F4906">
        <v>-38130285</v>
      </c>
      <c r="G4906">
        <v>600245</v>
      </c>
      <c r="H4906">
        <v>10069498</v>
      </c>
      <c r="I4906">
        <v>-3195928</v>
      </c>
      <c r="J4906">
        <v>13515717</v>
      </c>
      <c r="P4906">
        <v>10</v>
      </c>
      <c r="Q4906" t="s">
        <v>9855</v>
      </c>
    </row>
    <row r="4907" spans="1:17" x14ac:dyDescent="0.3">
      <c r="A4907" t="s">
        <v>4446</v>
      </c>
      <c r="B4907" t="str">
        <f>"301162"</f>
        <v>301162</v>
      </c>
      <c r="C4907" t="s">
        <v>9856</v>
      </c>
      <c r="F4907">
        <v>40536381</v>
      </c>
      <c r="G4907">
        <v>35770334</v>
      </c>
      <c r="H4907">
        <v>16813968</v>
      </c>
      <c r="I4907">
        <v>1635225</v>
      </c>
      <c r="J4907">
        <v>-10724226</v>
      </c>
      <c r="P4907">
        <v>2</v>
      </c>
      <c r="Q4907" t="s">
        <v>9857</v>
      </c>
    </row>
    <row r="4908" spans="1:17" x14ac:dyDescent="0.3">
      <c r="A4908" t="s">
        <v>4446</v>
      </c>
      <c r="B4908" t="str">
        <f>"301163"</f>
        <v>301163</v>
      </c>
      <c r="C4908" t="s">
        <v>9858</v>
      </c>
      <c r="F4908">
        <v>-14095497</v>
      </c>
      <c r="G4908">
        <v>23137103</v>
      </c>
      <c r="H4908">
        <v>35809919</v>
      </c>
      <c r="I4908">
        <v>2335451</v>
      </c>
      <c r="J4908">
        <v>15832452</v>
      </c>
      <c r="P4908">
        <v>3</v>
      </c>
      <c r="Q4908" t="s">
        <v>9859</v>
      </c>
    </row>
    <row r="4909" spans="1:17" x14ac:dyDescent="0.3">
      <c r="A4909" t="s">
        <v>4446</v>
      </c>
      <c r="B4909" t="str">
        <f>"301166"</f>
        <v>301166</v>
      </c>
      <c r="C4909" t="s">
        <v>9860</v>
      </c>
      <c r="D4909" t="s">
        <v>113</v>
      </c>
      <c r="F4909">
        <v>44827282</v>
      </c>
      <c r="G4909">
        <v>87278339</v>
      </c>
      <c r="H4909">
        <v>4164557</v>
      </c>
      <c r="I4909">
        <v>20508500</v>
      </c>
      <c r="J4909">
        <v>17905425</v>
      </c>
      <c r="P4909">
        <v>21</v>
      </c>
      <c r="Q4909" t="s">
        <v>9861</v>
      </c>
    </row>
    <row r="4910" spans="1:17" x14ac:dyDescent="0.3">
      <c r="A4910" t="s">
        <v>4446</v>
      </c>
      <c r="B4910" t="str">
        <f>"301167"</f>
        <v>301167</v>
      </c>
      <c r="C4910" t="s">
        <v>9862</v>
      </c>
      <c r="D4910" t="s">
        <v>95</v>
      </c>
      <c r="F4910">
        <v>1043254</v>
      </c>
      <c r="G4910">
        <v>40876071</v>
      </c>
      <c r="H4910">
        <v>62564524</v>
      </c>
      <c r="I4910">
        <v>76123485</v>
      </c>
      <c r="J4910">
        <v>9469989</v>
      </c>
      <c r="P4910">
        <v>17</v>
      </c>
      <c r="Q4910" t="s">
        <v>9863</v>
      </c>
    </row>
    <row r="4911" spans="1:17" x14ac:dyDescent="0.3">
      <c r="A4911" t="s">
        <v>4446</v>
      </c>
      <c r="B4911" t="str">
        <f>"301168"</f>
        <v>301168</v>
      </c>
      <c r="C4911" t="s">
        <v>9864</v>
      </c>
      <c r="D4911" t="s">
        <v>188</v>
      </c>
      <c r="F4911">
        <v>179947460</v>
      </c>
      <c r="G4911">
        <v>-17457887</v>
      </c>
      <c r="H4911">
        <v>-18405732</v>
      </c>
      <c r="I4911">
        <v>142232777</v>
      </c>
      <c r="J4911">
        <v>-141942855</v>
      </c>
      <c r="P4911">
        <v>14</v>
      </c>
      <c r="Q4911" t="s">
        <v>9865</v>
      </c>
    </row>
    <row r="4912" spans="1:17" x14ac:dyDescent="0.3">
      <c r="A4912" t="s">
        <v>4446</v>
      </c>
      <c r="B4912" t="str">
        <f>"301169"</f>
        <v>301169</v>
      </c>
      <c r="C4912" t="s">
        <v>9866</v>
      </c>
      <c r="D4912" t="s">
        <v>110</v>
      </c>
      <c r="F4912">
        <v>1871754</v>
      </c>
      <c r="G4912">
        <v>47507046</v>
      </c>
      <c r="H4912">
        <v>27741649</v>
      </c>
      <c r="I4912">
        <v>16124864</v>
      </c>
      <c r="J4912">
        <v>31514902</v>
      </c>
      <c r="P4912">
        <v>15</v>
      </c>
      <c r="Q4912" t="s">
        <v>9867</v>
      </c>
    </row>
    <row r="4913" spans="1:17" x14ac:dyDescent="0.3">
      <c r="A4913" t="s">
        <v>4446</v>
      </c>
      <c r="B4913" t="str">
        <f>"301177"</f>
        <v>301177</v>
      </c>
      <c r="C4913" t="s">
        <v>9868</v>
      </c>
      <c r="D4913" t="s">
        <v>227</v>
      </c>
      <c r="F4913">
        <v>1440944555</v>
      </c>
      <c r="G4913">
        <v>853939950</v>
      </c>
      <c r="H4913">
        <v>288452345</v>
      </c>
      <c r="I4913">
        <v>127802116</v>
      </c>
      <c r="J4913">
        <v>172941003</v>
      </c>
      <c r="P4913">
        <v>31</v>
      </c>
      <c r="Q4913" t="s">
        <v>9869</v>
      </c>
    </row>
    <row r="4914" spans="1:17" x14ac:dyDescent="0.3">
      <c r="A4914" t="s">
        <v>4446</v>
      </c>
      <c r="B4914" t="str">
        <f>"301178"</f>
        <v>301178</v>
      </c>
      <c r="C4914" t="s">
        <v>9870</v>
      </c>
      <c r="D4914" t="s">
        <v>212</v>
      </c>
      <c r="F4914">
        <v>-33848180</v>
      </c>
      <c r="G4914">
        <v>85045994</v>
      </c>
      <c r="H4914">
        <v>24362</v>
      </c>
      <c r="I4914">
        <v>28673991</v>
      </c>
      <c r="J4914">
        <v>4840480</v>
      </c>
      <c r="P4914">
        <v>15</v>
      </c>
      <c r="Q4914" t="s">
        <v>9871</v>
      </c>
    </row>
    <row r="4915" spans="1:17" x14ac:dyDescent="0.3">
      <c r="A4915" t="s">
        <v>4446</v>
      </c>
      <c r="B4915" t="str">
        <f>"301179"</f>
        <v>301179</v>
      </c>
      <c r="C4915" t="s">
        <v>9872</v>
      </c>
      <c r="D4915" t="s">
        <v>188</v>
      </c>
      <c r="F4915">
        <v>139733419</v>
      </c>
      <c r="G4915">
        <v>44062605</v>
      </c>
      <c r="H4915">
        <v>376402798</v>
      </c>
      <c r="I4915">
        <v>-43400959</v>
      </c>
      <c r="J4915">
        <v>63680685</v>
      </c>
      <c r="P4915">
        <v>17</v>
      </c>
      <c r="Q4915" t="s">
        <v>9873</v>
      </c>
    </row>
    <row r="4916" spans="1:17" x14ac:dyDescent="0.3">
      <c r="A4916" t="s">
        <v>4446</v>
      </c>
      <c r="B4916" t="str">
        <f>"301180"</f>
        <v>301180</v>
      </c>
      <c r="C4916" t="s">
        <v>9874</v>
      </c>
      <c r="D4916" t="s">
        <v>150</v>
      </c>
      <c r="F4916">
        <v>-60764033</v>
      </c>
      <c r="G4916">
        <v>-101454527</v>
      </c>
      <c r="H4916">
        <v>-62122988</v>
      </c>
      <c r="I4916">
        <v>10727093</v>
      </c>
      <c r="J4916">
        <v>22910552</v>
      </c>
      <c r="P4916">
        <v>15</v>
      </c>
      <c r="Q4916" t="s">
        <v>9875</v>
      </c>
    </row>
    <row r="4917" spans="1:17" x14ac:dyDescent="0.3">
      <c r="A4917" t="s">
        <v>4446</v>
      </c>
      <c r="B4917" t="str">
        <f>"301181"</f>
        <v>301181</v>
      </c>
      <c r="C4917" t="s">
        <v>9876</v>
      </c>
      <c r="F4917">
        <v>71994300</v>
      </c>
      <c r="G4917">
        <v>113694157</v>
      </c>
      <c r="H4917">
        <v>73994935</v>
      </c>
      <c r="I4917">
        <v>8547911</v>
      </c>
      <c r="J4917">
        <v>8444771</v>
      </c>
      <c r="P4917">
        <v>5</v>
      </c>
      <c r="Q4917" t="s">
        <v>9877</v>
      </c>
    </row>
    <row r="4918" spans="1:17" x14ac:dyDescent="0.3">
      <c r="A4918" t="s">
        <v>4446</v>
      </c>
      <c r="B4918" t="str">
        <f>"301182"</f>
        <v>301182</v>
      </c>
      <c r="C4918" t="s">
        <v>9878</v>
      </c>
      <c r="D4918" t="s">
        <v>150</v>
      </c>
      <c r="F4918">
        <v>-5781210</v>
      </c>
      <c r="G4918">
        <v>-50243170</v>
      </c>
      <c r="H4918">
        <v>-1838257</v>
      </c>
      <c r="I4918">
        <v>7540921</v>
      </c>
      <c r="J4918">
        <v>6945554</v>
      </c>
      <c r="P4918">
        <v>11</v>
      </c>
      <c r="Q4918" t="s">
        <v>9879</v>
      </c>
    </row>
    <row r="4919" spans="1:17" x14ac:dyDescent="0.3">
      <c r="A4919" t="s">
        <v>4446</v>
      </c>
      <c r="B4919" t="str">
        <f>"301185"</f>
        <v>301185</v>
      </c>
      <c r="C4919" t="s">
        <v>9880</v>
      </c>
      <c r="D4919" t="s">
        <v>212</v>
      </c>
      <c r="F4919">
        <v>13692263</v>
      </c>
      <c r="G4919">
        <v>52499948</v>
      </c>
      <c r="H4919">
        <v>68039702</v>
      </c>
      <c r="I4919">
        <v>41091326</v>
      </c>
      <c r="J4919">
        <v>55432399</v>
      </c>
      <c r="P4919">
        <v>20</v>
      </c>
      <c r="Q4919" t="s">
        <v>9881</v>
      </c>
    </row>
    <row r="4920" spans="1:17" x14ac:dyDescent="0.3">
      <c r="A4920" t="s">
        <v>4446</v>
      </c>
      <c r="B4920" t="str">
        <f>"301186"</f>
        <v>301186</v>
      </c>
      <c r="C4920" t="s">
        <v>9882</v>
      </c>
      <c r="D4920" t="s">
        <v>27</v>
      </c>
      <c r="F4920">
        <v>-52544549</v>
      </c>
      <c r="G4920">
        <v>76112793</v>
      </c>
      <c r="H4920">
        <v>44613609</v>
      </c>
      <c r="I4920">
        <v>20070066</v>
      </c>
      <c r="J4920">
        <v>-17133048</v>
      </c>
      <c r="P4920">
        <v>10</v>
      </c>
      <c r="Q4920" t="s">
        <v>9883</v>
      </c>
    </row>
    <row r="4921" spans="1:17" x14ac:dyDescent="0.3">
      <c r="A4921" t="s">
        <v>4446</v>
      </c>
      <c r="B4921" t="str">
        <f>"301187"</f>
        <v>301187</v>
      </c>
      <c r="C4921" t="s">
        <v>9884</v>
      </c>
      <c r="F4921">
        <v>90944057</v>
      </c>
      <c r="G4921">
        <v>106552515</v>
      </c>
      <c r="H4921">
        <v>75285789</v>
      </c>
      <c r="I4921">
        <v>49828111</v>
      </c>
      <c r="J4921">
        <v>11213295</v>
      </c>
      <c r="P4921">
        <v>1</v>
      </c>
      <c r="Q4921" t="s">
        <v>9885</v>
      </c>
    </row>
    <row r="4922" spans="1:17" x14ac:dyDescent="0.3">
      <c r="A4922" t="s">
        <v>4446</v>
      </c>
      <c r="B4922" t="str">
        <f>"301188"</f>
        <v>301188</v>
      </c>
      <c r="C4922" t="s">
        <v>9886</v>
      </c>
      <c r="D4922" t="s">
        <v>161</v>
      </c>
      <c r="F4922">
        <v>-20544360</v>
      </c>
      <c r="G4922">
        <v>16108406</v>
      </c>
      <c r="H4922">
        <v>6583761</v>
      </c>
      <c r="I4922">
        <v>48760724</v>
      </c>
      <c r="J4922">
        <v>-18598099</v>
      </c>
      <c r="P4922">
        <v>18</v>
      </c>
      <c r="Q4922" t="s">
        <v>9887</v>
      </c>
    </row>
    <row r="4923" spans="1:17" x14ac:dyDescent="0.3">
      <c r="A4923" t="s">
        <v>4446</v>
      </c>
      <c r="B4923" t="str">
        <f>"301189"</f>
        <v>301189</v>
      </c>
      <c r="C4923" t="s">
        <v>9888</v>
      </c>
      <c r="D4923" t="s">
        <v>150</v>
      </c>
      <c r="F4923">
        <v>-10118267</v>
      </c>
      <c r="G4923">
        <v>115546744</v>
      </c>
      <c r="H4923">
        <v>59831474</v>
      </c>
      <c r="I4923">
        <v>-12930598</v>
      </c>
      <c r="J4923">
        <v>-14316203</v>
      </c>
      <c r="P4923">
        <v>10</v>
      </c>
      <c r="Q4923" t="s">
        <v>9889</v>
      </c>
    </row>
    <row r="4924" spans="1:17" x14ac:dyDescent="0.3">
      <c r="A4924" t="s">
        <v>4446</v>
      </c>
      <c r="B4924" t="str">
        <f>"301190"</f>
        <v>301190</v>
      </c>
      <c r="C4924" t="s">
        <v>9890</v>
      </c>
      <c r="D4924" t="s">
        <v>133</v>
      </c>
      <c r="F4924">
        <v>97227447</v>
      </c>
      <c r="G4924">
        <v>12072868</v>
      </c>
      <c r="H4924">
        <v>182433065</v>
      </c>
      <c r="I4924">
        <v>92402330</v>
      </c>
      <c r="J4924">
        <v>-3575535</v>
      </c>
      <c r="P4924">
        <v>11</v>
      </c>
      <c r="Q4924" t="s">
        <v>9891</v>
      </c>
    </row>
    <row r="4925" spans="1:17" x14ac:dyDescent="0.3">
      <c r="A4925" t="s">
        <v>4446</v>
      </c>
      <c r="B4925" t="str">
        <f>"301193"</f>
        <v>301193</v>
      </c>
      <c r="C4925" t="s">
        <v>9892</v>
      </c>
      <c r="D4925" t="s">
        <v>161</v>
      </c>
      <c r="F4925">
        <v>-47594917</v>
      </c>
      <c r="G4925">
        <v>68619254</v>
      </c>
      <c r="H4925">
        <v>36865465</v>
      </c>
      <c r="I4925">
        <v>-32919286</v>
      </c>
      <c r="J4925">
        <v>-84875852</v>
      </c>
      <c r="P4925">
        <v>15</v>
      </c>
      <c r="Q4925" t="s">
        <v>9893</v>
      </c>
    </row>
    <row r="4926" spans="1:17" x14ac:dyDescent="0.3">
      <c r="A4926" t="s">
        <v>4446</v>
      </c>
      <c r="B4926" t="str">
        <f>"301196"</f>
        <v>301196</v>
      </c>
      <c r="C4926" t="s">
        <v>9894</v>
      </c>
      <c r="D4926" t="s">
        <v>133</v>
      </c>
      <c r="F4926">
        <v>-2579055</v>
      </c>
      <c r="G4926">
        <v>66162425</v>
      </c>
      <c r="H4926">
        <v>74682387</v>
      </c>
      <c r="I4926">
        <v>-530104</v>
      </c>
      <c r="J4926">
        <v>-23951496</v>
      </c>
      <c r="P4926">
        <v>7</v>
      </c>
      <c r="Q4926" t="s">
        <v>9895</v>
      </c>
    </row>
    <row r="4927" spans="1:17" x14ac:dyDescent="0.3">
      <c r="A4927" t="s">
        <v>4446</v>
      </c>
      <c r="B4927" t="str">
        <f>"301198"</f>
        <v>301198</v>
      </c>
      <c r="C4927" t="s">
        <v>9896</v>
      </c>
      <c r="D4927" t="s">
        <v>161</v>
      </c>
      <c r="F4927">
        <v>-55597676</v>
      </c>
      <c r="G4927">
        <v>26251522</v>
      </c>
      <c r="H4927">
        <v>49504128</v>
      </c>
      <c r="I4927">
        <v>-24398043</v>
      </c>
      <c r="J4927">
        <v>21809669</v>
      </c>
      <c r="P4927">
        <v>16</v>
      </c>
      <c r="Q4927" t="s">
        <v>9897</v>
      </c>
    </row>
    <row r="4928" spans="1:17" x14ac:dyDescent="0.3">
      <c r="A4928" t="s">
        <v>4446</v>
      </c>
      <c r="B4928" t="str">
        <f>"301199"</f>
        <v>301199</v>
      </c>
      <c r="C4928" t="s">
        <v>9898</v>
      </c>
      <c r="D4928" t="s">
        <v>78</v>
      </c>
      <c r="F4928">
        <v>-31123802</v>
      </c>
      <c r="G4928">
        <v>6197449</v>
      </c>
      <c r="H4928">
        <v>17930623</v>
      </c>
      <c r="I4928">
        <v>-36675660</v>
      </c>
      <c r="J4928">
        <v>3356235</v>
      </c>
      <c r="K4928">
        <v>-101993379</v>
      </c>
      <c r="P4928">
        <v>10</v>
      </c>
      <c r="Q4928" t="s">
        <v>9899</v>
      </c>
    </row>
    <row r="4929" spans="1:17" x14ac:dyDescent="0.3">
      <c r="A4929" t="s">
        <v>4446</v>
      </c>
      <c r="B4929" t="str">
        <f>"301200"</f>
        <v>301200</v>
      </c>
      <c r="C4929" t="s">
        <v>9900</v>
      </c>
      <c r="F4929">
        <v>-348275929</v>
      </c>
      <c r="G4929">
        <v>-67615074</v>
      </c>
      <c r="H4929">
        <v>255364223</v>
      </c>
      <c r="I4929">
        <v>159022374</v>
      </c>
      <c r="P4929">
        <v>13</v>
      </c>
      <c r="Q4929" t="s">
        <v>9901</v>
      </c>
    </row>
    <row r="4930" spans="1:17" x14ac:dyDescent="0.3">
      <c r="A4930" t="s">
        <v>4446</v>
      </c>
      <c r="B4930" t="str">
        <f>"301201"</f>
        <v>301201</v>
      </c>
      <c r="C4930" t="s">
        <v>9902</v>
      </c>
      <c r="D4930" t="s">
        <v>113</v>
      </c>
      <c r="F4930">
        <v>-55440809</v>
      </c>
      <c r="G4930">
        <v>121874628</v>
      </c>
      <c r="H4930">
        <v>16776459</v>
      </c>
      <c r="I4930">
        <v>23013872</v>
      </c>
      <c r="J4930">
        <v>-361701</v>
      </c>
      <c r="P4930">
        <v>18</v>
      </c>
      <c r="Q4930" t="s">
        <v>9903</v>
      </c>
    </row>
    <row r="4931" spans="1:17" x14ac:dyDescent="0.3">
      <c r="A4931" t="s">
        <v>4446</v>
      </c>
      <c r="B4931" t="str">
        <f>"301206"</f>
        <v>301206</v>
      </c>
      <c r="C4931" t="s">
        <v>9904</v>
      </c>
      <c r="F4931">
        <v>207729450</v>
      </c>
      <c r="G4931">
        <v>65630468</v>
      </c>
      <c r="H4931">
        <v>8480060</v>
      </c>
      <c r="I4931">
        <v>16807897</v>
      </c>
      <c r="J4931">
        <v>-27098054</v>
      </c>
      <c r="P4931">
        <v>24</v>
      </c>
      <c r="Q4931" t="s">
        <v>9905</v>
      </c>
    </row>
    <row r="4932" spans="1:17" x14ac:dyDescent="0.3">
      <c r="A4932" t="s">
        <v>4446</v>
      </c>
      <c r="B4932" t="str">
        <f>"301207"</f>
        <v>301207</v>
      </c>
      <c r="C4932" t="s">
        <v>9906</v>
      </c>
      <c r="F4932">
        <v>-66731650</v>
      </c>
      <c r="G4932">
        <v>161428087</v>
      </c>
      <c r="H4932">
        <v>131146745</v>
      </c>
      <c r="I4932">
        <v>31763171</v>
      </c>
      <c r="J4932">
        <v>-3167794</v>
      </c>
      <c r="P4932">
        <v>19</v>
      </c>
      <c r="Q4932" t="s">
        <v>9907</v>
      </c>
    </row>
    <row r="4933" spans="1:17" x14ac:dyDescent="0.3">
      <c r="A4933" t="s">
        <v>4446</v>
      </c>
      <c r="B4933" t="str">
        <f>"301211"</f>
        <v>301211</v>
      </c>
      <c r="C4933" t="s">
        <v>9908</v>
      </c>
      <c r="D4933" t="s">
        <v>113</v>
      </c>
      <c r="F4933">
        <v>102926858</v>
      </c>
      <c r="G4933">
        <v>108343700</v>
      </c>
      <c r="H4933">
        <v>339984080</v>
      </c>
      <c r="I4933">
        <v>51249669</v>
      </c>
      <c r="J4933">
        <v>-78560210</v>
      </c>
      <c r="P4933">
        <v>14</v>
      </c>
      <c r="Q4933" t="s">
        <v>9909</v>
      </c>
    </row>
    <row r="4934" spans="1:17" x14ac:dyDescent="0.3">
      <c r="A4934" t="s">
        <v>4446</v>
      </c>
      <c r="B4934" t="str">
        <f>"301212"</f>
        <v>301212</v>
      </c>
      <c r="C4934" t="s">
        <v>9910</v>
      </c>
      <c r="F4934">
        <v>107344168</v>
      </c>
      <c r="G4934">
        <v>-27801226</v>
      </c>
      <c r="H4934">
        <v>63715115</v>
      </c>
      <c r="I4934">
        <v>9249350</v>
      </c>
      <c r="J4934">
        <v>38833052</v>
      </c>
      <c r="P4934">
        <v>3</v>
      </c>
      <c r="Q4934" t="s">
        <v>9911</v>
      </c>
    </row>
    <row r="4935" spans="1:17" x14ac:dyDescent="0.3">
      <c r="A4935" t="s">
        <v>4446</v>
      </c>
      <c r="B4935" t="str">
        <f>"301213"</f>
        <v>301213</v>
      </c>
      <c r="C4935" t="s">
        <v>9912</v>
      </c>
      <c r="D4935" t="s">
        <v>92</v>
      </c>
      <c r="F4935">
        <v>-25164254</v>
      </c>
      <c r="G4935">
        <v>-5339113</v>
      </c>
      <c r="H4935">
        <v>-7134663</v>
      </c>
      <c r="I4935">
        <v>5302231</v>
      </c>
      <c r="J4935">
        <v>4345135</v>
      </c>
      <c r="P4935">
        <v>16</v>
      </c>
      <c r="Q4935" t="s">
        <v>9913</v>
      </c>
    </row>
    <row r="4936" spans="1:17" x14ac:dyDescent="0.3">
      <c r="A4936" t="s">
        <v>4446</v>
      </c>
      <c r="B4936" t="str">
        <f>"301215"</f>
        <v>301215</v>
      </c>
      <c r="C4936" t="s">
        <v>9914</v>
      </c>
      <c r="F4936">
        <v>69030444</v>
      </c>
      <c r="G4936">
        <v>-4709870</v>
      </c>
      <c r="H4936">
        <v>109273047</v>
      </c>
      <c r="I4936">
        <v>86587965</v>
      </c>
      <c r="J4936">
        <v>44221474</v>
      </c>
      <c r="P4936">
        <v>7</v>
      </c>
      <c r="Q4936" t="s">
        <v>9915</v>
      </c>
    </row>
    <row r="4937" spans="1:17" x14ac:dyDescent="0.3">
      <c r="A4937" t="s">
        <v>4446</v>
      </c>
      <c r="B4937" t="str">
        <f>"301216"</f>
        <v>301216</v>
      </c>
      <c r="C4937" t="s">
        <v>9916</v>
      </c>
      <c r="F4937">
        <v>-1194036127</v>
      </c>
      <c r="G4937">
        <v>-467601104</v>
      </c>
      <c r="H4937">
        <v>78174437</v>
      </c>
      <c r="I4937">
        <v>233383982</v>
      </c>
      <c r="J4937">
        <v>-197259582</v>
      </c>
      <c r="P4937">
        <v>6</v>
      </c>
      <c r="Q4937" t="s">
        <v>9917</v>
      </c>
    </row>
    <row r="4938" spans="1:17" x14ac:dyDescent="0.3">
      <c r="A4938" t="s">
        <v>4446</v>
      </c>
      <c r="B4938" t="str">
        <f>"301217"</f>
        <v>301217</v>
      </c>
      <c r="C4938" t="s">
        <v>9918</v>
      </c>
      <c r="F4938">
        <v>108567735</v>
      </c>
      <c r="G4938">
        <v>-255804571</v>
      </c>
      <c r="H4938">
        <v>76681746</v>
      </c>
      <c r="I4938">
        <v>-1132311</v>
      </c>
      <c r="J4938">
        <v>-299168609</v>
      </c>
      <c r="P4938">
        <v>16</v>
      </c>
      <c r="Q4938" t="s">
        <v>9919</v>
      </c>
    </row>
    <row r="4939" spans="1:17" x14ac:dyDescent="0.3">
      <c r="A4939" t="s">
        <v>4446</v>
      </c>
      <c r="B4939" t="str">
        <f>"301218"</f>
        <v>301218</v>
      </c>
      <c r="C4939" t="s">
        <v>9920</v>
      </c>
      <c r="F4939">
        <v>12394598</v>
      </c>
      <c r="G4939">
        <v>30164994</v>
      </c>
      <c r="H4939">
        <v>157971</v>
      </c>
      <c r="I4939">
        <v>37552106</v>
      </c>
      <c r="J4939">
        <v>-12126441</v>
      </c>
      <c r="P4939">
        <v>8</v>
      </c>
      <c r="Q4939" t="s">
        <v>9921</v>
      </c>
    </row>
    <row r="4940" spans="1:17" x14ac:dyDescent="0.3">
      <c r="A4940" t="s">
        <v>4446</v>
      </c>
      <c r="B4940" t="str">
        <f>"301219"</f>
        <v>301219</v>
      </c>
      <c r="C4940" t="s">
        <v>9922</v>
      </c>
      <c r="F4940">
        <v>-50054854</v>
      </c>
      <c r="G4940">
        <v>-288612140</v>
      </c>
      <c r="H4940">
        <v>68495479</v>
      </c>
      <c r="I4940">
        <v>-214880998</v>
      </c>
      <c r="J4940">
        <v>-248410880</v>
      </c>
      <c r="P4940">
        <v>8</v>
      </c>
      <c r="Q4940" t="s">
        <v>9923</v>
      </c>
    </row>
    <row r="4941" spans="1:17" x14ac:dyDescent="0.3">
      <c r="A4941" t="s">
        <v>4446</v>
      </c>
      <c r="B4941" t="str">
        <f>"301221"</f>
        <v>301221</v>
      </c>
      <c r="C4941" t="s">
        <v>9924</v>
      </c>
      <c r="D4941" t="s">
        <v>27</v>
      </c>
      <c r="F4941">
        <v>-97581790</v>
      </c>
      <c r="G4941">
        <v>69190994</v>
      </c>
      <c r="H4941">
        <v>102626906</v>
      </c>
      <c r="I4941">
        <v>13046057</v>
      </c>
      <c r="J4941">
        <v>4134220</v>
      </c>
      <c r="P4941">
        <v>16</v>
      </c>
      <c r="Q4941" t="s">
        <v>9925</v>
      </c>
    </row>
    <row r="4942" spans="1:17" x14ac:dyDescent="0.3">
      <c r="A4942" t="s">
        <v>4446</v>
      </c>
      <c r="B4942" t="str">
        <f>"301222"</f>
        <v>301222</v>
      </c>
      <c r="C4942" t="s">
        <v>9926</v>
      </c>
      <c r="F4942">
        <v>52991941</v>
      </c>
      <c r="G4942">
        <v>60059979</v>
      </c>
      <c r="H4942">
        <v>44519529</v>
      </c>
      <c r="I4942">
        <v>51235340</v>
      </c>
      <c r="J4942">
        <v>52243241</v>
      </c>
      <c r="P4942">
        <v>4</v>
      </c>
      <c r="Q4942" t="s">
        <v>9927</v>
      </c>
    </row>
    <row r="4943" spans="1:17" x14ac:dyDescent="0.3">
      <c r="A4943" t="s">
        <v>4446</v>
      </c>
      <c r="B4943" t="str">
        <f>"301226"</f>
        <v>301226</v>
      </c>
      <c r="C4943" t="s">
        <v>9928</v>
      </c>
      <c r="F4943">
        <v>-16880619</v>
      </c>
      <c r="G4943">
        <v>34187840</v>
      </c>
      <c r="H4943">
        <v>24086398</v>
      </c>
      <c r="I4943">
        <v>17537263</v>
      </c>
      <c r="J4943">
        <v>-12544554</v>
      </c>
      <c r="P4943">
        <v>4</v>
      </c>
      <c r="Q4943" t="s">
        <v>9929</v>
      </c>
    </row>
    <row r="4944" spans="1:17" x14ac:dyDescent="0.3">
      <c r="A4944" t="s">
        <v>4446</v>
      </c>
      <c r="B4944" t="str">
        <f>"301228"</f>
        <v>301228</v>
      </c>
      <c r="C4944" t="s">
        <v>9930</v>
      </c>
      <c r="F4944">
        <v>58013745</v>
      </c>
      <c r="G4944">
        <v>-35567090</v>
      </c>
      <c r="H4944">
        <v>-50876650</v>
      </c>
      <c r="I4944">
        <v>-17330520</v>
      </c>
      <c r="J4944">
        <v>-14572918</v>
      </c>
      <c r="P4944">
        <v>11</v>
      </c>
      <c r="Q4944" t="s">
        <v>9931</v>
      </c>
    </row>
    <row r="4945" spans="1:17" x14ac:dyDescent="0.3">
      <c r="A4945" t="s">
        <v>4446</v>
      </c>
      <c r="B4945" t="str">
        <f>"301229"</f>
        <v>301229</v>
      </c>
      <c r="C4945" t="s">
        <v>9932</v>
      </c>
      <c r="F4945">
        <v>-10749207</v>
      </c>
      <c r="G4945">
        <v>19170646</v>
      </c>
      <c r="H4945">
        <v>-18371418</v>
      </c>
      <c r="I4945">
        <v>-4929002</v>
      </c>
      <c r="J4945">
        <v>-11455784</v>
      </c>
      <c r="P4945">
        <v>6</v>
      </c>
      <c r="Q4945" t="s">
        <v>9933</v>
      </c>
    </row>
    <row r="4946" spans="1:17" x14ac:dyDescent="0.3">
      <c r="A4946" t="s">
        <v>4446</v>
      </c>
      <c r="B4946" t="str">
        <f>"301235"</f>
        <v>301235</v>
      </c>
      <c r="C4946" t="s">
        <v>9934</v>
      </c>
      <c r="F4946">
        <v>38113444</v>
      </c>
      <c r="G4946">
        <v>81058416</v>
      </c>
      <c r="H4946">
        <v>-6089216</v>
      </c>
      <c r="I4946">
        <v>-71024440</v>
      </c>
      <c r="J4946">
        <v>-61110855</v>
      </c>
      <c r="P4946">
        <v>11</v>
      </c>
      <c r="Q4946" t="s">
        <v>9935</v>
      </c>
    </row>
    <row r="4947" spans="1:17" x14ac:dyDescent="0.3">
      <c r="A4947" t="s">
        <v>4446</v>
      </c>
      <c r="B4947" t="str">
        <f>"301236"</f>
        <v>301236</v>
      </c>
      <c r="C4947" t="s">
        <v>9936</v>
      </c>
      <c r="F4947">
        <v>366201108</v>
      </c>
      <c r="G4947">
        <v>1240874591</v>
      </c>
      <c r="H4947">
        <v>997976116</v>
      </c>
      <c r="I4947">
        <v>28963258</v>
      </c>
      <c r="J4947">
        <v>-731851446</v>
      </c>
      <c r="P4947">
        <v>4</v>
      </c>
      <c r="Q4947" t="s">
        <v>9937</v>
      </c>
    </row>
    <row r="4948" spans="1:17" x14ac:dyDescent="0.3">
      <c r="A4948" t="s">
        <v>4446</v>
      </c>
      <c r="B4948" t="str">
        <f>"301237"</f>
        <v>301237</v>
      </c>
      <c r="C4948" t="s">
        <v>9938</v>
      </c>
      <c r="F4948">
        <v>18864860</v>
      </c>
      <c r="G4948">
        <v>-21072627</v>
      </c>
      <c r="H4948">
        <v>-61152207</v>
      </c>
      <c r="I4948">
        <v>-41658666</v>
      </c>
      <c r="J4948">
        <v>-15492465</v>
      </c>
      <c r="P4948">
        <v>6</v>
      </c>
      <c r="Q4948" t="s">
        <v>9939</v>
      </c>
    </row>
    <row r="4949" spans="1:17" x14ac:dyDescent="0.3">
      <c r="A4949" t="s">
        <v>4446</v>
      </c>
      <c r="B4949" t="str">
        <f>"301248"</f>
        <v>301248</v>
      </c>
      <c r="C4949" t="s">
        <v>9940</v>
      </c>
      <c r="F4949">
        <v>-191257507</v>
      </c>
      <c r="G4949">
        <v>85194407</v>
      </c>
      <c r="H4949">
        <v>-2405094</v>
      </c>
      <c r="I4949">
        <v>-16366715</v>
      </c>
      <c r="J4949">
        <v>-405192</v>
      </c>
      <c r="P4949">
        <v>2</v>
      </c>
      <c r="Q4949" t="s">
        <v>9941</v>
      </c>
    </row>
    <row r="4950" spans="1:17" x14ac:dyDescent="0.3">
      <c r="A4950" t="s">
        <v>4446</v>
      </c>
      <c r="B4950" t="str">
        <f>"301256"</f>
        <v>301256</v>
      </c>
      <c r="C4950" t="s">
        <v>9942</v>
      </c>
      <c r="F4950">
        <v>-25761105</v>
      </c>
      <c r="G4950">
        <v>31686919</v>
      </c>
      <c r="H4950">
        <v>137287800</v>
      </c>
      <c r="I4950">
        <v>121190606</v>
      </c>
      <c r="J4950">
        <v>-24970834</v>
      </c>
      <c r="P4950">
        <v>3</v>
      </c>
      <c r="Q4950" t="s">
        <v>9943</v>
      </c>
    </row>
    <row r="4951" spans="1:17" x14ac:dyDescent="0.3">
      <c r="A4951" t="s">
        <v>4446</v>
      </c>
      <c r="B4951" t="str">
        <f>"301257"</f>
        <v>301257</v>
      </c>
      <c r="C4951" t="s">
        <v>9944</v>
      </c>
      <c r="F4951">
        <v>37130280</v>
      </c>
      <c r="G4951">
        <v>18376689</v>
      </c>
      <c r="H4951">
        <v>40627305</v>
      </c>
      <c r="I4951">
        <v>20724239</v>
      </c>
      <c r="J4951">
        <v>27165504</v>
      </c>
      <c r="Q4951" t="s">
        <v>9945</v>
      </c>
    </row>
    <row r="4952" spans="1:17" x14ac:dyDescent="0.3">
      <c r="A4952" t="s">
        <v>4446</v>
      </c>
      <c r="B4952" t="str">
        <f>"301258"</f>
        <v>301258</v>
      </c>
      <c r="C4952" t="s">
        <v>9946</v>
      </c>
      <c r="F4952">
        <v>119134157</v>
      </c>
      <c r="G4952">
        <v>101240518</v>
      </c>
      <c r="H4952">
        <v>79802851</v>
      </c>
      <c r="I4952">
        <v>85764860</v>
      </c>
      <c r="J4952">
        <v>81931805</v>
      </c>
      <c r="P4952">
        <v>4</v>
      </c>
      <c r="Q4952" t="s">
        <v>9947</v>
      </c>
    </row>
    <row r="4953" spans="1:17" x14ac:dyDescent="0.3">
      <c r="A4953" t="s">
        <v>4446</v>
      </c>
      <c r="B4953" t="str">
        <f>"301259"</f>
        <v>301259</v>
      </c>
      <c r="C4953" t="s">
        <v>9948</v>
      </c>
      <c r="F4953">
        <v>-36159312</v>
      </c>
      <c r="G4953">
        <v>-36836674</v>
      </c>
      <c r="H4953">
        <v>814644</v>
      </c>
      <c r="I4953">
        <v>56360532</v>
      </c>
      <c r="J4953">
        <v>-1246547</v>
      </c>
      <c r="P4953">
        <v>0</v>
      </c>
      <c r="Q4953" t="s">
        <v>9949</v>
      </c>
    </row>
    <row r="4954" spans="1:17" x14ac:dyDescent="0.3">
      <c r="A4954" t="s">
        <v>4446</v>
      </c>
      <c r="B4954" t="str">
        <f>"301263"</f>
        <v>301263</v>
      </c>
      <c r="C4954" t="s">
        <v>9950</v>
      </c>
      <c r="F4954">
        <v>75470854</v>
      </c>
      <c r="G4954">
        <v>32504507</v>
      </c>
      <c r="H4954">
        <v>66607246</v>
      </c>
      <c r="I4954">
        <v>39031908</v>
      </c>
      <c r="J4954">
        <v>-5567886</v>
      </c>
      <c r="P4954">
        <v>5</v>
      </c>
      <c r="Q4954" t="s">
        <v>9951</v>
      </c>
    </row>
    <row r="4955" spans="1:17" x14ac:dyDescent="0.3">
      <c r="A4955" t="s">
        <v>4446</v>
      </c>
      <c r="B4955" t="str">
        <f>"301268"</f>
        <v>301268</v>
      </c>
      <c r="C4955" t="s">
        <v>9952</v>
      </c>
      <c r="F4955">
        <v>-58402200</v>
      </c>
      <c r="G4955">
        <v>123987839</v>
      </c>
      <c r="H4955">
        <v>-24391673</v>
      </c>
      <c r="I4955">
        <v>-116460871</v>
      </c>
      <c r="J4955">
        <v>-88323557</v>
      </c>
      <c r="P4955">
        <v>2</v>
      </c>
      <c r="Q4955" t="s">
        <v>9953</v>
      </c>
    </row>
    <row r="4956" spans="1:17" x14ac:dyDescent="0.3">
      <c r="A4956" t="s">
        <v>4446</v>
      </c>
      <c r="B4956" t="str">
        <f>"301279"</f>
        <v>301279</v>
      </c>
      <c r="C4956" t="s">
        <v>9954</v>
      </c>
      <c r="F4956">
        <v>-90416351</v>
      </c>
      <c r="G4956">
        <v>-5858733</v>
      </c>
      <c r="H4956">
        <v>-56151881</v>
      </c>
      <c r="I4956">
        <v>14300068</v>
      </c>
      <c r="J4956">
        <v>28002275</v>
      </c>
      <c r="P4956">
        <v>5</v>
      </c>
      <c r="Q4956" t="s">
        <v>9955</v>
      </c>
    </row>
    <row r="4957" spans="1:17" x14ac:dyDescent="0.3">
      <c r="A4957" t="s">
        <v>4446</v>
      </c>
      <c r="B4957" t="str">
        <f>"301288"</f>
        <v>301288</v>
      </c>
      <c r="C4957" t="s">
        <v>9956</v>
      </c>
      <c r="F4957">
        <v>-3385386</v>
      </c>
      <c r="G4957">
        <v>15189286</v>
      </c>
      <c r="H4957">
        <v>43167255</v>
      </c>
      <c r="I4957">
        <v>23188114</v>
      </c>
      <c r="P4957">
        <v>4</v>
      </c>
      <c r="Q4957" t="s">
        <v>9957</v>
      </c>
    </row>
    <row r="4959" spans="1:17" x14ac:dyDescent="0.3">
      <c r="A4959" t="s">
        <v>9958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筛选器_大陆_20220502_122702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2022-05-02T04:27:15Z</dcterms:created>
  <dcterms:modified xsi:type="dcterms:W3CDTF">2022-05-02T04:27:15Z</dcterms:modified>
</cp:coreProperties>
</file>